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24226"/>
  <mc:AlternateContent xmlns:mc="http://schemas.openxmlformats.org/markup-compatibility/2006">
    <mc:Choice Requires="x15">
      <x15ac:absPath xmlns:x15ac="http://schemas.microsoft.com/office/spreadsheetml/2010/11/ac" url="https://mailuniatlanticoeduco-my.sharepoint.com/personal/jamuriel_mail_uniatlantico_edu_co/Documents/Planeación/planeacion/Plan de Acción/Plan de acción 2025/"/>
    </mc:Choice>
  </mc:AlternateContent>
  <xr:revisionPtr revIDLastSave="433" documentId="8_{B4C8FC10-E140-46BA-98EE-D1B419C76757}" xr6:coauthVersionLast="47" xr6:coauthVersionMax="47" xr10:uidLastSave="{4327BC13-14A0-4840-945B-283D8FEB46FB}"/>
  <bookViews>
    <workbookView xWindow="-120" yWindow="-120" windowWidth="29040" windowHeight="15840" tabRatio="665" activeTab="2" xr2:uid="{00000000-000D-0000-FFFF-FFFF00000000}"/>
  </bookViews>
  <sheets>
    <sheet name="INSTRUCTIVO" sheetId="24" r:id="rId1"/>
    <sheet name="FORMULACIÓN" sheetId="14" r:id="rId2"/>
    <sheet name="SEGUIMIENTO Y EVALUACIÓN" sheetId="20" r:id="rId3"/>
    <sheet name="CUMPLIMIENTO METAS Y LÍNEAS" sheetId="23" r:id="rId4"/>
    <sheet name="Lists" sheetId="19" state="hidden" r:id="rId5"/>
    <sheet name="inf" sheetId="22" state="hidden" r:id="rId6"/>
  </sheets>
  <externalReferences>
    <externalReference r:id="rId7"/>
    <externalReference r:id="rId8"/>
  </externalReferences>
  <definedNames>
    <definedName name="_xlnm._FilterDatabase" localSheetId="1" hidden="1">FORMULACIÓN!$A$11:$CG$263</definedName>
    <definedName name="_xlnm._FilterDatabase" localSheetId="2" hidden="1">'SEGUIMIENTO Y EVALUACIÓN'!$A$11:$CL$261</definedName>
    <definedName name="_xlcn.WorksheetConnection_for.seg.PDPIv3.xlsxTabla11" hidden="1">[1]!Tabla1</definedName>
    <definedName name="AÑOS" localSheetId="5">[2]Lists!$Q$2:$Q$31</definedName>
    <definedName name="AÑOS" localSheetId="0">#REF!</definedName>
    <definedName name="AÑOS">Lists!$Q$2:$Q$31</definedName>
    <definedName name="_xlnm.Print_Area" localSheetId="1">FORMULACIÓN!$A$4:$AK$73</definedName>
    <definedName name="lin" localSheetId="5">[2]Lists!$A$2:$A$6</definedName>
    <definedName name="lin" localSheetId="0">#REF!</definedName>
    <definedName name="lin">Lists!$A$2:$A$6</definedName>
    <definedName name="proyectos">[2]Lists!$A$50:$S$59</definedName>
    <definedName name="rang" localSheetId="0">#REF!</definedName>
    <definedName name="rang">inf!$A$2:$R$11</definedName>
    <definedName name="rang2" localSheetId="0">#REF!</definedName>
    <definedName name="rang2">inf!$A$14:$F$20</definedName>
  </definedNames>
  <calcPr calcId="191028"/>
  <pivotCaches>
    <pivotCache cacheId="0" r:id="rId9"/>
    <pivotCache cacheId="1"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or.&amp;seg.-PD&amp;PIv3.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20" l="1"/>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5" i="20"/>
  <c r="B236" i="20"/>
  <c r="B237" i="20"/>
  <c r="B238" i="20"/>
  <c r="B239" i="20"/>
  <c r="B240" i="20"/>
  <c r="B241" i="20"/>
  <c r="B242" i="20"/>
  <c r="B243" i="20"/>
  <c r="B244" i="20"/>
  <c r="B245" i="20"/>
  <c r="B246" i="20"/>
  <c r="B247" i="20"/>
  <c r="B248" i="20"/>
  <c r="B249" i="20"/>
  <c r="B250" i="20"/>
  <c r="B251" i="20"/>
  <c r="B252" i="20"/>
  <c r="B253" i="20"/>
  <c r="B254" i="20"/>
  <c r="B255" i="20"/>
  <c r="B256" i="20"/>
  <c r="B257" i="20"/>
  <c r="B258" i="20"/>
  <c r="B259" i="20"/>
  <c r="B260" i="20"/>
  <c r="B261" i="20"/>
  <c r="Q12" i="23"/>
  <c r="H422" i="19"/>
  <c r="H406" i="19"/>
  <c r="H407" i="19"/>
  <c r="H408" i="19"/>
  <c r="H409" i="19"/>
  <c r="H410" i="19"/>
  <c r="H411" i="19"/>
  <c r="H412" i="19"/>
  <c r="H413" i="19"/>
  <c r="H414" i="19"/>
  <c r="H415" i="19"/>
  <c r="H416" i="19"/>
  <c r="H417" i="19"/>
  <c r="H418" i="19"/>
  <c r="H419" i="19"/>
  <c r="H420" i="19"/>
  <c r="H421" i="19"/>
  <c r="H405" i="19"/>
  <c r="G650" i="19"/>
  <c r="G651" i="19"/>
  <c r="E650" i="19"/>
  <c r="F650" i="19"/>
  <c r="E651" i="19"/>
  <c r="F651" i="19"/>
  <c r="AV3" i="20"/>
  <c r="A3" i="22" l="1"/>
  <c r="A4" i="22"/>
  <c r="A5" i="22"/>
  <c r="B3" i="22"/>
  <c r="C3" i="22"/>
  <c r="D3" i="22"/>
  <c r="E3" i="22"/>
  <c r="F3" i="22"/>
  <c r="G3" i="22"/>
  <c r="H3" i="22"/>
  <c r="I3" i="22"/>
  <c r="J3" i="22"/>
  <c r="K3" i="22"/>
  <c r="L3" i="22"/>
  <c r="M3" i="22"/>
  <c r="N3" i="22"/>
  <c r="O3" i="22"/>
  <c r="P3" i="22"/>
  <c r="Q3" i="22"/>
  <c r="R3" i="22"/>
  <c r="B4" i="22"/>
  <c r="C4" i="22"/>
  <c r="D4" i="22"/>
  <c r="E4" i="22"/>
  <c r="F4" i="22"/>
  <c r="G4" i="22"/>
  <c r="H4" i="22"/>
  <c r="I4" i="22"/>
  <c r="J4" i="22"/>
  <c r="K4" i="22"/>
  <c r="L4" i="22"/>
  <c r="M4" i="22"/>
  <c r="N4" i="22"/>
  <c r="O4" i="22"/>
  <c r="P4" i="22"/>
  <c r="Q4" i="22"/>
  <c r="R4" i="22"/>
  <c r="B5" i="22"/>
  <c r="C5" i="22"/>
  <c r="D5" i="22"/>
  <c r="E5" i="22"/>
  <c r="F5" i="22"/>
  <c r="G5" i="22"/>
  <c r="H5" i="22"/>
  <c r="I5" i="22"/>
  <c r="J5" i="22"/>
  <c r="K5" i="22"/>
  <c r="L5" i="22"/>
  <c r="M5" i="22"/>
  <c r="N5" i="22"/>
  <c r="O5" i="22"/>
  <c r="P5" i="22"/>
  <c r="Q5" i="22"/>
  <c r="R5" i="22"/>
  <c r="A6" i="22"/>
  <c r="B6" i="22"/>
  <c r="C6" i="22"/>
  <c r="D6" i="22"/>
  <c r="E6" i="22"/>
  <c r="F6" i="22"/>
  <c r="G6" i="22"/>
  <c r="H6" i="22"/>
  <c r="I6" i="22"/>
  <c r="J6" i="22"/>
  <c r="K6" i="22"/>
  <c r="L6" i="22"/>
  <c r="M6" i="22"/>
  <c r="N6" i="22"/>
  <c r="O6" i="22"/>
  <c r="P6" i="22"/>
  <c r="Q6" i="22"/>
  <c r="R6" i="22"/>
  <c r="A7" i="22"/>
  <c r="B7" i="22"/>
  <c r="C7" i="22"/>
  <c r="D7" i="22"/>
  <c r="E7" i="22"/>
  <c r="F7" i="22"/>
  <c r="G7" i="22"/>
  <c r="H7" i="22"/>
  <c r="I7" i="22"/>
  <c r="J7" i="22"/>
  <c r="K7" i="22"/>
  <c r="L7" i="22"/>
  <c r="M7" i="22"/>
  <c r="N7" i="22"/>
  <c r="O7" i="22"/>
  <c r="P7" i="22"/>
  <c r="Q7" i="22"/>
  <c r="R7" i="22"/>
  <c r="A8" i="22"/>
  <c r="B8" i="22"/>
  <c r="C8" i="22"/>
  <c r="D8" i="22"/>
  <c r="E8" i="22"/>
  <c r="F8" i="22"/>
  <c r="G8" i="22"/>
  <c r="H8" i="22"/>
  <c r="I8" i="22"/>
  <c r="J8" i="22"/>
  <c r="K8" i="22"/>
  <c r="L8" i="22"/>
  <c r="M8" i="22"/>
  <c r="N8" i="22"/>
  <c r="O8" i="22"/>
  <c r="P8" i="22"/>
  <c r="Q8" i="22"/>
  <c r="R8" i="22"/>
  <c r="A9" i="22"/>
  <c r="B9" i="22"/>
  <c r="C9" i="22"/>
  <c r="D9" i="22"/>
  <c r="E9" i="22"/>
  <c r="F9" i="22"/>
  <c r="G9" i="22"/>
  <c r="H9" i="22"/>
  <c r="I9" i="22"/>
  <c r="J9" i="22"/>
  <c r="K9" i="22"/>
  <c r="L9" i="22"/>
  <c r="M9" i="22"/>
  <c r="N9" i="22"/>
  <c r="O9" i="22"/>
  <c r="P9" i="22"/>
  <c r="Q9" i="22"/>
  <c r="R9" i="22"/>
  <c r="A10" i="22"/>
  <c r="B10" i="22"/>
  <c r="C10" i="22"/>
  <c r="D10" i="22"/>
  <c r="E10" i="22"/>
  <c r="F10" i="22"/>
  <c r="G10" i="22"/>
  <c r="H10" i="22"/>
  <c r="I10" i="22"/>
  <c r="J10" i="22"/>
  <c r="K10" i="22"/>
  <c r="L10" i="22"/>
  <c r="M10" i="22"/>
  <c r="N10" i="22"/>
  <c r="O10" i="22"/>
  <c r="P10" i="22"/>
  <c r="Q10" i="22"/>
  <c r="R10" i="22"/>
  <c r="Q13"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R12" i="20"/>
  <c r="S12" i="20"/>
  <c r="Q12" i="20"/>
  <c r="A201" i="19"/>
  <c r="C201" i="19" s="1"/>
  <c r="A202" i="19"/>
  <c r="C202" i="19" s="1"/>
  <c r="A203" i="19"/>
  <c r="C203" i="19" s="1"/>
  <c r="A204" i="19"/>
  <c r="C204" i="19" s="1"/>
  <c r="A205" i="19"/>
  <c r="C205" i="19" s="1"/>
  <c r="A206" i="19"/>
  <c r="C206" i="19" s="1"/>
  <c r="A207" i="19"/>
  <c r="C207" i="19" s="1"/>
  <c r="A208" i="19"/>
  <c r="C208" i="19" s="1"/>
  <c r="A209" i="19"/>
  <c r="C209" i="19" s="1"/>
  <c r="A210" i="19"/>
  <c r="C210" i="19" s="1"/>
  <c r="A211" i="19"/>
  <c r="C211" i="19" s="1"/>
  <c r="A212" i="19"/>
  <c r="C212" i="19" s="1"/>
  <c r="A213" i="19"/>
  <c r="C213" i="19" s="1"/>
  <c r="A214" i="19"/>
  <c r="C214" i="19" s="1"/>
  <c r="A215" i="19"/>
  <c r="C215" i="19" s="1"/>
  <c r="A216" i="19"/>
  <c r="C216" i="19" s="1"/>
  <c r="A217" i="19"/>
  <c r="C217" i="19" s="1"/>
  <c r="A218" i="19"/>
  <c r="C218" i="19" s="1"/>
  <c r="A219" i="19"/>
  <c r="C219" i="19" s="1"/>
  <c r="A220" i="19"/>
  <c r="C220" i="19" s="1"/>
  <c r="A221" i="19"/>
  <c r="C221" i="19" s="1"/>
  <c r="A222" i="19"/>
  <c r="C222" i="19" s="1"/>
  <c r="A223" i="19"/>
  <c r="C223" i="19" s="1"/>
  <c r="A224" i="19"/>
  <c r="C224" i="19" s="1"/>
  <c r="A225" i="19"/>
  <c r="C225" i="19" s="1"/>
  <c r="A226" i="19"/>
  <c r="C226" i="19" s="1"/>
  <c r="A227" i="19"/>
  <c r="C227" i="19" s="1"/>
  <c r="A228" i="19"/>
  <c r="C228" i="19" s="1"/>
  <c r="A229" i="19"/>
  <c r="C229" i="19" s="1"/>
  <c r="A230" i="19"/>
  <c r="C230" i="19" s="1"/>
  <c r="A231" i="19"/>
  <c r="C231" i="19" s="1"/>
  <c r="A232" i="19"/>
  <c r="C232" i="19" s="1"/>
  <c r="A233" i="19"/>
  <c r="C233" i="19" s="1"/>
  <c r="A234" i="19"/>
  <c r="C234" i="19" s="1"/>
  <c r="A235" i="19"/>
  <c r="C235" i="19" s="1"/>
  <c r="A236" i="19"/>
  <c r="C236" i="19" s="1"/>
  <c r="A237" i="19"/>
  <c r="C237" i="19" s="1"/>
  <c r="A238" i="19"/>
  <c r="C238" i="19" s="1"/>
  <c r="A239" i="19"/>
  <c r="C239" i="19" s="1"/>
  <c r="A240" i="19"/>
  <c r="C240" i="19" s="1"/>
  <c r="A241" i="19"/>
  <c r="C241" i="19" s="1"/>
  <c r="A242" i="19"/>
  <c r="C242" i="19" s="1"/>
  <c r="A243" i="19"/>
  <c r="C243" i="19" s="1"/>
  <c r="A244" i="19"/>
  <c r="C244" i="19" s="1"/>
  <c r="A245" i="19"/>
  <c r="C245" i="19" s="1"/>
  <c r="A246" i="19"/>
  <c r="C246" i="19" s="1"/>
  <c r="A247" i="19"/>
  <c r="C247" i="19" s="1"/>
  <c r="A248" i="19"/>
  <c r="C248" i="19" s="1"/>
  <c r="A249" i="19"/>
  <c r="C249" i="19" s="1"/>
  <c r="A250" i="19"/>
  <c r="C250" i="19" s="1"/>
  <c r="A251" i="19"/>
  <c r="C251" i="19" s="1"/>
  <c r="A252" i="19"/>
  <c r="C252" i="19" s="1"/>
  <c r="A253" i="19"/>
  <c r="C253" i="19" s="1"/>
  <c r="A254" i="19"/>
  <c r="C254" i="19" s="1"/>
  <c r="A255" i="19"/>
  <c r="C255" i="19" s="1"/>
  <c r="A256" i="19"/>
  <c r="C256" i="19" s="1"/>
  <c r="A257" i="19"/>
  <c r="C257" i="19" s="1"/>
  <c r="A258" i="19"/>
  <c r="C258" i="19" s="1"/>
  <c r="A259" i="19"/>
  <c r="C259" i="19" s="1"/>
  <c r="A260" i="19"/>
  <c r="C260" i="19" s="1"/>
  <c r="A261" i="19"/>
  <c r="C261" i="19" s="1"/>
  <c r="A262" i="19"/>
  <c r="C262" i="19" s="1"/>
  <c r="A263" i="19"/>
  <c r="C263" i="19" s="1"/>
  <c r="A264" i="19"/>
  <c r="C264" i="19" s="1"/>
  <c r="A265" i="19"/>
  <c r="C265" i="19" s="1"/>
  <c r="A266" i="19"/>
  <c r="C266" i="19" s="1"/>
  <c r="A267" i="19"/>
  <c r="C267" i="19" s="1"/>
  <c r="A268" i="19"/>
  <c r="C268" i="19" s="1"/>
  <c r="A269" i="19"/>
  <c r="C269" i="19" s="1"/>
  <c r="A270" i="19"/>
  <c r="C270" i="19" s="1"/>
  <c r="A271" i="19"/>
  <c r="C271" i="19" s="1"/>
  <c r="A272" i="19"/>
  <c r="C272" i="19" s="1"/>
  <c r="A273" i="19"/>
  <c r="C273" i="19" s="1"/>
  <c r="A274" i="19"/>
  <c r="C274" i="19" s="1"/>
  <c r="A275" i="19"/>
  <c r="C275" i="19" s="1"/>
  <c r="A276" i="19"/>
  <c r="C276" i="19" s="1"/>
  <c r="A277" i="19"/>
  <c r="C277" i="19" s="1"/>
  <c r="A278" i="19"/>
  <c r="C278" i="19" s="1"/>
  <c r="A279" i="19"/>
  <c r="C279" i="19" s="1"/>
  <c r="A280" i="19"/>
  <c r="C280" i="19" s="1"/>
  <c r="A281" i="19"/>
  <c r="C281" i="19" s="1"/>
  <c r="A282" i="19"/>
  <c r="C282" i="19" s="1"/>
  <c r="A283" i="19"/>
  <c r="C283" i="19" s="1"/>
  <c r="A284" i="19"/>
  <c r="C284" i="19" s="1"/>
  <c r="A285" i="19"/>
  <c r="C285" i="19" s="1"/>
  <c r="A286" i="19"/>
  <c r="C286" i="19" s="1"/>
  <c r="A287" i="19"/>
  <c r="C287" i="19" s="1"/>
  <c r="A288" i="19"/>
  <c r="C288" i="19" s="1"/>
  <c r="A289" i="19"/>
  <c r="C289" i="19" s="1"/>
  <c r="A290" i="19"/>
  <c r="C290" i="19" s="1"/>
  <c r="A291" i="19"/>
  <c r="C291" i="19" s="1"/>
  <c r="A292" i="19"/>
  <c r="C292" i="19" s="1"/>
  <c r="A293" i="19"/>
  <c r="C293" i="19" s="1"/>
  <c r="A294" i="19"/>
  <c r="C294" i="19" s="1"/>
  <c r="A295" i="19"/>
  <c r="C295" i="19" s="1"/>
  <c r="A296" i="19"/>
  <c r="C296" i="19" s="1"/>
  <c r="A297" i="19"/>
  <c r="C297" i="19" s="1"/>
  <c r="A298" i="19"/>
  <c r="C298" i="19" s="1"/>
  <c r="A299" i="19"/>
  <c r="C299" i="19" s="1"/>
  <c r="A300" i="19"/>
  <c r="C300" i="19" s="1"/>
  <c r="A301" i="19"/>
  <c r="C301" i="19" s="1"/>
  <c r="A302" i="19"/>
  <c r="C302" i="19" s="1"/>
  <c r="A303" i="19"/>
  <c r="C303" i="19" s="1"/>
  <c r="A304" i="19"/>
  <c r="C304" i="19" s="1"/>
  <c r="A305" i="19"/>
  <c r="C305" i="19" s="1"/>
  <c r="A306" i="19"/>
  <c r="C306" i="19" s="1"/>
  <c r="A307" i="19"/>
  <c r="C307" i="19" s="1"/>
  <c r="A308" i="19"/>
  <c r="C308" i="19" s="1"/>
  <c r="A309" i="19"/>
  <c r="C309" i="19" s="1"/>
  <c r="A310" i="19"/>
  <c r="C310" i="19" s="1"/>
  <c r="A311" i="19"/>
  <c r="C311" i="19" s="1"/>
  <c r="A312" i="19"/>
  <c r="C312" i="19" s="1"/>
  <c r="A313" i="19"/>
  <c r="C313" i="19" s="1"/>
  <c r="A314" i="19"/>
  <c r="C314" i="19" s="1"/>
  <c r="A315" i="19"/>
  <c r="C315" i="19" s="1"/>
  <c r="A316" i="19"/>
  <c r="C316" i="19" s="1"/>
  <c r="A317" i="19"/>
  <c r="C317" i="19" s="1"/>
  <c r="A318" i="19"/>
  <c r="C318" i="19" s="1"/>
  <c r="A319" i="19"/>
  <c r="C319" i="19" s="1"/>
  <c r="A320" i="19"/>
  <c r="C320" i="19" s="1"/>
  <c r="A321" i="19"/>
  <c r="C321" i="19" s="1"/>
  <c r="A322" i="19"/>
  <c r="C322" i="19" s="1"/>
  <c r="A323" i="19"/>
  <c r="C323" i="19" s="1"/>
  <c r="A324" i="19"/>
  <c r="C324" i="19" s="1"/>
  <c r="A325" i="19"/>
  <c r="C325" i="19" s="1"/>
  <c r="A326" i="19"/>
  <c r="C326" i="19" s="1"/>
  <c r="A327" i="19"/>
  <c r="C327" i="19" s="1"/>
  <c r="A328" i="19"/>
  <c r="C328" i="19" s="1"/>
  <c r="A329" i="19"/>
  <c r="C329" i="19" s="1"/>
  <c r="A330" i="19"/>
  <c r="C330" i="19" s="1"/>
  <c r="A331" i="19"/>
  <c r="C331" i="19" s="1"/>
  <c r="A332" i="19"/>
  <c r="C332" i="19" s="1"/>
  <c r="A333" i="19"/>
  <c r="C333" i="19" s="1"/>
  <c r="A334" i="19"/>
  <c r="C334" i="19" s="1"/>
  <c r="A335" i="19"/>
  <c r="C335" i="19" s="1"/>
  <c r="A336" i="19"/>
  <c r="C336" i="19" s="1"/>
  <c r="A337" i="19"/>
  <c r="C337" i="19" s="1"/>
  <c r="A338" i="19"/>
  <c r="C338" i="19" s="1"/>
  <c r="A339" i="19"/>
  <c r="C339" i="19" s="1"/>
  <c r="A340" i="19"/>
  <c r="C340" i="19" s="1"/>
  <c r="A341" i="19"/>
  <c r="C341" i="19" s="1"/>
  <c r="A342" i="19"/>
  <c r="C342" i="19" s="1"/>
  <c r="A343" i="19"/>
  <c r="C343" i="19" s="1"/>
  <c r="A344" i="19"/>
  <c r="C344" i="19" s="1"/>
  <c r="A345" i="19"/>
  <c r="C345" i="19" s="1"/>
  <c r="A346" i="19"/>
  <c r="C346" i="19" s="1"/>
  <c r="A347" i="19"/>
  <c r="C347" i="19" s="1"/>
  <c r="A348" i="19"/>
  <c r="C348" i="19" s="1"/>
  <c r="A349" i="19"/>
  <c r="C349" i="19" s="1"/>
  <c r="A350" i="19"/>
  <c r="C350" i="19" s="1"/>
  <c r="A351" i="19"/>
  <c r="C351" i="19" s="1"/>
  <c r="A352" i="19"/>
  <c r="C352" i="19" s="1"/>
  <c r="A353" i="19"/>
  <c r="C353" i="19" s="1"/>
  <c r="A354" i="19"/>
  <c r="C354" i="19" s="1"/>
  <c r="A355" i="19"/>
  <c r="C355" i="19" s="1"/>
  <c r="A356" i="19"/>
  <c r="C356" i="19" s="1"/>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200" i="19"/>
  <c r="C200" i="19" s="1"/>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74" i="14"/>
  <c r="C75" i="14"/>
  <c r="C76" i="14"/>
  <c r="C77" i="14"/>
  <c r="C78" i="14"/>
  <c r="C79" i="14"/>
  <c r="C80" i="14"/>
  <c r="C81" i="14"/>
  <c r="C82" i="14"/>
  <c r="C83" i="14"/>
  <c r="C84" i="14"/>
  <c r="C85" i="14"/>
  <c r="C86" i="14"/>
  <c r="C87" i="14"/>
  <c r="C88" i="14"/>
  <c r="C89" i="14"/>
  <c r="C90" i="14"/>
  <c r="C91" i="14"/>
  <c r="C92" i="14"/>
  <c r="C93" i="14"/>
  <c r="C94" i="14"/>
  <c r="C95" i="14"/>
  <c r="C96" i="14"/>
  <c r="C97" i="14"/>
  <c r="P26" i="14"/>
  <c r="Q26" i="14" s="1"/>
  <c r="I26" i="20" s="1"/>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M81" i="22"/>
  <c r="M82" i="22"/>
  <c r="M83" i="22"/>
  <c r="M84" i="22"/>
  <c r="M85" i="22"/>
  <c r="S32" i="22"/>
  <c r="S33" i="22"/>
  <c r="S34" i="22"/>
  <c r="S35" i="22"/>
  <c r="S31" i="22"/>
  <c r="D6" i="20"/>
  <c r="A157" i="14"/>
  <c r="A157" i="20" s="1"/>
  <c r="A158" i="14"/>
  <c r="A158" i="20" s="1"/>
  <c r="A159" i="14"/>
  <c r="A159" i="20" s="1"/>
  <c r="A160" i="14"/>
  <c r="A160" i="20" s="1"/>
  <c r="A161" i="14"/>
  <c r="A161" i="20" s="1"/>
  <c r="A162" i="14"/>
  <c r="A163" i="14"/>
  <c r="A163" i="20" s="1"/>
  <c r="A164" i="14"/>
  <c r="A164" i="20" s="1"/>
  <c r="A165" i="14"/>
  <c r="A165" i="20" s="1"/>
  <c r="A166" i="14"/>
  <c r="A167" i="14"/>
  <c r="A167" i="20" s="1"/>
  <c r="A168" i="14"/>
  <c r="A168" i="20" s="1"/>
  <c r="A169" i="14"/>
  <c r="A169" i="20" s="1"/>
  <c r="A170" i="14"/>
  <c r="A170" i="20" s="1"/>
  <c r="A171" i="14"/>
  <c r="A171" i="20" s="1"/>
  <c r="A172" i="14"/>
  <c r="A172" i="20" s="1"/>
  <c r="A173" i="14"/>
  <c r="A173" i="20" s="1"/>
  <c r="A174" i="14"/>
  <c r="A175" i="14"/>
  <c r="A175" i="20" s="1"/>
  <c r="A176" i="14"/>
  <c r="A176" i="20" s="1"/>
  <c r="A177" i="14"/>
  <c r="A177" i="20" s="1"/>
  <c r="A178" i="14"/>
  <c r="A178" i="20" s="1"/>
  <c r="A179" i="14"/>
  <c r="A179" i="20" s="1"/>
  <c r="A180" i="14"/>
  <c r="A180" i="20" s="1"/>
  <c r="A181" i="14"/>
  <c r="A181" i="20" s="1"/>
  <c r="A182" i="14"/>
  <c r="A182" i="20" s="1"/>
  <c r="A183" i="14"/>
  <c r="A183" i="20" s="1"/>
  <c r="A184" i="14"/>
  <c r="A184" i="20" s="1"/>
  <c r="A185" i="14"/>
  <c r="A185" i="20" s="1"/>
  <c r="A186" i="14"/>
  <c r="A186" i="20" s="1"/>
  <c r="A187" i="14"/>
  <c r="A187" i="20" s="1"/>
  <c r="A188" i="14"/>
  <c r="A188" i="20" s="1"/>
  <c r="A189" i="14"/>
  <c r="A189" i="20" s="1"/>
  <c r="A190" i="14"/>
  <c r="A190" i="20" s="1"/>
  <c r="A191" i="14"/>
  <c r="A191" i="20" s="1"/>
  <c r="A192" i="14"/>
  <c r="A192" i="20" s="1"/>
  <c r="A193" i="14"/>
  <c r="A193" i="20" s="1"/>
  <c r="A194" i="14"/>
  <c r="A194" i="20" s="1"/>
  <c r="A195" i="14"/>
  <c r="A195" i="20" s="1"/>
  <c r="A196" i="14"/>
  <c r="A196" i="20" s="1"/>
  <c r="A197" i="14"/>
  <c r="A197" i="20" s="1"/>
  <c r="A198" i="14"/>
  <c r="A198" i="20" s="1"/>
  <c r="A199" i="14"/>
  <c r="A199" i="20" s="1"/>
  <c r="A200" i="14"/>
  <c r="A200" i="20" s="1"/>
  <c r="A201" i="14"/>
  <c r="A201" i="20" s="1"/>
  <c r="A202" i="14"/>
  <c r="A202" i="20" s="1"/>
  <c r="A203" i="14"/>
  <c r="A203" i="20" s="1"/>
  <c r="A204" i="14"/>
  <c r="A204" i="20" s="1"/>
  <c r="A205" i="14"/>
  <c r="A205" i="20" s="1"/>
  <c r="A206" i="14"/>
  <c r="A206" i="20" s="1"/>
  <c r="A207" i="14"/>
  <c r="A207" i="20" s="1"/>
  <c r="A208" i="14"/>
  <c r="A208" i="20" s="1"/>
  <c r="A209" i="14"/>
  <c r="A209" i="20" s="1"/>
  <c r="A210" i="14"/>
  <c r="A210" i="20" s="1"/>
  <c r="A211" i="14"/>
  <c r="A211" i="20" s="1"/>
  <c r="A212" i="14"/>
  <c r="A212" i="20" s="1"/>
  <c r="A213" i="14"/>
  <c r="A213" i="20" s="1"/>
  <c r="A214" i="14"/>
  <c r="A214" i="20" s="1"/>
  <c r="A215" i="14"/>
  <c r="A215" i="20" s="1"/>
  <c r="A216" i="14"/>
  <c r="A216" i="20" s="1"/>
  <c r="A217" i="14"/>
  <c r="A217" i="20" s="1"/>
  <c r="A218" i="14"/>
  <c r="A218" i="20" s="1"/>
  <c r="A219" i="14"/>
  <c r="A219" i="20" s="1"/>
  <c r="A220" i="14"/>
  <c r="A220" i="20" s="1"/>
  <c r="A221" i="14"/>
  <c r="A221" i="20" s="1"/>
  <c r="A222" i="14"/>
  <c r="A222" i="20" s="1"/>
  <c r="A223" i="14"/>
  <c r="A223" i="20" s="1"/>
  <c r="A224" i="14"/>
  <c r="A224" i="20" s="1"/>
  <c r="A225" i="14"/>
  <c r="A225" i="20" s="1"/>
  <c r="A226" i="14"/>
  <c r="A226" i="20" s="1"/>
  <c r="A227" i="14"/>
  <c r="A227" i="20" s="1"/>
  <c r="A228" i="14"/>
  <c r="A228" i="20" s="1"/>
  <c r="A229" i="14"/>
  <c r="A229" i="20" s="1"/>
  <c r="A230" i="14"/>
  <c r="A230" i="20" s="1"/>
  <c r="A231" i="14"/>
  <c r="A231" i="20" s="1"/>
  <c r="A232" i="14"/>
  <c r="A232" i="20" s="1"/>
  <c r="A233" i="14"/>
  <c r="A233" i="20" s="1"/>
  <c r="A234" i="14"/>
  <c r="A234" i="20" s="1"/>
  <c r="A235" i="14"/>
  <c r="A235" i="20" s="1"/>
  <c r="A236" i="14"/>
  <c r="A236" i="20" s="1"/>
  <c r="A237" i="14"/>
  <c r="A237" i="20" s="1"/>
  <c r="A238" i="14"/>
  <c r="A238" i="20" s="1"/>
  <c r="A239" i="14"/>
  <c r="A239" i="20" s="1"/>
  <c r="A240" i="14"/>
  <c r="A240" i="20" s="1"/>
  <c r="A241" i="14"/>
  <c r="A241" i="20" s="1"/>
  <c r="A242" i="14"/>
  <c r="A242" i="20" s="1"/>
  <c r="A243" i="14"/>
  <c r="A243" i="20" s="1"/>
  <c r="A244" i="14"/>
  <c r="A244" i="20" s="1"/>
  <c r="A245" i="14"/>
  <c r="A245" i="20" s="1"/>
  <c r="A246" i="14"/>
  <c r="A246" i="20" s="1"/>
  <c r="A247" i="14"/>
  <c r="A247" i="20" s="1"/>
  <c r="A248" i="14"/>
  <c r="A248" i="20" s="1"/>
  <c r="A249" i="14"/>
  <c r="A249" i="20" s="1"/>
  <c r="A250" i="14"/>
  <c r="A250" i="20" s="1"/>
  <c r="A251" i="14"/>
  <c r="A251" i="20" s="1"/>
  <c r="A252" i="14"/>
  <c r="A252" i="20" s="1"/>
  <c r="A253" i="14"/>
  <c r="A253" i="20" s="1"/>
  <c r="A254" i="14"/>
  <c r="A254" i="20" s="1"/>
  <c r="A255" i="14"/>
  <c r="A255" i="20" s="1"/>
  <c r="A256" i="14"/>
  <c r="A256" i="20" s="1"/>
  <c r="A257" i="14"/>
  <c r="A257" i="20" s="1"/>
  <c r="A258" i="14"/>
  <c r="A258" i="20" s="1"/>
  <c r="A259" i="14"/>
  <c r="A259" i="20" s="1"/>
  <c r="A260" i="14"/>
  <c r="A260" i="20" s="1"/>
  <c r="A261" i="14"/>
  <c r="A261" i="20" s="1"/>
  <c r="B121" i="24"/>
  <c r="B135" i="24"/>
  <c r="B149" i="24"/>
  <c r="B118" i="24"/>
  <c r="B132" i="24"/>
  <c r="B146" i="24"/>
  <c r="B115" i="24"/>
  <c r="B129" i="24"/>
  <c r="B143" i="24"/>
  <c r="B112" i="24"/>
  <c r="B126" i="24"/>
  <c r="B140" i="24"/>
  <c r="D89" i="24"/>
  <c r="J12" i="20"/>
  <c r="R8" i="14"/>
  <c r="Q8" i="20" s="1"/>
  <c r="A12" i="14"/>
  <c r="A13" i="14" s="1"/>
  <c r="P16" i="14"/>
  <c r="Q16" i="14" s="1"/>
  <c r="I16" i="20" s="1"/>
  <c r="P17" i="14"/>
  <c r="Q17" i="14" s="1"/>
  <c r="I17" i="20" s="1"/>
  <c r="P18" i="14"/>
  <c r="Q18" i="14" s="1"/>
  <c r="I18" i="20" s="1"/>
  <c r="P19" i="14"/>
  <c r="Q19" i="14" s="1"/>
  <c r="I19" i="20" s="1"/>
  <c r="P20" i="14"/>
  <c r="Q20" i="14" s="1"/>
  <c r="I20" i="20" s="1"/>
  <c r="C2" i="19"/>
  <c r="D2" i="19"/>
  <c r="E2" i="19"/>
  <c r="F2" i="19"/>
  <c r="G2" i="19"/>
  <c r="P13" i="14"/>
  <c r="Q13" i="14" s="1"/>
  <c r="I13" i="20" s="1"/>
  <c r="P14" i="14"/>
  <c r="Q14" i="14" s="1"/>
  <c r="I14" i="20" s="1"/>
  <c r="P15" i="14"/>
  <c r="Q15" i="14" s="1"/>
  <c r="I15" i="20" s="1"/>
  <c r="P21" i="14"/>
  <c r="Q21" i="14" s="1"/>
  <c r="I21" i="20" s="1"/>
  <c r="P22" i="14"/>
  <c r="Q22" i="14" s="1"/>
  <c r="I22" i="20" s="1"/>
  <c r="P23" i="14"/>
  <c r="Q23" i="14" s="1"/>
  <c r="I23" i="20" s="1"/>
  <c r="P24" i="14"/>
  <c r="Q24" i="14" s="1"/>
  <c r="I24" i="20" s="1"/>
  <c r="P25" i="14"/>
  <c r="Q25" i="14" s="1"/>
  <c r="I25" i="20" s="1"/>
  <c r="P27" i="14"/>
  <c r="Q27" i="14" s="1"/>
  <c r="I27" i="20" s="1"/>
  <c r="P28" i="14"/>
  <c r="Q28" i="14" s="1"/>
  <c r="I28" i="20" s="1"/>
  <c r="P29" i="14"/>
  <c r="Q29" i="14" s="1"/>
  <c r="I29" i="20" s="1"/>
  <c r="P30" i="14"/>
  <c r="Q30" i="14" s="1"/>
  <c r="I30" i="20" s="1"/>
  <c r="P31" i="14"/>
  <c r="Q31" i="14" s="1"/>
  <c r="I31" i="20" s="1"/>
  <c r="P32" i="14"/>
  <c r="Q32" i="14" s="1"/>
  <c r="I32" i="20" s="1"/>
  <c r="P33" i="14"/>
  <c r="Q33" i="14" s="1"/>
  <c r="I33" i="20" s="1"/>
  <c r="P34" i="14"/>
  <c r="Q34" i="14" s="1"/>
  <c r="I34" i="20" s="1"/>
  <c r="P35" i="14"/>
  <c r="Q35" i="14" s="1"/>
  <c r="I35" i="20" s="1"/>
  <c r="P36" i="14"/>
  <c r="Q36" i="14" s="1"/>
  <c r="I36" i="20" s="1"/>
  <c r="P37" i="14"/>
  <c r="Q37" i="14" s="1"/>
  <c r="I37" i="20" s="1"/>
  <c r="P38" i="14"/>
  <c r="Q38" i="14" s="1"/>
  <c r="I38" i="20" s="1"/>
  <c r="P39" i="14"/>
  <c r="Q39" i="14" s="1"/>
  <c r="I39" i="20" s="1"/>
  <c r="P40" i="14"/>
  <c r="Q40" i="14" s="1"/>
  <c r="I40" i="20" s="1"/>
  <c r="P41" i="14"/>
  <c r="Q41" i="14" s="1"/>
  <c r="I41" i="20" s="1"/>
  <c r="P42" i="14"/>
  <c r="Q42" i="14" s="1"/>
  <c r="I42" i="20" s="1"/>
  <c r="P43" i="14"/>
  <c r="Q43" i="14" s="1"/>
  <c r="I43" i="20" s="1"/>
  <c r="P44" i="14"/>
  <c r="Q44" i="14" s="1"/>
  <c r="I44" i="20" s="1"/>
  <c r="P45" i="14"/>
  <c r="Q45" i="14" s="1"/>
  <c r="I45" i="20" s="1"/>
  <c r="P46" i="14"/>
  <c r="Q46" i="14" s="1"/>
  <c r="I46" i="20" s="1"/>
  <c r="P47" i="14"/>
  <c r="Q47" i="14" s="1"/>
  <c r="I47" i="20" s="1"/>
  <c r="P48" i="14"/>
  <c r="P49" i="14"/>
  <c r="Q49" i="14" s="1"/>
  <c r="I49" i="20" s="1"/>
  <c r="P50" i="14"/>
  <c r="Q50" i="14" s="1"/>
  <c r="I50" i="20" s="1"/>
  <c r="P51" i="14"/>
  <c r="Q51" i="14" s="1"/>
  <c r="I51" i="20" s="1"/>
  <c r="P52" i="14"/>
  <c r="Q52" i="14" s="1"/>
  <c r="I52" i="20" s="1"/>
  <c r="P53" i="14"/>
  <c r="Q53" i="14" s="1"/>
  <c r="I53" i="20" s="1"/>
  <c r="P54" i="14"/>
  <c r="Q54" i="14" s="1"/>
  <c r="I54" i="20" s="1"/>
  <c r="P55" i="14"/>
  <c r="Q55" i="14" s="1"/>
  <c r="I55" i="20" s="1"/>
  <c r="P56" i="14"/>
  <c r="Q56" i="14" s="1"/>
  <c r="I56" i="20" s="1"/>
  <c r="P57" i="14"/>
  <c r="Q57" i="14" s="1"/>
  <c r="I57" i="20" s="1"/>
  <c r="P58" i="14"/>
  <c r="Q58" i="14" s="1"/>
  <c r="I58" i="20" s="1"/>
  <c r="P59" i="14"/>
  <c r="Q59" i="14" s="1"/>
  <c r="I59" i="20" s="1"/>
  <c r="P60" i="14"/>
  <c r="Q60" i="14" s="1"/>
  <c r="I60" i="20" s="1"/>
  <c r="P61" i="14"/>
  <c r="Q61" i="14" s="1"/>
  <c r="I61" i="20" s="1"/>
  <c r="P62" i="14"/>
  <c r="Q62" i="14" s="1"/>
  <c r="I62" i="20" s="1"/>
  <c r="P63" i="14"/>
  <c r="Q63" i="14" s="1"/>
  <c r="I63" i="20" s="1"/>
  <c r="P64" i="14"/>
  <c r="Q64" i="14" s="1"/>
  <c r="I64" i="20" s="1"/>
  <c r="P65" i="14"/>
  <c r="Q65" i="14" s="1"/>
  <c r="I65" i="20" s="1"/>
  <c r="P66" i="14"/>
  <c r="Q66" i="14" s="1"/>
  <c r="I66" i="20" s="1"/>
  <c r="P67" i="14"/>
  <c r="Q67" i="14" s="1"/>
  <c r="I67" i="20" s="1"/>
  <c r="P68" i="14"/>
  <c r="Q68" i="14" s="1"/>
  <c r="I68" i="20" s="1"/>
  <c r="P69" i="14"/>
  <c r="Q69" i="14" s="1"/>
  <c r="I69" i="20" s="1"/>
  <c r="P70" i="14"/>
  <c r="Q70" i="14" s="1"/>
  <c r="I70" i="20" s="1"/>
  <c r="P71" i="14"/>
  <c r="Q71" i="14" s="1"/>
  <c r="I71" i="20" s="1"/>
  <c r="P72" i="14"/>
  <c r="Q72" i="14" s="1"/>
  <c r="I72" i="20" s="1"/>
  <c r="P73" i="14"/>
  <c r="Q73" i="14" s="1"/>
  <c r="I73" i="20" s="1"/>
  <c r="P74" i="14"/>
  <c r="Q74" i="14" s="1"/>
  <c r="I74" i="20" s="1"/>
  <c r="P75" i="14"/>
  <c r="Q75" i="14" s="1"/>
  <c r="I75" i="20" s="1"/>
  <c r="P76" i="14"/>
  <c r="Q76" i="14" s="1"/>
  <c r="I76" i="20" s="1"/>
  <c r="P77" i="14"/>
  <c r="Q77" i="14" s="1"/>
  <c r="I77" i="20" s="1"/>
  <c r="P78" i="14"/>
  <c r="Q78" i="14" s="1"/>
  <c r="I78" i="20" s="1"/>
  <c r="P79" i="14"/>
  <c r="Q79" i="14" s="1"/>
  <c r="I79" i="20" s="1"/>
  <c r="P80" i="14"/>
  <c r="Q80" i="14" s="1"/>
  <c r="I80" i="20" s="1"/>
  <c r="P81" i="14"/>
  <c r="Q81" i="14" s="1"/>
  <c r="I81" i="20" s="1"/>
  <c r="P82" i="14"/>
  <c r="Q82" i="14" s="1"/>
  <c r="I82" i="20" s="1"/>
  <c r="P83" i="14"/>
  <c r="Q83" i="14" s="1"/>
  <c r="I83" i="20" s="1"/>
  <c r="P84" i="14"/>
  <c r="P85" i="14"/>
  <c r="Q85" i="14" s="1"/>
  <c r="I85" i="20" s="1"/>
  <c r="P86" i="14"/>
  <c r="Q86" i="14" s="1"/>
  <c r="I86" i="20" s="1"/>
  <c r="P87" i="14"/>
  <c r="Q87" i="14" s="1"/>
  <c r="I87" i="20" s="1"/>
  <c r="P88" i="14"/>
  <c r="Q88" i="14" s="1"/>
  <c r="I88" i="20" s="1"/>
  <c r="P89" i="14"/>
  <c r="Q89" i="14" s="1"/>
  <c r="I89" i="20" s="1"/>
  <c r="P90" i="14"/>
  <c r="P91" i="14"/>
  <c r="Q91" i="14" s="1"/>
  <c r="I91" i="20" s="1"/>
  <c r="P92" i="14"/>
  <c r="Q92" i="14" s="1"/>
  <c r="I92" i="20" s="1"/>
  <c r="P93" i="14"/>
  <c r="Q93" i="14" s="1"/>
  <c r="I93" i="20" s="1"/>
  <c r="P94" i="14"/>
  <c r="Q94" i="14" s="1"/>
  <c r="I94" i="20" s="1"/>
  <c r="P95" i="14"/>
  <c r="Q95" i="14" s="1"/>
  <c r="I95" i="20" s="1"/>
  <c r="P96" i="14"/>
  <c r="Q96" i="14" s="1"/>
  <c r="I96" i="20" s="1"/>
  <c r="P97" i="14"/>
  <c r="Q97" i="14" s="1"/>
  <c r="I97" i="20" s="1"/>
  <c r="P98" i="14"/>
  <c r="Q98" i="14" s="1"/>
  <c r="I98" i="20" s="1"/>
  <c r="P99" i="14"/>
  <c r="Q99" i="14" s="1"/>
  <c r="I99" i="20" s="1"/>
  <c r="P100" i="14"/>
  <c r="Q100" i="14" s="1"/>
  <c r="I100" i="20" s="1"/>
  <c r="P101" i="14"/>
  <c r="Q101" i="14" s="1"/>
  <c r="I101" i="20" s="1"/>
  <c r="P102" i="14"/>
  <c r="Q102" i="14" s="1"/>
  <c r="I102" i="20" s="1"/>
  <c r="P103" i="14"/>
  <c r="Q103" i="14" s="1"/>
  <c r="I103" i="20" s="1"/>
  <c r="P104" i="14"/>
  <c r="Q104" i="14" s="1"/>
  <c r="I104" i="20" s="1"/>
  <c r="P105" i="14"/>
  <c r="Q105" i="14" s="1"/>
  <c r="I105" i="20" s="1"/>
  <c r="P106" i="14"/>
  <c r="Q106" i="14" s="1"/>
  <c r="I106" i="20" s="1"/>
  <c r="P107" i="14"/>
  <c r="P108" i="14"/>
  <c r="Q108" i="14" s="1"/>
  <c r="I108" i="20" s="1"/>
  <c r="P109" i="14"/>
  <c r="Q109" i="14" s="1"/>
  <c r="I109" i="20" s="1"/>
  <c r="P110" i="14"/>
  <c r="Q110" i="14" s="1"/>
  <c r="I110" i="20" s="1"/>
  <c r="P111" i="14"/>
  <c r="Q111" i="14" s="1"/>
  <c r="I111" i="20" s="1"/>
  <c r="P112" i="14"/>
  <c r="Q112" i="14" s="1"/>
  <c r="I112" i="20" s="1"/>
  <c r="P113" i="14"/>
  <c r="Q113" i="14" s="1"/>
  <c r="I113" i="20" s="1"/>
  <c r="P114" i="14"/>
  <c r="Q114" i="14" s="1"/>
  <c r="I114" i="20" s="1"/>
  <c r="P115" i="14"/>
  <c r="Q115" i="14" s="1"/>
  <c r="I115" i="20" s="1"/>
  <c r="P116" i="14"/>
  <c r="Q116" i="14" s="1"/>
  <c r="I116" i="20" s="1"/>
  <c r="P117" i="14"/>
  <c r="Q117" i="14" s="1"/>
  <c r="I117" i="20" s="1"/>
  <c r="P118" i="14"/>
  <c r="Q118" i="14" s="1"/>
  <c r="I118" i="20" s="1"/>
  <c r="P119" i="14"/>
  <c r="Q119" i="14" s="1"/>
  <c r="I119" i="20" s="1"/>
  <c r="P120" i="14"/>
  <c r="P121" i="14"/>
  <c r="Q121" i="14" s="1"/>
  <c r="I121" i="20" s="1"/>
  <c r="P122" i="14"/>
  <c r="Q122" i="14" s="1"/>
  <c r="I122" i="20" s="1"/>
  <c r="P123" i="14"/>
  <c r="Q123" i="14" s="1"/>
  <c r="I123" i="20" s="1"/>
  <c r="P124" i="14"/>
  <c r="Q124" i="14" s="1"/>
  <c r="I124" i="20" s="1"/>
  <c r="P125" i="14"/>
  <c r="Q125" i="14" s="1"/>
  <c r="I125" i="20" s="1"/>
  <c r="P126" i="14"/>
  <c r="Q126" i="14" s="1"/>
  <c r="I126" i="20" s="1"/>
  <c r="P127" i="14"/>
  <c r="Q127" i="14" s="1"/>
  <c r="I127" i="20" s="1"/>
  <c r="P128" i="14"/>
  <c r="Q128" i="14" s="1"/>
  <c r="I128" i="20" s="1"/>
  <c r="P129" i="14"/>
  <c r="Q129" i="14" s="1"/>
  <c r="I129" i="20" s="1"/>
  <c r="P130" i="14"/>
  <c r="Q130" i="14" s="1"/>
  <c r="I130" i="20" s="1"/>
  <c r="P131" i="14"/>
  <c r="P132" i="14"/>
  <c r="Q132" i="14" s="1"/>
  <c r="I132" i="20" s="1"/>
  <c r="P133" i="14"/>
  <c r="Q133" i="14" s="1"/>
  <c r="I133" i="20" s="1"/>
  <c r="P134" i="14"/>
  <c r="Q134" i="14" s="1"/>
  <c r="I134" i="20" s="1"/>
  <c r="P135" i="14"/>
  <c r="Q135" i="14" s="1"/>
  <c r="I135" i="20" s="1"/>
  <c r="P136" i="14"/>
  <c r="Q136" i="14" s="1"/>
  <c r="I136" i="20" s="1"/>
  <c r="P137" i="14"/>
  <c r="Q137" i="14" s="1"/>
  <c r="I137" i="20" s="1"/>
  <c r="P138" i="14"/>
  <c r="Q138" i="14" s="1"/>
  <c r="I138" i="20" s="1"/>
  <c r="P139" i="14"/>
  <c r="Q139" i="14" s="1"/>
  <c r="I139" i="20" s="1"/>
  <c r="P140" i="14"/>
  <c r="Q140" i="14" s="1"/>
  <c r="I140" i="20" s="1"/>
  <c r="P141" i="14"/>
  <c r="Q141" i="14" s="1"/>
  <c r="I141" i="20" s="1"/>
  <c r="P142" i="14"/>
  <c r="Q142" i="14" s="1"/>
  <c r="I142" i="20" s="1"/>
  <c r="P143" i="14"/>
  <c r="Q143" i="14" s="1"/>
  <c r="I143" i="20" s="1"/>
  <c r="P144" i="14"/>
  <c r="P145" i="14"/>
  <c r="Q145" i="14" s="1"/>
  <c r="I145" i="20" s="1"/>
  <c r="P146" i="14"/>
  <c r="Q146" i="14" s="1"/>
  <c r="I146" i="20" s="1"/>
  <c r="P147" i="14"/>
  <c r="Q147" i="14" s="1"/>
  <c r="I147" i="20" s="1"/>
  <c r="P148" i="14"/>
  <c r="Q148" i="14" s="1"/>
  <c r="I148" i="20" s="1"/>
  <c r="P149" i="14"/>
  <c r="Q149" i="14" s="1"/>
  <c r="I149" i="20" s="1"/>
  <c r="P150" i="14"/>
  <c r="Q150" i="14" s="1"/>
  <c r="I150" i="20" s="1"/>
  <c r="P151" i="14"/>
  <c r="Q151" i="14" s="1"/>
  <c r="I151" i="20" s="1"/>
  <c r="P152" i="14"/>
  <c r="Q152" i="14" s="1"/>
  <c r="I152" i="20" s="1"/>
  <c r="P153" i="14"/>
  <c r="Q153" i="14" s="1"/>
  <c r="I153" i="20" s="1"/>
  <c r="P154" i="14"/>
  <c r="Q154" i="14" s="1"/>
  <c r="I154" i="20" s="1"/>
  <c r="P155" i="14"/>
  <c r="Q155" i="14" s="1"/>
  <c r="I155" i="20" s="1"/>
  <c r="P156" i="14"/>
  <c r="Q156" i="14" s="1"/>
  <c r="I156" i="20" s="1"/>
  <c r="P157" i="14"/>
  <c r="Q157" i="14" s="1"/>
  <c r="I157" i="20" s="1"/>
  <c r="P158" i="14"/>
  <c r="Q158" i="14" s="1"/>
  <c r="I158" i="20" s="1"/>
  <c r="P159" i="14"/>
  <c r="Q159" i="14" s="1"/>
  <c r="I159" i="20" s="1"/>
  <c r="P160" i="14"/>
  <c r="Q160" i="14" s="1"/>
  <c r="I160" i="20" s="1"/>
  <c r="P161" i="14"/>
  <c r="Q161" i="14" s="1"/>
  <c r="I161" i="20" s="1"/>
  <c r="P162" i="14"/>
  <c r="Q162" i="14" s="1"/>
  <c r="I162" i="20" s="1"/>
  <c r="P163" i="14"/>
  <c r="Q163" i="14" s="1"/>
  <c r="I163" i="20" s="1"/>
  <c r="P164" i="14"/>
  <c r="Q164" i="14" s="1"/>
  <c r="I164" i="20" s="1"/>
  <c r="P165" i="14"/>
  <c r="Q165" i="14" s="1"/>
  <c r="I165" i="20" s="1"/>
  <c r="P166" i="14"/>
  <c r="Q166" i="14" s="1"/>
  <c r="I166" i="20" s="1"/>
  <c r="P167" i="14"/>
  <c r="Q167" i="14" s="1"/>
  <c r="I167" i="20" s="1"/>
  <c r="P168" i="14"/>
  <c r="Q168" i="14" s="1"/>
  <c r="I168" i="20" s="1"/>
  <c r="P169" i="14"/>
  <c r="Q169" i="14" s="1"/>
  <c r="I169" i="20" s="1"/>
  <c r="P170" i="14"/>
  <c r="Q170" i="14" s="1"/>
  <c r="I170" i="20" s="1"/>
  <c r="P171" i="14"/>
  <c r="Q171" i="14" s="1"/>
  <c r="I171" i="20" s="1"/>
  <c r="P172" i="14"/>
  <c r="Q172" i="14" s="1"/>
  <c r="I172" i="20" s="1"/>
  <c r="P173" i="14"/>
  <c r="Q173" i="14" s="1"/>
  <c r="I173" i="20" s="1"/>
  <c r="P174" i="14"/>
  <c r="Q174" i="14" s="1"/>
  <c r="I174" i="20" s="1"/>
  <c r="P175" i="14"/>
  <c r="Q175" i="14" s="1"/>
  <c r="I175" i="20" s="1"/>
  <c r="P176" i="14"/>
  <c r="Q176" i="14" s="1"/>
  <c r="I176" i="20" s="1"/>
  <c r="P177" i="14"/>
  <c r="Q177" i="14" s="1"/>
  <c r="I177" i="20" s="1"/>
  <c r="P178" i="14"/>
  <c r="Q178" i="14" s="1"/>
  <c r="I178" i="20" s="1"/>
  <c r="P179" i="14"/>
  <c r="Q179" i="14" s="1"/>
  <c r="I179" i="20" s="1"/>
  <c r="P180" i="14"/>
  <c r="Q180" i="14" s="1"/>
  <c r="I180" i="20" s="1"/>
  <c r="P181" i="14"/>
  <c r="Q181" i="14" s="1"/>
  <c r="I181" i="20" s="1"/>
  <c r="P182" i="14"/>
  <c r="Q182" i="14" s="1"/>
  <c r="I182" i="20" s="1"/>
  <c r="P183" i="14"/>
  <c r="P184" i="14"/>
  <c r="Q184" i="14" s="1"/>
  <c r="I184" i="20" s="1"/>
  <c r="P185" i="14"/>
  <c r="Q185" i="14" s="1"/>
  <c r="I185" i="20" s="1"/>
  <c r="P186" i="14"/>
  <c r="P187" i="14"/>
  <c r="Q187" i="14" s="1"/>
  <c r="I187" i="20" s="1"/>
  <c r="P188" i="14"/>
  <c r="Q188" i="14" s="1"/>
  <c r="I188" i="20" s="1"/>
  <c r="P189" i="14"/>
  <c r="Q189" i="14" s="1"/>
  <c r="I189" i="20" s="1"/>
  <c r="P190" i="14"/>
  <c r="Q190" i="14" s="1"/>
  <c r="I190" i="20" s="1"/>
  <c r="P191" i="14"/>
  <c r="Q191" i="14" s="1"/>
  <c r="I191" i="20" s="1"/>
  <c r="P192" i="14"/>
  <c r="Q192" i="14" s="1"/>
  <c r="I192" i="20" s="1"/>
  <c r="P193" i="14"/>
  <c r="Q193" i="14" s="1"/>
  <c r="I193" i="20" s="1"/>
  <c r="P194" i="14"/>
  <c r="Q194" i="14" s="1"/>
  <c r="I194" i="20" s="1"/>
  <c r="P195" i="14"/>
  <c r="Q195" i="14" s="1"/>
  <c r="I195" i="20" s="1"/>
  <c r="P196" i="14"/>
  <c r="Q196" i="14" s="1"/>
  <c r="I196" i="20" s="1"/>
  <c r="P197" i="14"/>
  <c r="Q197" i="14" s="1"/>
  <c r="I197" i="20" s="1"/>
  <c r="P198" i="14"/>
  <c r="Q198" i="14" s="1"/>
  <c r="I198" i="20" s="1"/>
  <c r="P199" i="14"/>
  <c r="Q199" i="14" s="1"/>
  <c r="I199" i="20" s="1"/>
  <c r="P200" i="14"/>
  <c r="Q200" i="14" s="1"/>
  <c r="I200" i="20" s="1"/>
  <c r="P201" i="14"/>
  <c r="Q201" i="14" s="1"/>
  <c r="I201" i="20" s="1"/>
  <c r="P202" i="14"/>
  <c r="Q202" i="14" s="1"/>
  <c r="I202" i="20" s="1"/>
  <c r="P203" i="14"/>
  <c r="P204" i="14"/>
  <c r="Q204" i="14" s="1"/>
  <c r="I204" i="20" s="1"/>
  <c r="P205" i="14"/>
  <c r="Q205" i="14" s="1"/>
  <c r="I205" i="20" s="1"/>
  <c r="P206" i="14"/>
  <c r="Q206" i="14" s="1"/>
  <c r="I206" i="20" s="1"/>
  <c r="P207" i="14"/>
  <c r="Q207" i="14" s="1"/>
  <c r="I207" i="20" s="1"/>
  <c r="P208" i="14"/>
  <c r="Q208" i="14" s="1"/>
  <c r="I208" i="20" s="1"/>
  <c r="P209" i="14"/>
  <c r="Q209" i="14" s="1"/>
  <c r="I209" i="20" s="1"/>
  <c r="P210" i="14"/>
  <c r="P211" i="14"/>
  <c r="Q211" i="14" s="1"/>
  <c r="I211" i="20" s="1"/>
  <c r="P212" i="14"/>
  <c r="Q212" i="14" s="1"/>
  <c r="I212" i="20" s="1"/>
  <c r="P213" i="14"/>
  <c r="Q213" i="14" s="1"/>
  <c r="I213" i="20" s="1"/>
  <c r="P214" i="14"/>
  <c r="Q214" i="14" s="1"/>
  <c r="I214" i="20" s="1"/>
  <c r="P215" i="14"/>
  <c r="Q215" i="14" s="1"/>
  <c r="I215" i="20" s="1"/>
  <c r="P216" i="14"/>
  <c r="Q216" i="14" s="1"/>
  <c r="I216" i="20" s="1"/>
  <c r="P217" i="14"/>
  <c r="Q217" i="14" s="1"/>
  <c r="I217" i="20" s="1"/>
  <c r="P218" i="14"/>
  <c r="Q218" i="14" s="1"/>
  <c r="I218" i="20" s="1"/>
  <c r="P219" i="14"/>
  <c r="Q219" i="14" s="1"/>
  <c r="I219" i="20" s="1"/>
  <c r="P220" i="14"/>
  <c r="Q220" i="14" s="1"/>
  <c r="I220" i="20" s="1"/>
  <c r="P221" i="14"/>
  <c r="Q221" i="14" s="1"/>
  <c r="I221" i="20" s="1"/>
  <c r="P222" i="14"/>
  <c r="Q222" i="14" s="1"/>
  <c r="I222" i="20" s="1"/>
  <c r="P223" i="14"/>
  <c r="Q223" i="14" s="1"/>
  <c r="I223" i="20" s="1"/>
  <c r="P224" i="14"/>
  <c r="Q224" i="14" s="1"/>
  <c r="I224" i="20" s="1"/>
  <c r="P225" i="14"/>
  <c r="Q225" i="14" s="1"/>
  <c r="I225" i="20" s="1"/>
  <c r="P226" i="14"/>
  <c r="Q226" i="14" s="1"/>
  <c r="I226" i="20" s="1"/>
  <c r="P227" i="14"/>
  <c r="Q227" i="14" s="1"/>
  <c r="I227" i="20" s="1"/>
  <c r="P228" i="14"/>
  <c r="P229" i="14"/>
  <c r="Q229" i="14" s="1"/>
  <c r="I229" i="20" s="1"/>
  <c r="P230" i="14"/>
  <c r="Q230" i="14" s="1"/>
  <c r="I230" i="20" s="1"/>
  <c r="P231" i="14"/>
  <c r="Q231" i="14" s="1"/>
  <c r="I231" i="20" s="1"/>
  <c r="P232" i="14"/>
  <c r="Q232" i="14" s="1"/>
  <c r="I232" i="20" s="1"/>
  <c r="P233" i="14"/>
  <c r="Q233" i="14" s="1"/>
  <c r="I233" i="20" s="1"/>
  <c r="P234" i="14"/>
  <c r="Q234" i="14" s="1"/>
  <c r="I234" i="20" s="1"/>
  <c r="P235" i="14"/>
  <c r="Q235" i="14" s="1"/>
  <c r="I235" i="20" s="1"/>
  <c r="P236" i="14"/>
  <c r="Q236" i="14" s="1"/>
  <c r="I236" i="20" s="1"/>
  <c r="P237" i="14"/>
  <c r="Q237" i="14" s="1"/>
  <c r="I237" i="20" s="1"/>
  <c r="P238" i="14"/>
  <c r="P239" i="14"/>
  <c r="Q239" i="14" s="1"/>
  <c r="I239" i="20" s="1"/>
  <c r="P240" i="14"/>
  <c r="Q240" i="14" s="1"/>
  <c r="I240" i="20" s="1"/>
  <c r="P241" i="14"/>
  <c r="Q241" i="14" s="1"/>
  <c r="I241" i="20" s="1"/>
  <c r="P242" i="14"/>
  <c r="Q242" i="14" s="1"/>
  <c r="I242" i="20" s="1"/>
  <c r="P243" i="14"/>
  <c r="Q243" i="14" s="1"/>
  <c r="I243" i="20" s="1"/>
  <c r="P244" i="14"/>
  <c r="Q244" i="14" s="1"/>
  <c r="I244" i="20" s="1"/>
  <c r="P245" i="14"/>
  <c r="Q245" i="14" s="1"/>
  <c r="I245" i="20" s="1"/>
  <c r="P246" i="14"/>
  <c r="P247" i="14"/>
  <c r="Q247" i="14" s="1"/>
  <c r="I247" i="20" s="1"/>
  <c r="P248" i="14"/>
  <c r="Q248" i="14" s="1"/>
  <c r="I248" i="20" s="1"/>
  <c r="P249" i="14"/>
  <c r="Q249" i="14" s="1"/>
  <c r="I249" i="20" s="1"/>
  <c r="P250" i="14"/>
  <c r="Q250" i="14" s="1"/>
  <c r="I250" i="20" s="1"/>
  <c r="P251" i="14"/>
  <c r="Q251" i="14" s="1"/>
  <c r="I251" i="20" s="1"/>
  <c r="P252" i="14"/>
  <c r="Q252" i="14" s="1"/>
  <c r="I252" i="20" s="1"/>
  <c r="P253" i="14"/>
  <c r="Q253" i="14" s="1"/>
  <c r="I253" i="20" s="1"/>
  <c r="P254" i="14"/>
  <c r="Q254" i="14" s="1"/>
  <c r="I254" i="20" s="1"/>
  <c r="P255" i="14"/>
  <c r="Q255" i="14" s="1"/>
  <c r="I255" i="20" s="1"/>
  <c r="P256" i="14"/>
  <c r="Q256" i="14" s="1"/>
  <c r="I256" i="20" s="1"/>
  <c r="P257" i="14"/>
  <c r="Q257" i="14" s="1"/>
  <c r="I257" i="20" s="1"/>
  <c r="P258" i="14"/>
  <c r="P259" i="14"/>
  <c r="Q259" i="14" s="1"/>
  <c r="I259" i="20" s="1"/>
  <c r="P260" i="14"/>
  <c r="Q260" i="14" s="1"/>
  <c r="I260" i="20" s="1"/>
  <c r="P261" i="14"/>
  <c r="Q261" i="14" s="1"/>
  <c r="I261" i="20" s="1"/>
  <c r="P12" i="14"/>
  <c r="Q12" i="14" s="1"/>
  <c r="K29" i="22"/>
  <c r="E20" i="22"/>
  <c r="D20" i="22"/>
  <c r="C20" i="22"/>
  <c r="B20" i="22"/>
  <c r="A20" i="22"/>
  <c r="E19" i="22"/>
  <c r="D19" i="22"/>
  <c r="C19" i="22"/>
  <c r="B19" i="22"/>
  <c r="A19" i="22"/>
  <c r="E18" i="22"/>
  <c r="D18" i="22"/>
  <c r="C18" i="22"/>
  <c r="B18" i="22"/>
  <c r="A18" i="22"/>
  <c r="E17" i="22"/>
  <c r="D17" i="22"/>
  <c r="C17" i="22"/>
  <c r="B17" i="22"/>
  <c r="A17" i="22"/>
  <c r="E16" i="22"/>
  <c r="D16" i="22"/>
  <c r="C16" i="22"/>
  <c r="B16" i="22"/>
  <c r="A16" i="22"/>
  <c r="E15" i="22"/>
  <c r="D15" i="22"/>
  <c r="C15" i="22"/>
  <c r="B15" i="22"/>
  <c r="A15" i="22"/>
  <c r="R11" i="22"/>
  <c r="Q11" i="22"/>
  <c r="P11" i="22"/>
  <c r="O11" i="22"/>
  <c r="I11" i="22"/>
  <c r="H11" i="22"/>
  <c r="G11" i="22"/>
  <c r="F11" i="22"/>
  <c r="E11" i="22"/>
  <c r="D11" i="22"/>
  <c r="C11" i="22"/>
  <c r="B11" i="22"/>
  <c r="A11" i="22"/>
  <c r="R2" i="22"/>
  <c r="Q2" i="22"/>
  <c r="P2" i="22"/>
  <c r="O2" i="22"/>
  <c r="N2" i="22"/>
  <c r="M2" i="22"/>
  <c r="L2" i="22"/>
  <c r="K2" i="22"/>
  <c r="J2" i="22"/>
  <c r="I2" i="22"/>
  <c r="H2" i="22"/>
  <c r="G2" i="22"/>
  <c r="F2" i="22"/>
  <c r="E2" i="22"/>
  <c r="D2" i="22"/>
  <c r="C2" i="22"/>
  <c r="B2" i="22"/>
  <c r="A2" i="22"/>
  <c r="M2" i="19"/>
  <c r="E14" i="22"/>
  <c r="L2" i="19"/>
  <c r="D14" i="22"/>
  <c r="K2" i="19"/>
  <c r="C14" i="22" s="1"/>
  <c r="J2" i="19"/>
  <c r="B14" i="22"/>
  <c r="I2" i="19"/>
  <c r="A14" i="22"/>
  <c r="BO58" i="20"/>
  <c r="BO57" i="20"/>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X27" i="14"/>
  <c r="AB27" i="14"/>
  <c r="AF27" i="14"/>
  <c r="AJ27" i="14"/>
  <c r="X28" i="14"/>
  <c r="AB28" i="14"/>
  <c r="AF28" i="14"/>
  <c r="AJ28" i="14"/>
  <c r="X29" i="14"/>
  <c r="AB29" i="14"/>
  <c r="AF29" i="14"/>
  <c r="AJ29" i="14"/>
  <c r="X30" i="14"/>
  <c r="AB30" i="14"/>
  <c r="AF30" i="14"/>
  <c r="AJ30" i="14"/>
  <c r="X31" i="14"/>
  <c r="AB31" i="14"/>
  <c r="AF31" i="14"/>
  <c r="AJ31" i="14"/>
  <c r="X32" i="14"/>
  <c r="AB32" i="14"/>
  <c r="AF32" i="14"/>
  <c r="AJ32" i="14"/>
  <c r="X33" i="14"/>
  <c r="AB33" i="14"/>
  <c r="AF33" i="14"/>
  <c r="AJ33" i="14"/>
  <c r="X34" i="14"/>
  <c r="AB34" i="14"/>
  <c r="AF34" i="14"/>
  <c r="AJ34" i="14"/>
  <c r="X35" i="14"/>
  <c r="AB35" i="14"/>
  <c r="AF35" i="14"/>
  <c r="AJ35" i="14"/>
  <c r="X36" i="14"/>
  <c r="AB36" i="14"/>
  <c r="AF36" i="14"/>
  <c r="AJ36" i="14"/>
  <c r="X37" i="14"/>
  <c r="AB37" i="14"/>
  <c r="AF37" i="14"/>
  <c r="AJ37" i="14"/>
  <c r="X38" i="14"/>
  <c r="AB38" i="14"/>
  <c r="AF38" i="14"/>
  <c r="AJ38" i="14"/>
  <c r="X39" i="14"/>
  <c r="AB39" i="14"/>
  <c r="AF39" i="14"/>
  <c r="AJ39" i="14"/>
  <c r="X40" i="14"/>
  <c r="AB40" i="14"/>
  <c r="AF40" i="14"/>
  <c r="AJ40" i="14"/>
  <c r="C12" i="14"/>
  <c r="C13" i="14"/>
  <c r="C14" i="14"/>
  <c r="C15" i="14"/>
  <c r="C16" i="14"/>
  <c r="C17" i="14"/>
  <c r="C18" i="14"/>
  <c r="C19" i="14"/>
  <c r="C20" i="14"/>
  <c r="C21" i="14"/>
  <c r="C22" i="14"/>
  <c r="C23" i="14"/>
  <c r="C24" i="14"/>
  <c r="C25" i="14"/>
  <c r="C26" i="14"/>
  <c r="BD261" i="20"/>
  <c r="AZ261" i="20"/>
  <c r="BA261" i="20"/>
  <c r="AI13" i="20"/>
  <c r="AI14" i="20"/>
  <c r="AI15" i="20"/>
  <c r="AI16" i="20"/>
  <c r="AI17" i="20"/>
  <c r="AI18" i="20"/>
  <c r="AI19" i="20"/>
  <c r="AI20" i="20"/>
  <c r="AI21" i="20"/>
  <c r="AI22" i="20"/>
  <c r="AI23" i="20"/>
  <c r="AI24" i="20"/>
  <c r="AI25" i="20"/>
  <c r="AI26" i="20"/>
  <c r="AI27" i="20"/>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123" i="20"/>
  <c r="AI124" i="20"/>
  <c r="AI125" i="20"/>
  <c r="AI126" i="20"/>
  <c r="AI127" i="20"/>
  <c r="AI128" i="20"/>
  <c r="AI129" i="20"/>
  <c r="AI130" i="20"/>
  <c r="AI131" i="20"/>
  <c r="AI132" i="20"/>
  <c r="AI133" i="20"/>
  <c r="AI134" i="20"/>
  <c r="AI135" i="20"/>
  <c r="AI136" i="20"/>
  <c r="AI137" i="20"/>
  <c r="AI138" i="20"/>
  <c r="AI139" i="20"/>
  <c r="AI140" i="20"/>
  <c r="AI141" i="20"/>
  <c r="AI142" i="20"/>
  <c r="AI143" i="20"/>
  <c r="AI144" i="20"/>
  <c r="AI145" i="20"/>
  <c r="AI146" i="20"/>
  <c r="AI147" i="20"/>
  <c r="AI148" i="20"/>
  <c r="AI149" i="20"/>
  <c r="AI150" i="20"/>
  <c r="AI151" i="20"/>
  <c r="AI152" i="20"/>
  <c r="AI153" i="20"/>
  <c r="AI154" i="20"/>
  <c r="AI155" i="20"/>
  <c r="AI156" i="20"/>
  <c r="AI157" i="20"/>
  <c r="AI158" i="20"/>
  <c r="AI159" i="20"/>
  <c r="AI160" i="20"/>
  <c r="AI161" i="20"/>
  <c r="AI162" i="20"/>
  <c r="AI163" i="20"/>
  <c r="AI164" i="20"/>
  <c r="AI165" i="20"/>
  <c r="AI166" i="20"/>
  <c r="AI167" i="20"/>
  <c r="AI168" i="20"/>
  <c r="AI169" i="20"/>
  <c r="AI170" i="20"/>
  <c r="AI171" i="20"/>
  <c r="AI172" i="20"/>
  <c r="AI173" i="20"/>
  <c r="AI174" i="20"/>
  <c r="AI175" i="20"/>
  <c r="AI176" i="20"/>
  <c r="AI177" i="20"/>
  <c r="AI178" i="20"/>
  <c r="AI179" i="20"/>
  <c r="AI180" i="20"/>
  <c r="AI181" i="20"/>
  <c r="AI182" i="20"/>
  <c r="AI183" i="20"/>
  <c r="AI184" i="20"/>
  <c r="AI185" i="20"/>
  <c r="AI186" i="20"/>
  <c r="AI187" i="20"/>
  <c r="AI188" i="20"/>
  <c r="AI189" i="20"/>
  <c r="AI190" i="20"/>
  <c r="AI191" i="20"/>
  <c r="AI192" i="20"/>
  <c r="AI193" i="20"/>
  <c r="AI194" i="20"/>
  <c r="AI195" i="20"/>
  <c r="AI196" i="20"/>
  <c r="AI197" i="20"/>
  <c r="AI198" i="20"/>
  <c r="AI199" i="20"/>
  <c r="AI200" i="20"/>
  <c r="AI201" i="20"/>
  <c r="AI202" i="20"/>
  <c r="AI203" i="20"/>
  <c r="AI204" i="20"/>
  <c r="AI205" i="20"/>
  <c r="AI206" i="20"/>
  <c r="AI207" i="20"/>
  <c r="AI208" i="20"/>
  <c r="AI209" i="20"/>
  <c r="AI210" i="20"/>
  <c r="AI211" i="20"/>
  <c r="AI212" i="20"/>
  <c r="AI213" i="20"/>
  <c r="AI214" i="20"/>
  <c r="AI215" i="20"/>
  <c r="AI216" i="20"/>
  <c r="AI217" i="20"/>
  <c r="AI218" i="20"/>
  <c r="AI219" i="20"/>
  <c r="AI220" i="20"/>
  <c r="AI221" i="20"/>
  <c r="AI222" i="20"/>
  <c r="AI223" i="20"/>
  <c r="AI224" i="20"/>
  <c r="AI225" i="20"/>
  <c r="AI226" i="20"/>
  <c r="AI227" i="20"/>
  <c r="AI228" i="20"/>
  <c r="AI229" i="20"/>
  <c r="AI230" i="20"/>
  <c r="AI231" i="20"/>
  <c r="AI232" i="20"/>
  <c r="AI233" i="20"/>
  <c r="AI234" i="20"/>
  <c r="AI235" i="20"/>
  <c r="AI236" i="20"/>
  <c r="AI237" i="20"/>
  <c r="AI238" i="20"/>
  <c r="AI239" i="20"/>
  <c r="AI240" i="20"/>
  <c r="AI241" i="20"/>
  <c r="AI242" i="20"/>
  <c r="AI243" i="20"/>
  <c r="AI244" i="20"/>
  <c r="AI245" i="20"/>
  <c r="AI246" i="20"/>
  <c r="AI247" i="20"/>
  <c r="AI248" i="20"/>
  <c r="AI249" i="20"/>
  <c r="AI250" i="20"/>
  <c r="AI251" i="20"/>
  <c r="AI252" i="20"/>
  <c r="AI253" i="20"/>
  <c r="AI254" i="20"/>
  <c r="AI255" i="20"/>
  <c r="AI256" i="20"/>
  <c r="AI257" i="20"/>
  <c r="AI258" i="20"/>
  <c r="AI259" i="20"/>
  <c r="AI260" i="20"/>
  <c r="AI261" i="20"/>
  <c r="AI12" i="20"/>
  <c r="AJ13" i="14"/>
  <c r="AJ14" i="14"/>
  <c r="AJ15" i="14"/>
  <c r="AJ16" i="14"/>
  <c r="AJ17" i="14"/>
  <c r="AJ18" i="14"/>
  <c r="AJ19" i="14"/>
  <c r="AJ20" i="14"/>
  <c r="AJ21" i="14"/>
  <c r="AJ22" i="14"/>
  <c r="AJ23" i="14"/>
  <c r="AJ24" i="14"/>
  <c r="AJ25" i="14"/>
  <c r="AJ26" i="14"/>
  <c r="AJ41" i="14"/>
  <c r="AJ42" i="14"/>
  <c r="AJ43" i="14"/>
  <c r="AJ44" i="14"/>
  <c r="AJ45" i="14"/>
  <c r="AJ46" i="14"/>
  <c r="AJ47" i="14"/>
  <c r="AJ48" i="14"/>
  <c r="AJ49" i="14"/>
  <c r="AJ50" i="14"/>
  <c r="AJ51" i="14"/>
  <c r="AJ52" i="14"/>
  <c r="AJ53" i="14"/>
  <c r="AJ54" i="14"/>
  <c r="AJ55" i="14"/>
  <c r="AJ56" i="14"/>
  <c r="AJ57" i="14"/>
  <c r="AJ58" i="14"/>
  <c r="AJ59" i="14"/>
  <c r="AJ60" i="14"/>
  <c r="AJ61" i="14"/>
  <c r="AJ62" i="14"/>
  <c r="AJ63" i="14"/>
  <c r="AJ64" i="14"/>
  <c r="AJ65" i="14"/>
  <c r="AJ66" i="14"/>
  <c r="AJ67" i="14"/>
  <c r="AJ68" i="14"/>
  <c r="AJ69" i="14"/>
  <c r="AJ70" i="14"/>
  <c r="AJ71" i="14"/>
  <c r="AJ72" i="14"/>
  <c r="AJ73" i="14"/>
  <c r="AJ74" i="14"/>
  <c r="AJ75" i="14"/>
  <c r="AJ76" i="14"/>
  <c r="AJ77" i="14"/>
  <c r="AJ78" i="14"/>
  <c r="AJ79" i="14"/>
  <c r="AJ80" i="14"/>
  <c r="AJ81" i="14"/>
  <c r="AJ82" i="14"/>
  <c r="AJ83" i="14"/>
  <c r="AJ84" i="14"/>
  <c r="AJ85" i="14"/>
  <c r="AJ86" i="14"/>
  <c r="AJ87" i="14"/>
  <c r="AJ88" i="14"/>
  <c r="AJ89" i="14"/>
  <c r="AJ90" i="14"/>
  <c r="AJ91" i="14"/>
  <c r="AJ92" i="14"/>
  <c r="AJ93" i="14"/>
  <c r="AJ94" i="14"/>
  <c r="AJ95" i="14"/>
  <c r="AJ96" i="14"/>
  <c r="AJ97" i="14"/>
  <c r="AJ98" i="14"/>
  <c r="AJ99" i="14"/>
  <c r="AJ100" i="14"/>
  <c r="AJ101" i="14"/>
  <c r="AJ102" i="14"/>
  <c r="AJ103" i="14"/>
  <c r="AJ104" i="14"/>
  <c r="AJ105" i="14"/>
  <c r="AJ106" i="14"/>
  <c r="AJ107" i="14"/>
  <c r="AJ108" i="14"/>
  <c r="AJ109" i="14"/>
  <c r="AJ110" i="14"/>
  <c r="AJ111" i="14"/>
  <c r="AJ112" i="14"/>
  <c r="AJ113" i="14"/>
  <c r="AJ114" i="14"/>
  <c r="AJ115" i="14"/>
  <c r="AJ116" i="14"/>
  <c r="AJ117" i="14"/>
  <c r="AJ118" i="14"/>
  <c r="AJ119" i="14"/>
  <c r="AJ120" i="14"/>
  <c r="AJ121" i="14"/>
  <c r="AJ122" i="14"/>
  <c r="AJ123" i="14"/>
  <c r="AJ124" i="14"/>
  <c r="AJ125" i="14"/>
  <c r="AJ126" i="14"/>
  <c r="AJ127" i="14"/>
  <c r="AJ128" i="14"/>
  <c r="AJ129" i="14"/>
  <c r="AJ130" i="14"/>
  <c r="AJ131" i="14"/>
  <c r="AJ132" i="14"/>
  <c r="AJ133" i="14"/>
  <c r="AJ134" i="14"/>
  <c r="AJ135" i="14"/>
  <c r="AJ136" i="14"/>
  <c r="AJ137" i="14"/>
  <c r="AJ138" i="14"/>
  <c r="AJ139" i="14"/>
  <c r="AJ140" i="14"/>
  <c r="AJ141" i="14"/>
  <c r="AJ142" i="14"/>
  <c r="AJ143" i="14"/>
  <c r="AJ144" i="14"/>
  <c r="AJ145" i="14"/>
  <c r="AJ146" i="14"/>
  <c r="AJ147" i="14"/>
  <c r="AJ148" i="14"/>
  <c r="AJ149" i="14"/>
  <c r="AJ150" i="14"/>
  <c r="AJ151" i="14"/>
  <c r="AJ152" i="14"/>
  <c r="AJ153" i="14"/>
  <c r="AJ154" i="14"/>
  <c r="AJ155" i="14"/>
  <c r="AJ156" i="14"/>
  <c r="AJ157" i="14"/>
  <c r="AJ158" i="14"/>
  <c r="AJ159" i="14"/>
  <c r="AJ160" i="14"/>
  <c r="AJ161" i="14"/>
  <c r="AJ162" i="14"/>
  <c r="AJ163" i="14"/>
  <c r="AJ164" i="14"/>
  <c r="AJ165" i="14"/>
  <c r="AJ166" i="14"/>
  <c r="AJ167" i="14"/>
  <c r="AJ168" i="14"/>
  <c r="AJ169" i="14"/>
  <c r="AJ170" i="14"/>
  <c r="AJ171" i="14"/>
  <c r="AJ172" i="14"/>
  <c r="AJ173" i="14"/>
  <c r="AJ174" i="14"/>
  <c r="AJ175" i="14"/>
  <c r="AJ176" i="14"/>
  <c r="AJ177" i="14"/>
  <c r="AJ178" i="14"/>
  <c r="AJ179" i="14"/>
  <c r="AJ180" i="14"/>
  <c r="AJ181" i="14"/>
  <c r="AJ182" i="14"/>
  <c r="AJ183" i="14"/>
  <c r="AJ184" i="14"/>
  <c r="AJ185" i="14"/>
  <c r="AJ186" i="14"/>
  <c r="AJ187" i="14"/>
  <c r="AJ188" i="14"/>
  <c r="AJ189" i="14"/>
  <c r="AJ190" i="14"/>
  <c r="AJ191" i="14"/>
  <c r="AJ192" i="14"/>
  <c r="AJ193" i="14"/>
  <c r="AJ194" i="14"/>
  <c r="AJ195" i="14"/>
  <c r="AJ196" i="14"/>
  <c r="AJ197" i="14"/>
  <c r="AJ198" i="14"/>
  <c r="AJ199" i="14"/>
  <c r="AJ200" i="14"/>
  <c r="AJ201" i="14"/>
  <c r="AJ202" i="14"/>
  <c r="AJ203" i="14"/>
  <c r="AJ204" i="14"/>
  <c r="AJ205" i="14"/>
  <c r="AJ206" i="14"/>
  <c r="AJ207" i="14"/>
  <c r="AJ208" i="14"/>
  <c r="AJ209" i="14"/>
  <c r="AJ210" i="14"/>
  <c r="AJ211" i="14"/>
  <c r="AJ212" i="14"/>
  <c r="AJ213" i="14"/>
  <c r="AJ214" i="14"/>
  <c r="AJ215" i="14"/>
  <c r="AJ216" i="14"/>
  <c r="AJ217" i="14"/>
  <c r="AJ218" i="14"/>
  <c r="AJ219" i="14"/>
  <c r="AJ220" i="14"/>
  <c r="AJ221" i="14"/>
  <c r="AJ222" i="14"/>
  <c r="AJ223" i="14"/>
  <c r="AJ224" i="14"/>
  <c r="AJ225" i="14"/>
  <c r="AJ226" i="14"/>
  <c r="AJ227" i="14"/>
  <c r="AJ228" i="14"/>
  <c r="AJ229" i="14"/>
  <c r="AJ230" i="14"/>
  <c r="AJ231" i="14"/>
  <c r="AJ232" i="14"/>
  <c r="AJ233" i="14"/>
  <c r="AJ234" i="14"/>
  <c r="AJ235" i="14"/>
  <c r="AJ236" i="14"/>
  <c r="AJ237" i="14"/>
  <c r="AJ238" i="14"/>
  <c r="AJ239" i="14"/>
  <c r="AJ240" i="14"/>
  <c r="AJ241" i="14"/>
  <c r="AJ242" i="14"/>
  <c r="AJ243" i="14"/>
  <c r="AJ244" i="14"/>
  <c r="AJ245" i="14"/>
  <c r="AJ246" i="14"/>
  <c r="AJ247" i="14"/>
  <c r="AJ248" i="14"/>
  <c r="AJ249" i="14"/>
  <c r="AJ250" i="14"/>
  <c r="AJ251" i="14"/>
  <c r="AJ252" i="14"/>
  <c r="AJ253" i="14"/>
  <c r="AJ254" i="14"/>
  <c r="AJ255" i="14"/>
  <c r="AJ256" i="14"/>
  <c r="AJ257" i="14"/>
  <c r="AJ258" i="14"/>
  <c r="AJ259" i="14"/>
  <c r="AJ260" i="14"/>
  <c r="AJ261" i="14"/>
  <c r="AJ12" i="14"/>
  <c r="S47" i="22"/>
  <c r="S37" i="22"/>
  <c r="S39" i="22"/>
  <c r="S48" i="22"/>
  <c r="S46" i="22"/>
  <c r="S45" i="22"/>
  <c r="S40" i="22"/>
  <c r="S38" i="22"/>
  <c r="S41" i="22"/>
  <c r="S44" i="22"/>
  <c r="S42" i="22"/>
  <c r="S36" i="22"/>
  <c r="S43" i="22"/>
  <c r="AR14" i="20"/>
  <c r="AP15" i="20"/>
  <c r="AP16" i="20"/>
  <c r="AO17" i="20"/>
  <c r="AQ18" i="20"/>
  <c r="O19" i="20"/>
  <c r="AQ20" i="20"/>
  <c r="AP21" i="20"/>
  <c r="AN22" i="20"/>
  <c r="AQ22" i="20"/>
  <c r="AN23" i="20"/>
  <c r="AQ23" i="20"/>
  <c r="AN24" i="20"/>
  <c r="AO24" i="20"/>
  <c r="AO25" i="20"/>
  <c r="AP27" i="20"/>
  <c r="O28" i="20"/>
  <c r="AP30" i="20"/>
  <c r="AO31" i="20"/>
  <c r="AP32" i="20"/>
  <c r="AQ33" i="20"/>
  <c r="AQ34" i="20"/>
  <c r="AN35" i="20"/>
  <c r="AO35" i="20"/>
  <c r="AO36" i="20"/>
  <c r="AP37" i="20"/>
  <c r="AO39" i="20"/>
  <c r="AN40" i="20"/>
  <c r="AP40" i="20"/>
  <c r="AQ41" i="20"/>
  <c r="AP42" i="20"/>
  <c r="AN43" i="20"/>
  <c r="AR43" i="20"/>
  <c r="AN44" i="20"/>
  <c r="AP45" i="20"/>
  <c r="AN46" i="20"/>
  <c r="AP46" i="20"/>
  <c r="AO48" i="20"/>
  <c r="AP49" i="20"/>
  <c r="AR50" i="20"/>
  <c r="AO51" i="20"/>
  <c r="AO52" i="20"/>
  <c r="AO53" i="20"/>
  <c r="AO54" i="20"/>
  <c r="AO55" i="20"/>
  <c r="AN56" i="20"/>
  <c r="AO56" i="20"/>
  <c r="AO57" i="20"/>
  <c r="O58" i="20"/>
  <c r="AN59" i="20"/>
  <c r="AO59" i="20"/>
  <c r="AR60" i="20"/>
  <c r="AQ61" i="20"/>
  <c r="AN62" i="20"/>
  <c r="O63" i="20"/>
  <c r="AN64" i="20"/>
  <c r="AQ64" i="20"/>
  <c r="AP65" i="20"/>
  <c r="AN66" i="20"/>
  <c r="AR66" i="20"/>
  <c r="AR67" i="20"/>
  <c r="AP68" i="20"/>
  <c r="AO69" i="20"/>
  <c r="AN70" i="20"/>
  <c r="AR70" i="20"/>
  <c r="AN71" i="20"/>
  <c r="AR72" i="20"/>
  <c r="AR73" i="20"/>
  <c r="AO75" i="20"/>
  <c r="AO76" i="20"/>
  <c r="AO77" i="20"/>
  <c r="AP78" i="20"/>
  <c r="AO79" i="20"/>
  <c r="AP80" i="20"/>
  <c r="AO81" i="20"/>
  <c r="AR82" i="20"/>
  <c r="AQ83" i="20"/>
  <c r="AR84" i="20"/>
  <c r="O85" i="20"/>
  <c r="AN86" i="20"/>
  <c r="AO86" i="20"/>
  <c r="AN87" i="20"/>
  <c r="AO87" i="20"/>
  <c r="AP88" i="20"/>
  <c r="O90" i="20"/>
  <c r="AR91" i="20"/>
  <c r="AQ92" i="20"/>
  <c r="AR93" i="20"/>
  <c r="AR94" i="20"/>
  <c r="AP95" i="20"/>
  <c r="O96" i="20"/>
  <c r="AO97" i="20"/>
  <c r="AO98" i="20"/>
  <c r="AO99" i="20"/>
  <c r="AO100" i="20"/>
  <c r="AQ101" i="20"/>
  <c r="O102" i="20"/>
  <c r="AO103" i="20"/>
  <c r="AQ104" i="20"/>
  <c r="AO105" i="20"/>
  <c r="AP106" i="20"/>
  <c r="AP107" i="20"/>
  <c r="AN108" i="20"/>
  <c r="AR108" i="20"/>
  <c r="AQ109" i="20"/>
  <c r="AN111" i="20"/>
  <c r="AO111" i="20"/>
  <c r="AQ112" i="20"/>
  <c r="AQ113" i="20"/>
  <c r="AN114" i="20"/>
  <c r="AR114" i="20"/>
  <c r="AP115" i="20"/>
  <c r="AP116" i="20"/>
  <c r="AP117" i="20"/>
  <c r="AQ118" i="20"/>
  <c r="AO119" i="20"/>
  <c r="AO120" i="20"/>
  <c r="O121" i="20"/>
  <c r="AR122" i="20"/>
  <c r="AQ123" i="20"/>
  <c r="AO124" i="20"/>
  <c r="AQ125" i="20"/>
  <c r="AP126" i="20"/>
  <c r="AO127" i="20"/>
  <c r="AQ128" i="20"/>
  <c r="AQ129" i="20"/>
  <c r="AN130" i="20"/>
  <c r="O130" i="20"/>
  <c r="AO131" i="20"/>
  <c r="AQ132" i="20"/>
  <c r="AO133" i="20"/>
  <c r="AO135" i="20"/>
  <c r="AP136" i="20"/>
  <c r="AN138" i="20"/>
  <c r="AP138" i="20"/>
  <c r="AN139" i="20"/>
  <c r="AO139" i="20"/>
  <c r="AP141" i="20"/>
  <c r="AN142" i="20"/>
  <c r="AR142" i="20"/>
  <c r="AN143" i="20"/>
  <c r="AO143" i="20"/>
  <c r="O144" i="20"/>
  <c r="AR145" i="20"/>
  <c r="AN146" i="20"/>
  <c r="O146" i="20"/>
  <c r="AN147" i="20"/>
  <c r="AR147" i="20"/>
  <c r="AN148" i="20"/>
  <c r="AR148" i="20"/>
  <c r="O150" i="20"/>
  <c r="AN151" i="20"/>
  <c r="AN152" i="20"/>
  <c r="AO152" i="20"/>
  <c r="AP153" i="20"/>
  <c r="AN154" i="20"/>
  <c r="AP154" i="20"/>
  <c r="AN155" i="20"/>
  <c r="AQ155" i="20"/>
  <c r="AN156" i="20"/>
  <c r="AR156" i="20"/>
  <c r="AR157" i="20"/>
  <c r="AO158" i="20"/>
  <c r="O159" i="20"/>
  <c r="AO160" i="20"/>
  <c r="O162" i="20"/>
  <c r="AO163" i="20"/>
  <c r="AO164" i="20"/>
  <c r="AP165" i="20"/>
  <c r="AR166" i="20"/>
  <c r="AP167" i="20"/>
  <c r="O168" i="20"/>
  <c r="O169" i="20"/>
  <c r="AO170" i="20"/>
  <c r="AO171" i="20"/>
  <c r="AQ172" i="20"/>
  <c r="O173" i="20"/>
  <c r="AR174" i="20"/>
  <c r="AO175" i="20"/>
  <c r="AQ177" i="20"/>
  <c r="AP178" i="20"/>
  <c r="O179" i="20"/>
  <c r="AQ180" i="20"/>
  <c r="AP181" i="20"/>
  <c r="AO182" i="20"/>
  <c r="AP183" i="20"/>
  <c r="AO184" i="20"/>
  <c r="AQ186" i="20"/>
  <c r="AQ187" i="20"/>
  <c r="AP188" i="20"/>
  <c r="AO189" i="20"/>
  <c r="O192" i="20"/>
  <c r="O193" i="20"/>
  <c r="AO195" i="20"/>
  <c r="O196" i="20"/>
  <c r="AR198" i="20"/>
  <c r="AO199" i="20"/>
  <c r="AO200" i="20"/>
  <c r="AP201" i="20"/>
  <c r="O202" i="20"/>
  <c r="O203" i="20"/>
  <c r="O204" i="20"/>
  <c r="O205" i="20"/>
  <c r="AP207" i="20"/>
  <c r="AP208" i="20"/>
  <c r="O209" i="20"/>
  <c r="O210" i="20"/>
  <c r="AQ211" i="20"/>
  <c r="AO213" i="20"/>
  <c r="AO214" i="20"/>
  <c r="AQ215" i="20"/>
  <c r="O216" i="20"/>
  <c r="AO217" i="20"/>
  <c r="O218" i="20"/>
  <c r="AO219" i="20"/>
  <c r="O220" i="20"/>
  <c r="O221" i="20"/>
  <c r="AO222" i="20"/>
  <c r="AO223" i="20"/>
  <c r="AP224" i="20"/>
  <c r="AR225" i="20"/>
  <c r="O226" i="20"/>
  <c r="AP227" i="20"/>
  <c r="AQ228" i="20"/>
  <c r="O229" i="20"/>
  <c r="AP230" i="20"/>
  <c r="AO231" i="20"/>
  <c r="AO232" i="20"/>
  <c r="AQ233" i="20"/>
  <c r="AQ234" i="20"/>
  <c r="AQ235" i="20"/>
  <c r="AO237" i="20"/>
  <c r="O238" i="20"/>
  <c r="AQ239" i="20"/>
  <c r="AR240" i="20"/>
  <c r="AP241" i="20"/>
  <c r="O243" i="20"/>
  <c r="AR244" i="20"/>
  <c r="AO246" i="20"/>
  <c r="AQ247" i="20"/>
  <c r="AQ248" i="20"/>
  <c r="AQ249" i="20"/>
  <c r="AR250" i="20"/>
  <c r="AO252" i="20"/>
  <c r="AQ253" i="20"/>
  <c r="AQ255" i="20"/>
  <c r="AO256" i="20"/>
  <c r="O257" i="20"/>
  <c r="AP258" i="20"/>
  <c r="AO259" i="20"/>
  <c r="O261" i="20"/>
  <c r="G12" i="20"/>
  <c r="AN12" i="20" s="1"/>
  <c r="H12" i="20"/>
  <c r="AP12" i="20" s="1"/>
  <c r="AM17" i="20"/>
  <c r="AM18" i="20"/>
  <c r="AM19" i="20"/>
  <c r="AM20" i="20"/>
  <c r="AM21" i="20"/>
  <c r="AM22" i="20"/>
  <c r="AM23" i="20"/>
  <c r="AM24" i="20"/>
  <c r="AM25" i="20"/>
  <c r="AM26" i="20"/>
  <c r="AM27" i="20"/>
  <c r="AM28" i="20"/>
  <c r="AM29" i="20"/>
  <c r="AM30" i="20"/>
  <c r="AM31" i="20"/>
  <c r="AM32" i="20"/>
  <c r="AM33" i="20"/>
  <c r="AM34" i="20"/>
  <c r="AM35" i="20"/>
  <c r="AM36" i="20"/>
  <c r="AM37" i="20"/>
  <c r="AM38" i="20"/>
  <c r="AM39" i="20"/>
  <c r="AM40" i="20"/>
  <c r="AM41" i="20"/>
  <c r="AM42" i="20"/>
  <c r="AM43" i="20"/>
  <c r="AM44" i="20"/>
  <c r="AM45" i="20"/>
  <c r="AM46" i="20"/>
  <c r="AM47" i="20"/>
  <c r="AM48" i="20"/>
  <c r="AM49" i="20"/>
  <c r="AM50" i="20"/>
  <c r="AM51" i="20"/>
  <c r="AM52" i="20"/>
  <c r="AM53" i="20"/>
  <c r="AM54" i="20"/>
  <c r="AM55" i="20"/>
  <c r="AM56" i="20"/>
  <c r="AM57" i="20"/>
  <c r="AM58" i="20"/>
  <c r="AM59" i="20"/>
  <c r="AM60" i="20"/>
  <c r="AM61" i="20"/>
  <c r="AM62" i="20"/>
  <c r="AM63" i="20"/>
  <c r="AM64" i="20"/>
  <c r="AM65" i="20"/>
  <c r="AM66" i="20"/>
  <c r="AM67" i="20"/>
  <c r="AM68" i="20"/>
  <c r="AM69" i="20"/>
  <c r="AM70" i="20"/>
  <c r="AM71" i="20"/>
  <c r="AM72" i="20"/>
  <c r="AM73" i="20"/>
  <c r="AM74" i="20"/>
  <c r="AM75" i="20"/>
  <c r="AM76" i="20"/>
  <c r="AM77" i="20"/>
  <c r="AM78" i="20"/>
  <c r="AM79" i="20"/>
  <c r="AM80" i="20"/>
  <c r="AM81" i="20"/>
  <c r="AM82" i="20"/>
  <c r="AM83" i="20"/>
  <c r="AM84" i="20"/>
  <c r="AM85" i="20"/>
  <c r="AM86" i="20"/>
  <c r="AM87" i="20"/>
  <c r="AM88" i="20"/>
  <c r="AM89" i="20"/>
  <c r="AM90" i="20"/>
  <c r="AM91" i="20"/>
  <c r="AM92" i="20"/>
  <c r="AM93" i="20"/>
  <c r="AM94" i="20"/>
  <c r="AM95" i="20"/>
  <c r="AM96" i="20"/>
  <c r="AM97" i="20"/>
  <c r="AM98" i="20"/>
  <c r="AM99" i="20"/>
  <c r="AM100" i="20"/>
  <c r="AM101" i="20"/>
  <c r="AM102" i="20"/>
  <c r="AM103" i="20"/>
  <c r="AM104" i="20"/>
  <c r="AM105" i="20"/>
  <c r="AM106" i="20"/>
  <c r="AM107" i="20"/>
  <c r="AM108" i="20"/>
  <c r="AM109" i="20"/>
  <c r="AM110" i="20"/>
  <c r="AM111" i="20"/>
  <c r="AM112" i="20"/>
  <c r="AM113" i="20"/>
  <c r="AM114" i="20"/>
  <c r="AM115" i="20"/>
  <c r="AM116" i="20"/>
  <c r="AM117" i="20"/>
  <c r="AM118" i="20"/>
  <c r="AM119" i="20"/>
  <c r="AM120" i="20"/>
  <c r="AM121" i="20"/>
  <c r="AM122" i="20"/>
  <c r="AM123" i="20"/>
  <c r="AM124" i="20"/>
  <c r="AM125" i="20"/>
  <c r="AM126" i="20"/>
  <c r="AM127" i="20"/>
  <c r="AM128" i="20"/>
  <c r="AM129" i="20"/>
  <c r="AM130" i="20"/>
  <c r="AM131" i="20"/>
  <c r="AM132" i="20"/>
  <c r="AM133" i="20"/>
  <c r="AM134" i="20"/>
  <c r="AM135" i="20"/>
  <c r="AM136" i="20"/>
  <c r="AM137" i="20"/>
  <c r="AM138" i="20"/>
  <c r="AM139" i="20"/>
  <c r="AM140" i="20"/>
  <c r="AM141" i="20"/>
  <c r="AM142" i="20"/>
  <c r="AM143" i="20"/>
  <c r="AM144" i="20"/>
  <c r="AM145" i="20"/>
  <c r="AM146" i="20"/>
  <c r="AM147" i="20"/>
  <c r="AM148" i="20"/>
  <c r="AM149" i="20"/>
  <c r="AM150" i="20"/>
  <c r="AM151" i="20"/>
  <c r="AM152" i="20"/>
  <c r="AM153" i="20"/>
  <c r="AM154" i="20"/>
  <c r="AM155" i="20"/>
  <c r="AM156" i="20"/>
  <c r="AM157" i="20"/>
  <c r="AM158" i="20"/>
  <c r="AM159" i="20"/>
  <c r="AM160" i="20"/>
  <c r="AM161" i="20"/>
  <c r="AM162" i="20"/>
  <c r="AM163" i="20"/>
  <c r="AM164" i="20"/>
  <c r="AM165" i="20"/>
  <c r="AM166" i="20"/>
  <c r="AM167" i="20"/>
  <c r="AM168" i="20"/>
  <c r="AM169" i="20"/>
  <c r="AM170" i="20"/>
  <c r="AM171" i="20"/>
  <c r="AM172" i="20"/>
  <c r="AM173" i="20"/>
  <c r="AM174" i="20"/>
  <c r="AM175" i="20"/>
  <c r="AM176" i="20"/>
  <c r="AM177" i="20"/>
  <c r="AM178" i="20"/>
  <c r="AM179" i="20"/>
  <c r="AM180" i="20"/>
  <c r="AM181" i="20"/>
  <c r="AM182" i="20"/>
  <c r="AM183" i="20"/>
  <c r="AM184" i="20"/>
  <c r="AM185" i="20"/>
  <c r="AM186" i="20"/>
  <c r="AM187" i="20"/>
  <c r="AM188" i="20"/>
  <c r="AM189" i="20"/>
  <c r="AM190" i="20"/>
  <c r="AM191" i="20"/>
  <c r="AM192" i="20"/>
  <c r="AM193" i="20"/>
  <c r="AM194" i="20"/>
  <c r="AM195" i="20"/>
  <c r="AM196" i="20"/>
  <c r="AM197" i="20"/>
  <c r="AM198" i="20"/>
  <c r="AM199" i="20"/>
  <c r="AM200" i="20"/>
  <c r="AM201" i="20"/>
  <c r="AM202" i="20"/>
  <c r="AM203" i="20"/>
  <c r="AM204" i="20"/>
  <c r="AM205" i="20"/>
  <c r="AM206" i="20"/>
  <c r="AM207" i="20"/>
  <c r="AM208" i="20"/>
  <c r="AM209" i="20"/>
  <c r="AM210" i="20"/>
  <c r="AM211" i="20"/>
  <c r="AM212" i="20"/>
  <c r="AM213" i="20"/>
  <c r="AM214" i="20"/>
  <c r="AM215" i="20"/>
  <c r="AM216" i="20"/>
  <c r="AM217" i="20"/>
  <c r="AM218" i="20"/>
  <c r="AM219" i="20"/>
  <c r="AM220" i="20"/>
  <c r="AM221" i="20"/>
  <c r="AM222" i="20"/>
  <c r="AM223" i="20"/>
  <c r="AM224" i="20"/>
  <c r="AM225" i="20"/>
  <c r="AM226" i="20"/>
  <c r="AM227" i="20"/>
  <c r="AM228" i="20"/>
  <c r="AM229" i="20"/>
  <c r="AM230" i="20"/>
  <c r="AM231" i="20"/>
  <c r="AM232" i="20"/>
  <c r="AM233" i="20"/>
  <c r="AM234" i="20"/>
  <c r="AM235" i="20"/>
  <c r="AM236" i="20"/>
  <c r="AM237" i="20"/>
  <c r="AM238" i="20"/>
  <c r="AM239" i="20"/>
  <c r="AM240" i="20"/>
  <c r="AM241" i="20"/>
  <c r="AM242" i="20"/>
  <c r="AM243" i="20"/>
  <c r="AM244" i="20"/>
  <c r="AM245" i="20"/>
  <c r="AM246" i="20"/>
  <c r="AM247" i="20"/>
  <c r="AM248" i="20"/>
  <c r="AM249" i="20"/>
  <c r="AM250" i="20"/>
  <c r="AM251" i="20"/>
  <c r="AM252" i="20"/>
  <c r="AM253" i="20"/>
  <c r="AM254" i="20"/>
  <c r="AM255" i="20"/>
  <c r="AM256" i="20"/>
  <c r="AM257" i="20"/>
  <c r="AM258" i="20"/>
  <c r="AM259" i="20"/>
  <c r="AM260" i="20"/>
  <c r="AM261" i="20"/>
  <c r="AM14" i="20"/>
  <c r="AM15" i="20"/>
  <c r="AM16" i="20"/>
  <c r="AM13" i="20"/>
  <c r="E12" i="20"/>
  <c r="AM12" i="20" s="1"/>
  <c r="F12" i="20"/>
  <c r="D12" i="20"/>
  <c r="C12" i="20"/>
  <c r="B12" i="20"/>
  <c r="W261" i="20"/>
  <c r="AE260" i="20"/>
  <c r="AA260" i="20"/>
  <c r="W260" i="20"/>
  <c r="AE259" i="20"/>
  <c r="AA259" i="20"/>
  <c r="W259" i="20"/>
  <c r="AE258" i="20"/>
  <c r="AA258" i="20"/>
  <c r="W258" i="20"/>
  <c r="AE257" i="20"/>
  <c r="AA257" i="20"/>
  <c r="W257" i="20"/>
  <c r="AE256" i="20"/>
  <c r="AA256" i="20"/>
  <c r="W256" i="20"/>
  <c r="AE255" i="20"/>
  <c r="AA255" i="20"/>
  <c r="W255" i="20"/>
  <c r="AE254" i="20"/>
  <c r="AA254" i="20"/>
  <c r="W254" i="20"/>
  <c r="AE253" i="20"/>
  <c r="AA253" i="20"/>
  <c r="W253" i="20"/>
  <c r="AE252" i="20"/>
  <c r="AA252" i="20"/>
  <c r="W252" i="20"/>
  <c r="AE251" i="20"/>
  <c r="AA251" i="20"/>
  <c r="W251" i="20"/>
  <c r="AE250" i="20"/>
  <c r="AA250" i="20"/>
  <c r="W250" i="20"/>
  <c r="AE249" i="20"/>
  <c r="AA249" i="20"/>
  <c r="W249" i="20"/>
  <c r="AE248" i="20"/>
  <c r="AA248" i="20"/>
  <c r="W248" i="20"/>
  <c r="AE247" i="20"/>
  <c r="AA247" i="20"/>
  <c r="W247" i="20"/>
  <c r="AE246" i="20"/>
  <c r="AA246" i="20"/>
  <c r="W246" i="20"/>
  <c r="AE245" i="20"/>
  <c r="AA245" i="20"/>
  <c r="W245" i="20"/>
  <c r="AE244" i="20"/>
  <c r="AA244" i="20"/>
  <c r="W244" i="20"/>
  <c r="AE243" i="20"/>
  <c r="AA243" i="20"/>
  <c r="W243" i="20"/>
  <c r="AE242" i="20"/>
  <c r="AA242" i="20"/>
  <c r="W242" i="20"/>
  <c r="AE241" i="20"/>
  <c r="AA241" i="20"/>
  <c r="W241" i="20"/>
  <c r="AE240" i="20"/>
  <c r="AA240" i="20"/>
  <c r="W240" i="20"/>
  <c r="AE239" i="20"/>
  <c r="AA239" i="20"/>
  <c r="W239" i="20"/>
  <c r="AE238" i="20"/>
  <c r="AA238" i="20"/>
  <c r="W238" i="20"/>
  <c r="AE237" i="20"/>
  <c r="AA237" i="20"/>
  <c r="W237" i="20"/>
  <c r="AE236" i="20"/>
  <c r="AA236" i="20"/>
  <c r="W236" i="20"/>
  <c r="AE235" i="20"/>
  <c r="AA235" i="20"/>
  <c r="W235" i="20"/>
  <c r="AE234" i="20"/>
  <c r="AA234" i="20"/>
  <c r="W234" i="20"/>
  <c r="AE233" i="20"/>
  <c r="AA233" i="20"/>
  <c r="W233" i="20"/>
  <c r="AE232" i="20"/>
  <c r="AA232" i="20"/>
  <c r="W232" i="20"/>
  <c r="AE231" i="20"/>
  <c r="AA231" i="20"/>
  <c r="W231" i="20"/>
  <c r="AE230" i="20"/>
  <c r="AA230" i="20"/>
  <c r="W230" i="20"/>
  <c r="AE229" i="20"/>
  <c r="AA229" i="20"/>
  <c r="W229" i="20"/>
  <c r="AE228" i="20"/>
  <c r="AA228" i="20"/>
  <c r="W228" i="20"/>
  <c r="AE227" i="20"/>
  <c r="AA227" i="20"/>
  <c r="W227" i="20"/>
  <c r="AE226" i="20"/>
  <c r="AA226" i="20"/>
  <c r="W226" i="20"/>
  <c r="AE225" i="20"/>
  <c r="AA225" i="20"/>
  <c r="W225" i="20"/>
  <c r="AE224" i="20"/>
  <c r="AA224" i="20"/>
  <c r="W224" i="20"/>
  <c r="AE223" i="20"/>
  <c r="AA223" i="20"/>
  <c r="W223" i="20"/>
  <c r="AE222" i="20"/>
  <c r="AA222" i="20"/>
  <c r="W222" i="20"/>
  <c r="AE221" i="20"/>
  <c r="AA221" i="20"/>
  <c r="W221" i="20"/>
  <c r="AE220" i="20"/>
  <c r="AA220" i="20"/>
  <c r="W220" i="20"/>
  <c r="AE219" i="20"/>
  <c r="AA219" i="20"/>
  <c r="W219" i="20"/>
  <c r="AE218" i="20"/>
  <c r="AA218" i="20"/>
  <c r="W218" i="20"/>
  <c r="AE217" i="20"/>
  <c r="AA217" i="20"/>
  <c r="W217" i="20"/>
  <c r="AE216" i="20"/>
  <c r="AA216" i="20"/>
  <c r="W216" i="20"/>
  <c r="AE215" i="20"/>
  <c r="AA215" i="20"/>
  <c r="W215" i="20"/>
  <c r="AE214" i="20"/>
  <c r="AA214" i="20"/>
  <c r="W214" i="20"/>
  <c r="AE213" i="20"/>
  <c r="AA213" i="20"/>
  <c r="W213" i="20"/>
  <c r="AE212" i="20"/>
  <c r="AA212" i="20"/>
  <c r="W212" i="20"/>
  <c r="AE211" i="20"/>
  <c r="AA211" i="20"/>
  <c r="W211" i="20"/>
  <c r="AE210" i="20"/>
  <c r="AA210" i="20"/>
  <c r="W210" i="20"/>
  <c r="AE209" i="20"/>
  <c r="AA209" i="20"/>
  <c r="W209" i="20"/>
  <c r="AE208" i="20"/>
  <c r="AA208" i="20"/>
  <c r="W208" i="20"/>
  <c r="AE207" i="20"/>
  <c r="AA207" i="20"/>
  <c r="W207" i="20"/>
  <c r="AE206" i="20"/>
  <c r="AA206" i="20"/>
  <c r="W206" i="20"/>
  <c r="AE205" i="20"/>
  <c r="AA205" i="20"/>
  <c r="W205" i="20"/>
  <c r="AE204" i="20"/>
  <c r="AA204" i="20"/>
  <c r="W204" i="20"/>
  <c r="AE203" i="20"/>
  <c r="AA203" i="20"/>
  <c r="W203" i="20"/>
  <c r="AE202" i="20"/>
  <c r="AA202" i="20"/>
  <c r="W202" i="20"/>
  <c r="AE201" i="20"/>
  <c r="AA201" i="20"/>
  <c r="W201" i="20"/>
  <c r="AE200" i="20"/>
  <c r="AA200" i="20"/>
  <c r="W200" i="20"/>
  <c r="AE199" i="20"/>
  <c r="AA199" i="20"/>
  <c r="W199" i="20"/>
  <c r="AE198" i="20"/>
  <c r="AA198" i="20"/>
  <c r="W198" i="20"/>
  <c r="AE197" i="20"/>
  <c r="AA197" i="20"/>
  <c r="W197" i="20"/>
  <c r="AE196" i="20"/>
  <c r="AA196" i="20"/>
  <c r="W196" i="20"/>
  <c r="AE195" i="20"/>
  <c r="AA195" i="20"/>
  <c r="W195" i="20"/>
  <c r="AE194" i="20"/>
  <c r="AA194" i="20"/>
  <c r="W194" i="20"/>
  <c r="AE193" i="20"/>
  <c r="AA193" i="20"/>
  <c r="W193" i="20"/>
  <c r="AE192" i="20"/>
  <c r="AA192" i="20"/>
  <c r="W192" i="20"/>
  <c r="AE191" i="20"/>
  <c r="AA191" i="20"/>
  <c r="W191" i="20"/>
  <c r="AE190" i="20"/>
  <c r="AA190" i="20"/>
  <c r="W190" i="20"/>
  <c r="AE189" i="20"/>
  <c r="AA189" i="20"/>
  <c r="W189" i="20"/>
  <c r="AE188" i="20"/>
  <c r="AA188" i="20"/>
  <c r="W188" i="20"/>
  <c r="AE187" i="20"/>
  <c r="AA187" i="20"/>
  <c r="W187" i="20"/>
  <c r="AE186" i="20"/>
  <c r="AA186" i="20"/>
  <c r="W186" i="20"/>
  <c r="AE185" i="20"/>
  <c r="AA185" i="20"/>
  <c r="W185" i="20"/>
  <c r="AE184" i="20"/>
  <c r="AA184" i="20"/>
  <c r="W184" i="20"/>
  <c r="AE183" i="20"/>
  <c r="AA183" i="20"/>
  <c r="W183" i="20"/>
  <c r="AE182" i="20"/>
  <c r="AA182" i="20"/>
  <c r="W182" i="20"/>
  <c r="AE181" i="20"/>
  <c r="AA181" i="20"/>
  <c r="W181" i="20"/>
  <c r="AE180" i="20"/>
  <c r="AA180" i="20"/>
  <c r="W180" i="20"/>
  <c r="AE179" i="20"/>
  <c r="AA179" i="20"/>
  <c r="W179" i="20"/>
  <c r="AE178" i="20"/>
  <c r="AA178" i="20"/>
  <c r="W178" i="20"/>
  <c r="AE177" i="20"/>
  <c r="AA177" i="20"/>
  <c r="W177" i="20"/>
  <c r="AE176" i="20"/>
  <c r="AA176" i="20"/>
  <c r="W176" i="20"/>
  <c r="AE175" i="20"/>
  <c r="AA175" i="20"/>
  <c r="W175" i="20"/>
  <c r="AE174" i="20"/>
  <c r="AA174" i="20"/>
  <c r="W174" i="20"/>
  <c r="AE173" i="20"/>
  <c r="AA173" i="20"/>
  <c r="W173" i="20"/>
  <c r="AE172" i="20"/>
  <c r="AA172" i="20"/>
  <c r="W172" i="20"/>
  <c r="AE171" i="20"/>
  <c r="AA171" i="20"/>
  <c r="W171" i="20"/>
  <c r="AE170" i="20"/>
  <c r="AA170" i="20"/>
  <c r="W170" i="20"/>
  <c r="AE169" i="20"/>
  <c r="AA169" i="20"/>
  <c r="W169" i="20"/>
  <c r="AE168" i="20"/>
  <c r="AA168" i="20"/>
  <c r="W168" i="20"/>
  <c r="AE167" i="20"/>
  <c r="AA167" i="20"/>
  <c r="W167" i="20"/>
  <c r="AE166" i="20"/>
  <c r="AA166" i="20"/>
  <c r="W166" i="20"/>
  <c r="AE165" i="20"/>
  <c r="AA165" i="20"/>
  <c r="W165" i="20"/>
  <c r="AE164" i="20"/>
  <c r="AA164" i="20"/>
  <c r="W164" i="20"/>
  <c r="AE163" i="20"/>
  <c r="AA163" i="20"/>
  <c r="W163" i="20"/>
  <c r="AE162" i="20"/>
  <c r="AA162" i="20"/>
  <c r="W162" i="20"/>
  <c r="AE161" i="20"/>
  <c r="AA161" i="20"/>
  <c r="W161" i="20"/>
  <c r="AE160" i="20"/>
  <c r="AA160" i="20"/>
  <c r="W160" i="20"/>
  <c r="AE159" i="20"/>
  <c r="AA159" i="20"/>
  <c r="W159" i="20"/>
  <c r="AE158" i="20"/>
  <c r="AA158" i="20"/>
  <c r="W158" i="20"/>
  <c r="AE157" i="20"/>
  <c r="AA157" i="20"/>
  <c r="W157" i="20"/>
  <c r="AE156" i="20"/>
  <c r="AA156" i="20"/>
  <c r="W156" i="20"/>
  <c r="AE155" i="20"/>
  <c r="AA155" i="20"/>
  <c r="W155" i="20"/>
  <c r="AE154" i="20"/>
  <c r="AA154" i="20"/>
  <c r="W154" i="20"/>
  <c r="AE153" i="20"/>
  <c r="AA153" i="20"/>
  <c r="W153" i="20"/>
  <c r="AE152" i="20"/>
  <c r="AA152" i="20"/>
  <c r="W152" i="20"/>
  <c r="AE151" i="20"/>
  <c r="AA151" i="20"/>
  <c r="W151" i="20"/>
  <c r="AE150" i="20"/>
  <c r="AA150" i="20"/>
  <c r="W150" i="20"/>
  <c r="AE149" i="20"/>
  <c r="AA149" i="20"/>
  <c r="W149" i="20"/>
  <c r="AE148" i="20"/>
  <c r="AA148" i="20"/>
  <c r="W148" i="20"/>
  <c r="AE147" i="20"/>
  <c r="AA147" i="20"/>
  <c r="W147" i="20"/>
  <c r="AE146" i="20"/>
  <c r="AA146" i="20"/>
  <c r="W146" i="20"/>
  <c r="AE145" i="20"/>
  <c r="AA145" i="20"/>
  <c r="W145" i="20"/>
  <c r="AE144" i="20"/>
  <c r="AA144" i="20"/>
  <c r="W144" i="20"/>
  <c r="AE143" i="20"/>
  <c r="AA143" i="20"/>
  <c r="W143" i="20"/>
  <c r="AE142" i="20"/>
  <c r="AA142" i="20"/>
  <c r="W142" i="20"/>
  <c r="AE141" i="20"/>
  <c r="AA141" i="20"/>
  <c r="W141" i="20"/>
  <c r="AE140" i="20"/>
  <c r="AA140" i="20"/>
  <c r="W140" i="20"/>
  <c r="AE139" i="20"/>
  <c r="AA139" i="20"/>
  <c r="W139" i="20"/>
  <c r="AE138" i="20"/>
  <c r="AA138" i="20"/>
  <c r="W138" i="20"/>
  <c r="AE137" i="20"/>
  <c r="AA137" i="20"/>
  <c r="W137" i="20"/>
  <c r="AE136" i="20"/>
  <c r="AA136" i="20"/>
  <c r="W136" i="20"/>
  <c r="AE135" i="20"/>
  <c r="AA135" i="20"/>
  <c r="W135" i="20"/>
  <c r="AE134" i="20"/>
  <c r="AA134" i="20"/>
  <c r="W134" i="20"/>
  <c r="AE133" i="20"/>
  <c r="AA133" i="20"/>
  <c r="W133" i="20"/>
  <c r="AE132" i="20"/>
  <c r="AA132" i="20"/>
  <c r="W132" i="20"/>
  <c r="AE131" i="20"/>
  <c r="AA131" i="20"/>
  <c r="W131" i="20"/>
  <c r="AE130" i="20"/>
  <c r="AA130" i="20"/>
  <c r="W130" i="20"/>
  <c r="AE129" i="20"/>
  <c r="AA129" i="20"/>
  <c r="W129" i="20"/>
  <c r="AE128" i="20"/>
  <c r="AA128" i="20"/>
  <c r="W128" i="20"/>
  <c r="AE127" i="20"/>
  <c r="AA127" i="20"/>
  <c r="W127" i="20"/>
  <c r="AE126" i="20"/>
  <c r="AA126" i="20"/>
  <c r="W126" i="20"/>
  <c r="AE125" i="20"/>
  <c r="AA125" i="20"/>
  <c r="W125" i="20"/>
  <c r="AE124" i="20"/>
  <c r="AA124" i="20"/>
  <c r="W124" i="20"/>
  <c r="AE123" i="20"/>
  <c r="AA123" i="20"/>
  <c r="W123" i="20"/>
  <c r="AE122" i="20"/>
  <c r="AA122" i="20"/>
  <c r="W122" i="20"/>
  <c r="AE121" i="20"/>
  <c r="AA121" i="20"/>
  <c r="W121" i="20"/>
  <c r="AE120" i="20"/>
  <c r="AA120" i="20"/>
  <c r="W120" i="20"/>
  <c r="AE119" i="20"/>
  <c r="AA119" i="20"/>
  <c r="W119" i="20"/>
  <c r="AE118" i="20"/>
  <c r="AA118" i="20"/>
  <c r="W118" i="20"/>
  <c r="AE117" i="20"/>
  <c r="AA117" i="20"/>
  <c r="W117" i="20"/>
  <c r="AE116" i="20"/>
  <c r="AA116" i="20"/>
  <c r="W116" i="20"/>
  <c r="AE115" i="20"/>
  <c r="AA115" i="20"/>
  <c r="W115" i="20"/>
  <c r="AE114" i="20"/>
  <c r="AA114" i="20"/>
  <c r="W114" i="20"/>
  <c r="AE113" i="20"/>
  <c r="AA113" i="20"/>
  <c r="W113" i="20"/>
  <c r="AE112" i="20"/>
  <c r="AA112" i="20"/>
  <c r="W112" i="20"/>
  <c r="AE111" i="20"/>
  <c r="AA111" i="20"/>
  <c r="W111" i="20"/>
  <c r="AE110" i="20"/>
  <c r="AA110" i="20"/>
  <c r="W110" i="20"/>
  <c r="AE109" i="20"/>
  <c r="AA109" i="20"/>
  <c r="W109" i="20"/>
  <c r="AE108" i="20"/>
  <c r="AA108" i="20"/>
  <c r="W108" i="20"/>
  <c r="AE107" i="20"/>
  <c r="AA107" i="20"/>
  <c r="W107" i="20"/>
  <c r="AE106" i="20"/>
  <c r="AA106" i="20"/>
  <c r="W106" i="20"/>
  <c r="AE105" i="20"/>
  <c r="AA105" i="20"/>
  <c r="W105" i="20"/>
  <c r="AE104" i="20"/>
  <c r="AA104" i="20"/>
  <c r="W104" i="20"/>
  <c r="AE103" i="20"/>
  <c r="AA103" i="20"/>
  <c r="W103" i="20"/>
  <c r="AE102" i="20"/>
  <c r="AA102" i="20"/>
  <c r="W102" i="20"/>
  <c r="AE101" i="20"/>
  <c r="AA101" i="20"/>
  <c r="W101" i="20"/>
  <c r="AE100" i="20"/>
  <c r="AA100" i="20"/>
  <c r="W100" i="20"/>
  <c r="AE99" i="20"/>
  <c r="AA99" i="20"/>
  <c r="W99" i="20"/>
  <c r="AE98" i="20"/>
  <c r="AA98" i="20"/>
  <c r="W98" i="20"/>
  <c r="AE97" i="20"/>
  <c r="AA97" i="20"/>
  <c r="W97" i="20"/>
  <c r="AE96" i="20"/>
  <c r="AA96" i="20"/>
  <c r="W96" i="20"/>
  <c r="AE95" i="20"/>
  <c r="AA95" i="20"/>
  <c r="W95" i="20"/>
  <c r="AE94" i="20"/>
  <c r="AA94" i="20"/>
  <c r="W94" i="20"/>
  <c r="AE93" i="20"/>
  <c r="AA93" i="20"/>
  <c r="W93" i="20"/>
  <c r="AE92" i="20"/>
  <c r="AA92" i="20"/>
  <c r="W92" i="20"/>
  <c r="AE91" i="20"/>
  <c r="AA91" i="20"/>
  <c r="W91" i="20"/>
  <c r="AE90" i="20"/>
  <c r="AA90" i="20"/>
  <c r="W90" i="20"/>
  <c r="AE89" i="20"/>
  <c r="AA89" i="20"/>
  <c r="W89" i="20"/>
  <c r="AE88" i="20"/>
  <c r="AA88" i="20"/>
  <c r="W88" i="20"/>
  <c r="AE87" i="20"/>
  <c r="AA87" i="20"/>
  <c r="W87" i="20"/>
  <c r="AE86" i="20"/>
  <c r="AA86" i="20"/>
  <c r="W86" i="20"/>
  <c r="AE85" i="20"/>
  <c r="AA85" i="20"/>
  <c r="W85" i="20"/>
  <c r="AE84" i="20"/>
  <c r="AA84" i="20"/>
  <c r="W84" i="20"/>
  <c r="AE83" i="20"/>
  <c r="AA83" i="20"/>
  <c r="W83" i="20"/>
  <c r="AE82" i="20"/>
  <c r="AA82" i="20"/>
  <c r="W82" i="20"/>
  <c r="AE81" i="20"/>
  <c r="AA81" i="20"/>
  <c r="W81" i="20"/>
  <c r="AE80" i="20"/>
  <c r="AA80" i="20"/>
  <c r="W80" i="20"/>
  <c r="AE79" i="20"/>
  <c r="AA79" i="20"/>
  <c r="W79" i="20"/>
  <c r="AE78" i="20"/>
  <c r="AA78" i="20"/>
  <c r="W78" i="20"/>
  <c r="AE77" i="20"/>
  <c r="AA77" i="20"/>
  <c r="W77" i="20"/>
  <c r="AE76" i="20"/>
  <c r="AA76" i="20"/>
  <c r="W76" i="20"/>
  <c r="AE75" i="20"/>
  <c r="AA75" i="20"/>
  <c r="W75" i="20"/>
  <c r="AE74" i="20"/>
  <c r="AA74" i="20"/>
  <c r="W74" i="20"/>
  <c r="AE73" i="20"/>
  <c r="AA73" i="20"/>
  <c r="W73" i="20"/>
  <c r="AE72" i="20"/>
  <c r="AA72" i="20"/>
  <c r="W72" i="20"/>
  <c r="AE71" i="20"/>
  <c r="AA71" i="20"/>
  <c r="W71" i="20"/>
  <c r="AE70" i="20"/>
  <c r="AA70" i="20"/>
  <c r="W70" i="20"/>
  <c r="AE69" i="20"/>
  <c r="AA69" i="20"/>
  <c r="W69" i="20"/>
  <c r="AE68" i="20"/>
  <c r="AA68" i="20"/>
  <c r="W68" i="20"/>
  <c r="AE67" i="20"/>
  <c r="AA67" i="20"/>
  <c r="W67" i="20"/>
  <c r="AE66" i="20"/>
  <c r="AA66" i="20"/>
  <c r="W66" i="20"/>
  <c r="AE65" i="20"/>
  <c r="AA65" i="20"/>
  <c r="W65" i="20"/>
  <c r="AE64" i="20"/>
  <c r="AA64" i="20"/>
  <c r="W64" i="20"/>
  <c r="AE63" i="20"/>
  <c r="AA63" i="20"/>
  <c r="W63" i="20"/>
  <c r="AE62" i="20"/>
  <c r="AA62" i="20"/>
  <c r="W62" i="20"/>
  <c r="AE61" i="20"/>
  <c r="AA61" i="20"/>
  <c r="W61" i="20"/>
  <c r="AE60" i="20"/>
  <c r="AA60" i="20"/>
  <c r="W60" i="20"/>
  <c r="AE59" i="20"/>
  <c r="AA59" i="20"/>
  <c r="W59" i="20"/>
  <c r="AE58" i="20"/>
  <c r="AA58" i="20"/>
  <c r="W58" i="20"/>
  <c r="AE57" i="20"/>
  <c r="AA57" i="20"/>
  <c r="W57" i="20"/>
  <c r="AE56" i="20"/>
  <c r="AA56" i="20"/>
  <c r="W56" i="20"/>
  <c r="AE55" i="20"/>
  <c r="AA55" i="20"/>
  <c r="W55" i="20"/>
  <c r="AE54" i="20"/>
  <c r="AA54" i="20"/>
  <c r="W54" i="20"/>
  <c r="AE53" i="20"/>
  <c r="AA53" i="20"/>
  <c r="W53" i="20"/>
  <c r="AE52" i="20"/>
  <c r="AA52" i="20"/>
  <c r="W52" i="20"/>
  <c r="AE51" i="20"/>
  <c r="AA51" i="20"/>
  <c r="W51" i="20"/>
  <c r="AE50" i="20"/>
  <c r="AA50" i="20"/>
  <c r="W50" i="20"/>
  <c r="AE49" i="20"/>
  <c r="AA49" i="20"/>
  <c r="W49" i="20"/>
  <c r="AE48" i="20"/>
  <c r="AA48" i="20"/>
  <c r="W48" i="20"/>
  <c r="AE47" i="20"/>
  <c r="AA47" i="20"/>
  <c r="W47" i="20"/>
  <c r="AE46" i="20"/>
  <c r="AA46" i="20"/>
  <c r="W46" i="20"/>
  <c r="AE45" i="20"/>
  <c r="AA45" i="20"/>
  <c r="W45" i="20"/>
  <c r="AE44" i="20"/>
  <c r="AA44" i="20"/>
  <c r="W44" i="20"/>
  <c r="AE43" i="20"/>
  <c r="AA43" i="20"/>
  <c r="W43" i="20"/>
  <c r="AE42" i="20"/>
  <c r="AA42" i="20"/>
  <c r="W42" i="20"/>
  <c r="AE41" i="20"/>
  <c r="AA41" i="20"/>
  <c r="W41" i="20"/>
  <c r="AE40" i="20"/>
  <c r="AA40" i="20"/>
  <c r="W40" i="20"/>
  <c r="AE39" i="20"/>
  <c r="AA39" i="20"/>
  <c r="W39" i="20"/>
  <c r="AE38" i="20"/>
  <c r="AA38" i="20"/>
  <c r="W38" i="20"/>
  <c r="AE37" i="20"/>
  <c r="AA37" i="20"/>
  <c r="W37" i="20"/>
  <c r="AE36" i="20"/>
  <c r="AA36" i="20"/>
  <c r="W36" i="20"/>
  <c r="AE35" i="20"/>
  <c r="AA35" i="20"/>
  <c r="W35" i="20"/>
  <c r="AE34" i="20"/>
  <c r="AA34" i="20"/>
  <c r="W34" i="20"/>
  <c r="AE33" i="20"/>
  <c r="AA33" i="20"/>
  <c r="W33" i="20"/>
  <c r="AE32" i="20"/>
  <c r="AA32" i="20"/>
  <c r="W32" i="20"/>
  <c r="AE31" i="20"/>
  <c r="AA31" i="20"/>
  <c r="W31" i="20"/>
  <c r="AE30" i="20"/>
  <c r="AA30" i="20"/>
  <c r="W30" i="20"/>
  <c r="AE29" i="20"/>
  <c r="AA29" i="20"/>
  <c r="W29" i="20"/>
  <c r="AE28" i="20"/>
  <c r="AA28" i="20"/>
  <c r="W28" i="20"/>
  <c r="AE27" i="20"/>
  <c r="AA27" i="20"/>
  <c r="W27" i="20"/>
  <c r="AE26" i="20"/>
  <c r="AA26" i="20"/>
  <c r="W26" i="20"/>
  <c r="AE25" i="20"/>
  <c r="AA25" i="20"/>
  <c r="W25" i="20"/>
  <c r="AE24" i="20"/>
  <c r="AA24" i="20"/>
  <c r="W24" i="20"/>
  <c r="AE23" i="20"/>
  <c r="AA23" i="20"/>
  <c r="W23" i="20"/>
  <c r="AE22" i="20"/>
  <c r="AA22" i="20"/>
  <c r="W22" i="20"/>
  <c r="AE21" i="20"/>
  <c r="AA21" i="20"/>
  <c r="W21" i="20"/>
  <c r="AE20" i="20"/>
  <c r="AA20" i="20"/>
  <c r="W20" i="20"/>
  <c r="AE19" i="20"/>
  <c r="AA19" i="20"/>
  <c r="W19" i="20"/>
  <c r="AE18" i="20"/>
  <c r="AA18" i="20"/>
  <c r="W18" i="20"/>
  <c r="AE17" i="20"/>
  <c r="AA17" i="20"/>
  <c r="W17" i="20"/>
  <c r="AE16" i="20"/>
  <c r="AA16" i="20"/>
  <c r="W16" i="20"/>
  <c r="AE15" i="20"/>
  <c r="AA15" i="20"/>
  <c r="W15" i="20"/>
  <c r="AE14" i="20"/>
  <c r="AA14" i="20"/>
  <c r="W14" i="20"/>
  <c r="AE13" i="20"/>
  <c r="AA13" i="20"/>
  <c r="W13" i="20"/>
  <c r="AE12" i="20"/>
  <c r="AA12" i="20"/>
  <c r="W12" i="20"/>
  <c r="P11" i="20"/>
  <c r="N11" i="20"/>
  <c r="M11" i="20"/>
  <c r="L11" i="20"/>
  <c r="K11" i="20"/>
  <c r="AI6" i="20"/>
  <c r="L11" i="14"/>
  <c r="M11" i="14"/>
  <c r="N11" i="14"/>
  <c r="AJ6" i="14"/>
  <c r="X261" i="14"/>
  <c r="X13" i="14"/>
  <c r="X14" i="14"/>
  <c r="X15" i="14"/>
  <c r="X16" i="14"/>
  <c r="X17" i="14"/>
  <c r="X18" i="14"/>
  <c r="X19" i="14"/>
  <c r="X20" i="14"/>
  <c r="X21" i="14"/>
  <c r="X22" i="14"/>
  <c r="X23" i="14"/>
  <c r="X24" i="14"/>
  <c r="X25" i="14"/>
  <c r="X26"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AF260" i="14"/>
  <c r="AF259" i="14"/>
  <c r="AF258" i="14"/>
  <c r="AF257" i="14"/>
  <c r="AF256" i="14"/>
  <c r="AF255" i="14"/>
  <c r="AF254" i="14"/>
  <c r="AF253" i="14"/>
  <c r="AF252" i="14"/>
  <c r="AF251" i="14"/>
  <c r="AF250" i="14"/>
  <c r="AF249" i="14"/>
  <c r="AF248" i="14"/>
  <c r="AF247" i="14"/>
  <c r="AF246" i="14"/>
  <c r="AF245" i="14"/>
  <c r="AF244" i="14"/>
  <c r="AF243" i="14"/>
  <c r="AF242" i="14"/>
  <c r="AF241" i="14"/>
  <c r="AF240" i="14"/>
  <c r="AF239" i="14"/>
  <c r="AF238" i="14"/>
  <c r="AF237" i="14"/>
  <c r="AF236" i="14"/>
  <c r="AF235" i="14"/>
  <c r="AF234" i="14"/>
  <c r="AF233" i="14"/>
  <c r="AF232" i="14"/>
  <c r="AF231" i="14"/>
  <c r="AF230" i="14"/>
  <c r="AF229" i="14"/>
  <c r="AF228" i="14"/>
  <c r="AF227" i="14"/>
  <c r="AF226" i="14"/>
  <c r="AF225" i="14"/>
  <c r="AF224" i="14"/>
  <c r="AF223" i="14"/>
  <c r="AF222" i="14"/>
  <c r="AF221" i="14"/>
  <c r="AF220" i="14"/>
  <c r="AF219" i="14"/>
  <c r="AF218" i="14"/>
  <c r="AF217" i="14"/>
  <c r="AF216" i="14"/>
  <c r="AF215" i="14"/>
  <c r="AF214" i="14"/>
  <c r="AF213" i="14"/>
  <c r="AF212" i="14"/>
  <c r="AF211" i="14"/>
  <c r="AF210" i="14"/>
  <c r="AF209" i="14"/>
  <c r="AF208" i="14"/>
  <c r="AF207" i="14"/>
  <c r="AF206" i="14"/>
  <c r="AF205" i="14"/>
  <c r="AF204" i="14"/>
  <c r="AF203" i="14"/>
  <c r="AF202" i="14"/>
  <c r="AF201" i="14"/>
  <c r="AF200" i="14"/>
  <c r="AF199" i="14"/>
  <c r="AF198" i="14"/>
  <c r="AF197" i="14"/>
  <c r="AF196" i="14"/>
  <c r="AF195" i="14"/>
  <c r="AF194" i="14"/>
  <c r="AF193" i="14"/>
  <c r="AF192" i="14"/>
  <c r="AF191" i="14"/>
  <c r="AF190" i="14"/>
  <c r="AF189" i="14"/>
  <c r="AF188" i="14"/>
  <c r="AF187" i="14"/>
  <c r="AF186" i="14"/>
  <c r="AF185" i="14"/>
  <c r="AF184" i="14"/>
  <c r="AF183" i="14"/>
  <c r="AF182" i="14"/>
  <c r="AF181" i="14"/>
  <c r="AF180" i="14"/>
  <c r="AF179" i="14"/>
  <c r="AF178" i="14"/>
  <c r="AF177" i="14"/>
  <c r="AF176" i="14"/>
  <c r="AF175" i="14"/>
  <c r="AF174" i="14"/>
  <c r="AF173" i="14"/>
  <c r="AF172" i="14"/>
  <c r="AF171" i="14"/>
  <c r="AF170" i="14"/>
  <c r="AF169" i="14"/>
  <c r="AF168" i="14"/>
  <c r="AF167" i="14"/>
  <c r="AF166" i="14"/>
  <c r="AF165" i="14"/>
  <c r="AF164" i="14"/>
  <c r="AF163" i="14"/>
  <c r="AF162" i="14"/>
  <c r="AF161" i="14"/>
  <c r="AF160" i="14"/>
  <c r="AF159" i="14"/>
  <c r="AF158" i="14"/>
  <c r="AF157" i="14"/>
  <c r="AF156" i="14"/>
  <c r="AF155" i="14"/>
  <c r="AF154" i="14"/>
  <c r="AF153" i="14"/>
  <c r="AF152" i="14"/>
  <c r="AF151" i="14"/>
  <c r="AF150" i="14"/>
  <c r="AF149" i="14"/>
  <c r="AF148" i="14"/>
  <c r="AF147" i="14"/>
  <c r="AF146" i="14"/>
  <c r="AF145" i="14"/>
  <c r="AF144" i="14"/>
  <c r="AF143" i="14"/>
  <c r="AF142" i="14"/>
  <c r="AF141" i="14"/>
  <c r="AF140" i="14"/>
  <c r="AF139" i="14"/>
  <c r="AF138" i="14"/>
  <c r="AF137" i="14"/>
  <c r="AF136" i="14"/>
  <c r="AF135" i="14"/>
  <c r="AF134" i="14"/>
  <c r="AF133" i="14"/>
  <c r="AF132" i="14"/>
  <c r="AF131" i="14"/>
  <c r="AF130" i="14"/>
  <c r="AF129" i="14"/>
  <c r="AF128" i="14"/>
  <c r="AF127" i="14"/>
  <c r="AF126" i="14"/>
  <c r="AF125" i="14"/>
  <c r="AF124" i="14"/>
  <c r="AF123" i="14"/>
  <c r="AF122" i="14"/>
  <c r="AF121" i="14"/>
  <c r="AF120" i="14"/>
  <c r="AF119" i="14"/>
  <c r="AF118" i="14"/>
  <c r="AF117" i="14"/>
  <c r="AF116" i="14"/>
  <c r="AF115" i="14"/>
  <c r="AF114" i="14"/>
  <c r="AF113" i="14"/>
  <c r="AF112" i="14"/>
  <c r="AF111" i="14"/>
  <c r="AF110" i="14"/>
  <c r="AF109" i="14"/>
  <c r="AF108" i="14"/>
  <c r="AF107" i="14"/>
  <c r="AF106" i="14"/>
  <c r="AF105" i="14"/>
  <c r="AF104" i="14"/>
  <c r="AF103" i="14"/>
  <c r="AF102" i="14"/>
  <c r="AF101" i="14"/>
  <c r="AF100" i="14"/>
  <c r="AF99" i="14"/>
  <c r="AF98" i="14"/>
  <c r="AF97" i="14"/>
  <c r="AF96" i="14"/>
  <c r="AF95" i="14"/>
  <c r="AF94" i="14"/>
  <c r="AF93" i="14"/>
  <c r="AF92" i="14"/>
  <c r="AF91" i="14"/>
  <c r="AF90" i="14"/>
  <c r="AF89" i="14"/>
  <c r="AF88" i="14"/>
  <c r="AF87" i="14"/>
  <c r="AF86" i="14"/>
  <c r="AF85" i="14"/>
  <c r="AF84" i="14"/>
  <c r="AF83" i="14"/>
  <c r="AF82" i="14"/>
  <c r="AF81" i="14"/>
  <c r="AF80" i="14"/>
  <c r="AF79" i="14"/>
  <c r="AF78" i="14"/>
  <c r="AF77" i="14"/>
  <c r="AF76" i="14"/>
  <c r="AF75" i="14"/>
  <c r="AF74" i="14"/>
  <c r="AF73" i="14"/>
  <c r="AF72" i="14"/>
  <c r="AF71" i="14"/>
  <c r="AF70" i="14"/>
  <c r="AF69" i="14"/>
  <c r="AF68" i="14"/>
  <c r="AF67" i="14"/>
  <c r="AF66" i="14"/>
  <c r="AF65" i="14"/>
  <c r="AF64" i="14"/>
  <c r="AF63" i="14"/>
  <c r="AF62" i="14"/>
  <c r="AF61" i="14"/>
  <c r="AF60" i="14"/>
  <c r="AF59" i="14"/>
  <c r="AF58" i="14"/>
  <c r="AF57" i="14"/>
  <c r="AF56" i="14"/>
  <c r="AF55" i="14"/>
  <c r="AF54" i="14"/>
  <c r="AF53" i="14"/>
  <c r="AF52" i="14"/>
  <c r="AF51" i="14"/>
  <c r="AF50" i="14"/>
  <c r="AF49" i="14"/>
  <c r="AF48" i="14"/>
  <c r="AF47" i="14"/>
  <c r="AF46" i="14"/>
  <c r="AF45" i="14"/>
  <c r="AF44" i="14"/>
  <c r="AF43" i="14"/>
  <c r="AF42" i="14"/>
  <c r="AF41" i="14"/>
  <c r="AF26" i="14"/>
  <c r="AF25" i="14"/>
  <c r="AF24" i="14"/>
  <c r="AF23" i="14"/>
  <c r="AF22" i="14"/>
  <c r="AF21" i="14"/>
  <c r="AF20" i="14"/>
  <c r="AF19" i="14"/>
  <c r="AF18" i="14"/>
  <c r="AF17" i="14"/>
  <c r="AF16" i="14"/>
  <c r="AF15" i="14"/>
  <c r="AF14" i="14"/>
  <c r="AF13" i="14"/>
  <c r="AF12" i="14"/>
  <c r="AB260" i="14"/>
  <c r="AB259" i="14"/>
  <c r="AB258" i="14"/>
  <c r="AB257" i="14"/>
  <c r="AB256" i="14"/>
  <c r="AB255" i="14"/>
  <c r="AB254" i="14"/>
  <c r="AB253" i="14"/>
  <c r="AB252" i="14"/>
  <c r="AB251" i="14"/>
  <c r="AB250" i="14"/>
  <c r="AB249" i="14"/>
  <c r="AB248" i="14"/>
  <c r="AB247" i="14"/>
  <c r="AB246" i="14"/>
  <c r="AB245" i="14"/>
  <c r="AB244" i="14"/>
  <c r="AB243" i="14"/>
  <c r="AB242"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4"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6"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8"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30" i="14"/>
  <c r="AB129"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101" i="14"/>
  <c r="AB100" i="14"/>
  <c r="AB99" i="14"/>
  <c r="AB98" i="14"/>
  <c r="AB97" i="14"/>
  <c r="AB96" i="14"/>
  <c r="AB95" i="14"/>
  <c r="AB94" i="14"/>
  <c r="AB93" i="14"/>
  <c r="AB92" i="14"/>
  <c r="AB91" i="14"/>
  <c r="AB90" i="14"/>
  <c r="AB89" i="14"/>
  <c r="AB88" i="14"/>
  <c r="AB87" i="14"/>
  <c r="AB86" i="14"/>
  <c r="AB85" i="14"/>
  <c r="AB84" i="14"/>
  <c r="AB83" i="14"/>
  <c r="AB82" i="14"/>
  <c r="AB81" i="14"/>
  <c r="AB80" i="14"/>
  <c r="AB79" i="14"/>
  <c r="AB78" i="14"/>
  <c r="AB77" i="14"/>
  <c r="AB76" i="14"/>
  <c r="AB75" i="14"/>
  <c r="AB74" i="14"/>
  <c r="AB73" i="14"/>
  <c r="AB72" i="14"/>
  <c r="AB71" i="14"/>
  <c r="AB70" i="14"/>
  <c r="AB69" i="14"/>
  <c r="AB68" i="14"/>
  <c r="AB67" i="14"/>
  <c r="AB66" i="14"/>
  <c r="AB65" i="14"/>
  <c r="AB64" i="14"/>
  <c r="AB63" i="14"/>
  <c r="AB62" i="14"/>
  <c r="AB61" i="14"/>
  <c r="AB60" i="14"/>
  <c r="AB59" i="14"/>
  <c r="AB58" i="14"/>
  <c r="AB57" i="14"/>
  <c r="AB56" i="14"/>
  <c r="AB55" i="14"/>
  <c r="AB54" i="14"/>
  <c r="AB53" i="14"/>
  <c r="AB52" i="14"/>
  <c r="AB51" i="14"/>
  <c r="AB50" i="14"/>
  <c r="AB49" i="14"/>
  <c r="AB48" i="14"/>
  <c r="AB47" i="14"/>
  <c r="AB46" i="14"/>
  <c r="AB45" i="14"/>
  <c r="AB44" i="14"/>
  <c r="AB43" i="14"/>
  <c r="AB42" i="14"/>
  <c r="AB41" i="14"/>
  <c r="AB26" i="14"/>
  <c r="AB25" i="14"/>
  <c r="AB24" i="14"/>
  <c r="AB23" i="14"/>
  <c r="AB22" i="14"/>
  <c r="AB21" i="14"/>
  <c r="AB20" i="14"/>
  <c r="AB19" i="14"/>
  <c r="AB18" i="14"/>
  <c r="AB17" i="14"/>
  <c r="AB16" i="14"/>
  <c r="AB15" i="14"/>
  <c r="AB14" i="14"/>
  <c r="AB13" i="14"/>
  <c r="AB12" i="14"/>
  <c r="X12"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Q11" i="14"/>
  <c r="O11" i="14"/>
  <c r="Q3" i="19"/>
  <c r="Q4" i="19"/>
  <c r="Q5" i="19"/>
  <c r="Q6" i="19" s="1"/>
  <c r="Q7" i="19" s="1"/>
  <c r="Q8" i="19" s="1"/>
  <c r="Q9" i="19" s="1"/>
  <c r="Q10" i="19" s="1"/>
  <c r="Q11" i="19" s="1"/>
  <c r="Q12" i="19" s="1"/>
  <c r="Q13" i="19" s="1"/>
  <c r="Q14" i="19" s="1"/>
  <c r="Q15" i="19" s="1"/>
  <c r="Q16" i="19" s="1"/>
  <c r="Q17" i="19" s="1"/>
  <c r="Q18" i="19" s="1"/>
  <c r="Q19" i="19" s="1"/>
  <c r="Q20" i="19" s="1"/>
  <c r="Q21" i="19" s="1"/>
  <c r="Q22" i="19" s="1"/>
  <c r="Q23" i="19" s="1"/>
  <c r="Q24" i="19" s="1"/>
  <c r="Q25" i="19" s="1"/>
  <c r="Q26" i="19" s="1"/>
  <c r="Q27" i="19" s="1"/>
  <c r="Q28" i="19" s="1"/>
  <c r="Q29" i="19" s="1"/>
  <c r="Q30" i="19" s="1"/>
  <c r="Q31" i="19" s="1"/>
  <c r="U32" i="22"/>
  <c r="U41" i="22"/>
  <c r="U47" i="22"/>
  <c r="U39" i="22"/>
  <c r="U42" i="22"/>
  <c r="U43" i="22"/>
  <c r="U48" i="22"/>
  <c r="U37" i="22"/>
  <c r="U31" i="22"/>
  <c r="U33" i="22"/>
  <c r="U36" i="22"/>
  <c r="U44" i="22"/>
  <c r="U35" i="22"/>
  <c r="U40" i="22"/>
  <c r="U46" i="22"/>
  <c r="U34" i="22"/>
  <c r="U45" i="22"/>
  <c r="U38" i="22"/>
  <c r="D362" i="19" l="1"/>
  <c r="A174" i="20"/>
  <c r="D350" i="19"/>
  <c r="A162" i="20"/>
  <c r="D354" i="19"/>
  <c r="A166" i="20"/>
  <c r="A14" i="14"/>
  <c r="A13" i="20"/>
  <c r="A12" i="20"/>
  <c r="D201" i="19"/>
  <c r="AN145" i="20"/>
  <c r="AN141" i="20"/>
  <c r="AN137" i="20"/>
  <c r="AN133" i="20"/>
  <c r="AN125" i="20"/>
  <c r="AN69" i="20"/>
  <c r="AN25" i="20"/>
  <c r="AN21" i="20"/>
  <c r="E204" i="19"/>
  <c r="E216" i="19"/>
  <c r="E210" i="19"/>
  <c r="E222" i="19"/>
  <c r="AQ106" i="20"/>
  <c r="AY31" i="20"/>
  <c r="E264" i="19"/>
  <c r="E270" i="19"/>
  <c r="E228" i="19"/>
  <c r="E276" i="19"/>
  <c r="E258" i="19"/>
  <c r="E246" i="19"/>
  <c r="E252" i="19"/>
  <c r="D200" i="19"/>
  <c r="AQ88" i="20"/>
  <c r="AP64" i="20"/>
  <c r="O99" i="20"/>
  <c r="AT99" i="20" s="1"/>
  <c r="AP93" i="20"/>
  <c r="AQ108" i="20"/>
  <c r="O42" i="20"/>
  <c r="AT42" i="20" s="1"/>
  <c r="AR90" i="20"/>
  <c r="AO201" i="20"/>
  <c r="AQ60" i="20"/>
  <c r="O255" i="20"/>
  <c r="P255" i="20" s="1"/>
  <c r="AU255" i="20" s="1"/>
  <c r="AV255" i="20" s="1"/>
  <c r="E203" i="19"/>
  <c r="AR54" i="20"/>
  <c r="AO144" i="20"/>
  <c r="AO45" i="20"/>
  <c r="O111" i="20"/>
  <c r="AT111" i="20" s="1"/>
  <c r="AO93" i="20"/>
  <c r="AQ102" i="20"/>
  <c r="AR222" i="20"/>
  <c r="AQ51" i="20"/>
  <c r="AO123" i="20"/>
  <c r="AQ54" i="20"/>
  <c r="O174" i="20"/>
  <c r="P174" i="20" s="1"/>
  <c r="AU174" i="20" s="1"/>
  <c r="O180" i="20"/>
  <c r="P180" i="20" s="1"/>
  <c r="AU180" i="20" s="1"/>
  <c r="AQ69" i="20"/>
  <c r="AQ147" i="20"/>
  <c r="O165" i="20"/>
  <c r="P165" i="20" s="1"/>
  <c r="AU165" i="20" s="1"/>
  <c r="AP84" i="20"/>
  <c r="O81" i="20"/>
  <c r="P81" i="20" s="1"/>
  <c r="AU81" i="20" s="1"/>
  <c r="AW81" i="20" s="1" a="1"/>
  <c r="AW81" i="20" s="1"/>
  <c r="AR75" i="20"/>
  <c r="AR183" i="20"/>
  <c r="AQ225" i="20"/>
  <c r="AR36" i="20"/>
  <c r="AR252" i="20"/>
  <c r="AO27" i="20"/>
  <c r="AQ84" i="20"/>
  <c r="AQ63" i="20"/>
  <c r="AP66" i="20"/>
  <c r="AR24" i="20"/>
  <c r="AQ216" i="20"/>
  <c r="O117" i="20"/>
  <c r="AT117" i="20" s="1"/>
  <c r="AQ87" i="20"/>
  <c r="AR219" i="20"/>
  <c r="AQ162" i="20"/>
  <c r="AO90" i="20"/>
  <c r="AQ48" i="20"/>
  <c r="AR96" i="20"/>
  <c r="AP18" i="20"/>
  <c r="E354" i="19"/>
  <c r="E342" i="19"/>
  <c r="E330" i="19"/>
  <c r="E294" i="19"/>
  <c r="E282" i="19"/>
  <c r="E348" i="19"/>
  <c r="E336" i="19"/>
  <c r="E324" i="19"/>
  <c r="E288" i="19"/>
  <c r="E318" i="19"/>
  <c r="O67" i="20"/>
  <c r="P67" i="20" s="1"/>
  <c r="AU67" i="20" s="1"/>
  <c r="E306" i="19"/>
  <c r="E312" i="19"/>
  <c r="O17" i="20"/>
  <c r="AT17" i="20" s="1"/>
  <c r="E240" i="19"/>
  <c r="AP31" i="20"/>
  <c r="O163" i="20"/>
  <c r="P163" i="20" s="1"/>
  <c r="AU163" i="20" s="1"/>
  <c r="AW163" i="20" s="1" a="1"/>
  <c r="AW163" i="20" s="1"/>
  <c r="BA37" i="20"/>
  <c r="AR59" i="20"/>
  <c r="AQ16" i="20"/>
  <c r="AQ154" i="20"/>
  <c r="E300" i="19"/>
  <c r="E234" i="19"/>
  <c r="AQ221" i="20"/>
  <c r="AP128" i="20"/>
  <c r="AY36" i="20"/>
  <c r="AR193" i="20"/>
  <c r="O119" i="20"/>
  <c r="AT119" i="20" s="1"/>
  <c r="AP253" i="20"/>
  <c r="AP174" i="20"/>
  <c r="D364" i="19"/>
  <c r="D358" i="19"/>
  <c r="D352" i="19"/>
  <c r="D346" i="19"/>
  <c r="AP129" i="20"/>
  <c r="AR201" i="20"/>
  <c r="AQ159" i="20"/>
  <c r="O195" i="20"/>
  <c r="AT195" i="20" s="1"/>
  <c r="AR231" i="20"/>
  <c r="O105" i="20"/>
  <c r="P105" i="20" s="1"/>
  <c r="AU105" i="20" s="1"/>
  <c r="AW105" i="20" s="1" a="1"/>
  <c r="AW105" i="20" s="1"/>
  <c r="AR210" i="20"/>
  <c r="O177" i="20"/>
  <c r="AT177" i="20" s="1"/>
  <c r="AR237" i="20"/>
  <c r="AR120" i="20"/>
  <c r="AR144" i="20"/>
  <c r="AR180" i="20"/>
  <c r="AP216" i="20"/>
  <c r="O252" i="20"/>
  <c r="P252" i="20" s="1"/>
  <c r="AU252" i="20" s="1"/>
  <c r="AQ222" i="20"/>
  <c r="AR69" i="20"/>
  <c r="AO129" i="20"/>
  <c r="AO15" i="20"/>
  <c r="AR63" i="20"/>
  <c r="O87" i="20"/>
  <c r="AT87" i="20" s="1"/>
  <c r="O123" i="20"/>
  <c r="AT123" i="20" s="1"/>
  <c r="AR159" i="20"/>
  <c r="AR195" i="20"/>
  <c r="O231" i="20"/>
  <c r="AT231" i="20" s="1"/>
  <c r="AR105" i="20"/>
  <c r="AQ66" i="20"/>
  <c r="AQ210" i="20"/>
  <c r="AR177" i="20"/>
  <c r="AQ237" i="20"/>
  <c r="AR102" i="20"/>
  <c r="AP186" i="20"/>
  <c r="AQ24" i="20"/>
  <c r="AP60" i="20"/>
  <c r="AQ120" i="20"/>
  <c r="O156" i="20"/>
  <c r="P156" i="20" s="1"/>
  <c r="AU156" i="20" s="1"/>
  <c r="AR192" i="20"/>
  <c r="O228" i="20"/>
  <c r="P228" i="20" s="1"/>
  <c r="AQ150" i="20"/>
  <c r="AO126" i="20"/>
  <c r="O258" i="20"/>
  <c r="AT258" i="20" s="1"/>
  <c r="D363" i="19"/>
  <c r="D357" i="19"/>
  <c r="D351" i="19"/>
  <c r="D345" i="19"/>
  <c r="E353" i="19"/>
  <c r="E347" i="19"/>
  <c r="E341" i="19"/>
  <c r="E335" i="19"/>
  <c r="E329" i="19"/>
  <c r="E323" i="19"/>
  <c r="E317" i="19"/>
  <c r="E311" i="19"/>
  <c r="E305" i="19"/>
  <c r="E299" i="19"/>
  <c r="E293" i="19"/>
  <c r="E287" i="19"/>
  <c r="E281" i="19"/>
  <c r="E275" i="19"/>
  <c r="E269" i="19"/>
  <c r="E263" i="19"/>
  <c r="E257" i="19"/>
  <c r="E251" i="19"/>
  <c r="E245" i="19"/>
  <c r="E239" i="19"/>
  <c r="E233" i="19"/>
  <c r="E227" i="19"/>
  <c r="E221" i="19"/>
  <c r="E215" i="19"/>
  <c r="E209" i="19"/>
  <c r="E200" i="19"/>
  <c r="E362" i="19"/>
  <c r="E357" i="19"/>
  <c r="E363" i="19"/>
  <c r="E360" i="19"/>
  <c r="E358" i="19"/>
  <c r="E364" i="19"/>
  <c r="E359" i="19"/>
  <c r="E365" i="19"/>
  <c r="E361" i="19"/>
  <c r="E352" i="19"/>
  <c r="E346" i="19"/>
  <c r="E340" i="19"/>
  <c r="E334" i="19"/>
  <c r="E328" i="19"/>
  <c r="E322" i="19"/>
  <c r="E316" i="19"/>
  <c r="E310" i="19"/>
  <c r="E304" i="19"/>
  <c r="E298" i="19"/>
  <c r="E292" i="19"/>
  <c r="E286" i="19"/>
  <c r="E280" i="19"/>
  <c r="E274" i="19"/>
  <c r="E268" i="19"/>
  <c r="E262" i="19"/>
  <c r="E256" i="19"/>
  <c r="E250" i="19"/>
  <c r="E244" i="19"/>
  <c r="E238" i="19"/>
  <c r="E232" i="19"/>
  <c r="E226" i="19"/>
  <c r="E220" i="19"/>
  <c r="E214" i="19"/>
  <c r="E208" i="19"/>
  <c r="E202" i="19"/>
  <c r="AO207" i="20"/>
  <c r="AR243" i="20"/>
  <c r="AP249" i="20"/>
  <c r="O246" i="20"/>
  <c r="AT246" i="20" s="1"/>
  <c r="AQ189" i="20"/>
  <c r="AO186" i="20"/>
  <c r="AQ156" i="20"/>
  <c r="AR228" i="20"/>
  <c r="AO138" i="20"/>
  <c r="AP33" i="20"/>
  <c r="AR81" i="20"/>
  <c r="AO153" i="20"/>
  <c r="AR99" i="20"/>
  <c r="AR135" i="20"/>
  <c r="O171" i="20"/>
  <c r="AT171" i="20" s="1"/>
  <c r="AR207" i="20"/>
  <c r="AP243" i="20"/>
  <c r="AO249" i="20"/>
  <c r="AR246" i="20"/>
  <c r="O141" i="20"/>
  <c r="AT141" i="20" s="1"/>
  <c r="AR213" i="20"/>
  <c r="O78" i="20"/>
  <c r="P78" i="20" s="1"/>
  <c r="AU78" i="20" s="1"/>
  <c r="AQ114" i="20"/>
  <c r="AP234" i="20"/>
  <c r="AQ36" i="20"/>
  <c r="AQ72" i="20"/>
  <c r="AQ96" i="20"/>
  <c r="AR132" i="20"/>
  <c r="AR168" i="20"/>
  <c r="AR204" i="20"/>
  <c r="AQ240" i="20"/>
  <c r="AQ198" i="20"/>
  <c r="AR138" i="20"/>
  <c r="AY35" i="20"/>
  <c r="D361" i="19"/>
  <c r="D355" i="19"/>
  <c r="D349" i="19"/>
  <c r="E351" i="19"/>
  <c r="E345" i="19"/>
  <c r="E339" i="19"/>
  <c r="E333" i="19"/>
  <c r="E327" i="19"/>
  <c r="E321" i="19"/>
  <c r="E315" i="19"/>
  <c r="E309" i="19"/>
  <c r="E303" i="19"/>
  <c r="E297" i="19"/>
  <c r="E291" i="19"/>
  <c r="E285" i="19"/>
  <c r="E279" i="19"/>
  <c r="E273" i="19"/>
  <c r="E267" i="19"/>
  <c r="E261" i="19"/>
  <c r="E255" i="19"/>
  <c r="E249" i="19"/>
  <c r="E243" i="19"/>
  <c r="E237" i="19"/>
  <c r="E231" i="19"/>
  <c r="E225" i="19"/>
  <c r="E219" i="19"/>
  <c r="E213" i="19"/>
  <c r="E207" i="19"/>
  <c r="E201" i="19"/>
  <c r="O153" i="20"/>
  <c r="AT153" i="20" s="1"/>
  <c r="AO141" i="20"/>
  <c r="AQ192" i="20"/>
  <c r="AP150" i="20"/>
  <c r="AO258" i="20"/>
  <c r="D356" i="19"/>
  <c r="AO33" i="20"/>
  <c r="AO117" i="20"/>
  <c r="AR51" i="20"/>
  <c r="O75" i="20"/>
  <c r="AT75" i="20" s="1"/>
  <c r="AR111" i="20"/>
  <c r="O135" i="20"/>
  <c r="P135" i="20" s="1"/>
  <c r="AU135" i="20" s="1"/>
  <c r="AW135" i="20" s="1" a="1"/>
  <c r="AW135" i="20" s="1"/>
  <c r="AO183" i="20"/>
  <c r="O219" i="20"/>
  <c r="P219" i="20" s="1"/>
  <c r="AU219" i="20" s="1"/>
  <c r="AR255" i="20"/>
  <c r="AP261" i="20"/>
  <c r="AR162" i="20"/>
  <c r="AO21" i="20"/>
  <c r="AO165" i="20"/>
  <c r="AO78" i="20"/>
  <c r="AP114" i="20"/>
  <c r="AO234" i="20"/>
  <c r="AR48" i="20"/>
  <c r="AP72" i="20"/>
  <c r="AQ168" i="20"/>
  <c r="AP204" i="20"/>
  <c r="AP240" i="20"/>
  <c r="O198" i="20"/>
  <c r="AT198" i="20" s="1"/>
  <c r="D360" i="19"/>
  <c r="D348" i="19"/>
  <c r="E356" i="19"/>
  <c r="E350" i="19"/>
  <c r="E344" i="19"/>
  <c r="E338" i="19"/>
  <c r="E332" i="19"/>
  <c r="E326" i="19"/>
  <c r="E320" i="19"/>
  <c r="E314" i="19"/>
  <c r="E308" i="19"/>
  <c r="E302" i="19"/>
  <c r="E296" i="19"/>
  <c r="E290" i="19"/>
  <c r="E284" i="19"/>
  <c r="E278" i="19"/>
  <c r="E272" i="19"/>
  <c r="E266" i="19"/>
  <c r="E260" i="19"/>
  <c r="E254" i="19"/>
  <c r="E248" i="19"/>
  <c r="E242" i="19"/>
  <c r="E236" i="19"/>
  <c r="E230" i="19"/>
  <c r="E224" i="19"/>
  <c r="E218" i="19"/>
  <c r="E212" i="19"/>
  <c r="E206" i="19"/>
  <c r="D365" i="19"/>
  <c r="D359" i="19"/>
  <c r="D353" i="19"/>
  <c r="D347" i="19"/>
  <c r="E355" i="19"/>
  <c r="E349" i="19"/>
  <c r="E343" i="19"/>
  <c r="E337" i="19"/>
  <c r="E331" i="19"/>
  <c r="E325" i="19"/>
  <c r="E319" i="19"/>
  <c r="E313" i="19"/>
  <c r="E307" i="19"/>
  <c r="E301" i="19"/>
  <c r="E295" i="19"/>
  <c r="E289" i="19"/>
  <c r="E283" i="19"/>
  <c r="E277" i="19"/>
  <c r="E271" i="19"/>
  <c r="E265" i="19"/>
  <c r="E259" i="19"/>
  <c r="E253" i="19"/>
  <c r="E247" i="19"/>
  <c r="E241" i="19"/>
  <c r="E235" i="19"/>
  <c r="E229" i="19"/>
  <c r="E223" i="19"/>
  <c r="E217" i="19"/>
  <c r="E211" i="19"/>
  <c r="E205" i="19"/>
  <c r="H65" i="22"/>
  <c r="G65" i="22" s="1"/>
  <c r="H36" i="22"/>
  <c r="G36" i="22" s="1"/>
  <c r="C36" i="22" s="1"/>
  <c r="A36" i="22" s="1"/>
  <c r="E36" i="22" s="1"/>
  <c r="J36" i="22" s="1"/>
  <c r="H66" i="22"/>
  <c r="G66" i="22" s="1"/>
  <c r="H81" i="22"/>
  <c r="G81" i="22" s="1"/>
  <c r="C81" i="22" s="1"/>
  <c r="H37" i="22"/>
  <c r="G37" i="22" s="1"/>
  <c r="C37" i="22" s="1"/>
  <c r="O132" i="20"/>
  <c r="AT132" i="20" s="1"/>
  <c r="O108" i="20"/>
  <c r="P108" i="20" s="1"/>
  <c r="AU108" i="20" s="1"/>
  <c r="O44" i="20"/>
  <c r="P44" i="20" s="1"/>
  <c r="AU44" i="20" s="1"/>
  <c r="C66" i="22"/>
  <c r="H32" i="22"/>
  <c r="G32" i="22" s="1"/>
  <c r="H54" i="22"/>
  <c r="G54" i="22" s="1"/>
  <c r="C65" i="22"/>
  <c r="H82" i="22"/>
  <c r="G82" i="22" s="1"/>
  <c r="H75" i="22"/>
  <c r="G75" i="22" s="1"/>
  <c r="H79" i="22"/>
  <c r="G79" i="22" s="1"/>
  <c r="H52" i="22"/>
  <c r="G52" i="22" s="1"/>
  <c r="H85" i="22"/>
  <c r="G85" i="22" s="1"/>
  <c r="H83" i="22"/>
  <c r="G83" i="22" s="1"/>
  <c r="H72" i="22"/>
  <c r="G72" i="22" s="1"/>
  <c r="H73" i="22"/>
  <c r="G73" i="22" s="1"/>
  <c r="H68" i="22"/>
  <c r="G68" i="22" s="1"/>
  <c r="H69" i="22"/>
  <c r="G69" i="22" s="1"/>
  <c r="H62" i="22"/>
  <c r="G62" i="22" s="1"/>
  <c r="H60" i="22"/>
  <c r="G60" i="22" s="1"/>
  <c r="H57" i="22"/>
  <c r="G57" i="22" s="1"/>
  <c r="H56" i="22"/>
  <c r="G56" i="22" s="1"/>
  <c r="H46" i="22"/>
  <c r="G46" i="22" s="1"/>
  <c r="H34" i="22"/>
  <c r="G34" i="22" s="1"/>
  <c r="H53" i="22"/>
  <c r="G53" i="22" s="1"/>
  <c r="H44" i="22"/>
  <c r="G44" i="22" s="1"/>
  <c r="H39" i="22"/>
  <c r="G39" i="22" s="1"/>
  <c r="H48" i="22"/>
  <c r="G48" i="22" s="1"/>
  <c r="H51" i="22"/>
  <c r="G51" i="22" s="1"/>
  <c r="H78" i="22"/>
  <c r="G78" i="22" s="1"/>
  <c r="H71" i="22"/>
  <c r="G71" i="22" s="1"/>
  <c r="H64" i="22"/>
  <c r="G64" i="22" s="1"/>
  <c r="H49" i="22"/>
  <c r="G49" i="22" s="1"/>
  <c r="H33" i="22"/>
  <c r="G33" i="22" s="1"/>
  <c r="H74" i="22"/>
  <c r="G74" i="22" s="1"/>
  <c r="H70" i="22"/>
  <c r="G70" i="22" s="1"/>
  <c r="H63" i="22"/>
  <c r="G63" i="22" s="1"/>
  <c r="H50" i="22"/>
  <c r="G50" i="22" s="1"/>
  <c r="H59" i="22"/>
  <c r="G59" i="22" s="1"/>
  <c r="H31" i="22"/>
  <c r="G31" i="22" s="1"/>
  <c r="H38" i="22"/>
  <c r="G38" i="22" s="1"/>
  <c r="H45" i="22"/>
  <c r="G45" i="22" s="1"/>
  <c r="H47" i="22"/>
  <c r="G47" i="22" s="1"/>
  <c r="H43" i="22"/>
  <c r="G43" i="22" s="1"/>
  <c r="H80" i="22"/>
  <c r="G80" i="22" s="1"/>
  <c r="H77" i="22"/>
  <c r="G77" i="22" s="1"/>
  <c r="H67" i="22"/>
  <c r="G67" i="22" s="1"/>
  <c r="H58" i="22"/>
  <c r="G58" i="22" s="1"/>
  <c r="H42" i="22"/>
  <c r="G42" i="22" s="1"/>
  <c r="H40" i="22"/>
  <c r="G40" i="22" s="1"/>
  <c r="H61" i="22"/>
  <c r="G61" i="22" s="1"/>
  <c r="H84" i="22"/>
  <c r="G84" i="22" s="1"/>
  <c r="H35" i="22"/>
  <c r="G35" i="22" s="1"/>
  <c r="H41" i="22"/>
  <c r="G41" i="22" s="1"/>
  <c r="H55" i="22"/>
  <c r="G55" i="22" s="1"/>
  <c r="H76" i="22"/>
  <c r="G76" i="22" s="1"/>
  <c r="AQ40" i="20"/>
  <c r="AQ91" i="20"/>
  <c r="AP139" i="20"/>
  <c r="AP112" i="20"/>
  <c r="AQ136" i="20"/>
  <c r="AO208" i="20"/>
  <c r="AP118" i="20"/>
  <c r="AQ73" i="20"/>
  <c r="AP160" i="20"/>
  <c r="AP184" i="20"/>
  <c r="BA33" i="20"/>
  <c r="BA39" i="20"/>
  <c r="AR22" i="20"/>
  <c r="AQ178" i="20"/>
  <c r="AO130" i="20"/>
  <c r="AR19" i="20"/>
  <c r="AP235" i="20"/>
  <c r="AR259" i="20"/>
  <c r="AP217" i="20"/>
  <c r="AO82" i="20"/>
  <c r="AQ85" i="20"/>
  <c r="AQ241" i="20"/>
  <c r="AO28" i="20"/>
  <c r="O100" i="20"/>
  <c r="P100" i="20" s="1"/>
  <c r="AU100" i="20" s="1"/>
  <c r="AW100" i="20" s="1" a="1"/>
  <c r="AW100" i="20" s="1"/>
  <c r="AQ220" i="20"/>
  <c r="O244" i="20"/>
  <c r="AT244" i="20" s="1"/>
  <c r="O181" i="20"/>
  <c r="P181" i="20" s="1"/>
  <c r="AU181" i="20" s="1"/>
  <c r="AO37" i="20"/>
  <c r="AQ238" i="20"/>
  <c r="AO49" i="20"/>
  <c r="AO187" i="20"/>
  <c r="AP211" i="20"/>
  <c r="AP34" i="20"/>
  <c r="AQ94" i="20"/>
  <c r="O157" i="20"/>
  <c r="P157" i="20" s="1"/>
  <c r="AU157" i="20" s="1"/>
  <c r="O172" i="20"/>
  <c r="P172" i="20" s="1"/>
  <c r="AU172" i="20" s="1"/>
  <c r="O182" i="20"/>
  <c r="AT182" i="20" s="1"/>
  <c r="AQ229" i="20"/>
  <c r="BA36" i="20"/>
  <c r="O45" i="20"/>
  <c r="P45" i="20" s="1"/>
  <c r="AU45" i="20" s="1"/>
  <c r="AR57" i="20"/>
  <c r="O69" i="20"/>
  <c r="AT69" i="20" s="1"/>
  <c r="AQ81" i="20"/>
  <c r="AR117" i="20"/>
  <c r="AR129" i="20"/>
  <c r="O15" i="20"/>
  <c r="P15" i="20" s="1"/>
  <c r="AU15" i="20" s="1"/>
  <c r="O27" i="20"/>
  <c r="P27" i="20" s="1"/>
  <c r="AU27" i="20" s="1"/>
  <c r="AR39" i="20"/>
  <c r="AP51" i="20"/>
  <c r="AP63" i="20"/>
  <c r="AQ75" i="20"/>
  <c r="AR87" i="20"/>
  <c r="AQ99" i="20"/>
  <c r="AQ111" i="20"/>
  <c r="AP123" i="20"/>
  <c r="AQ135" i="20"/>
  <c r="AO147" i="20"/>
  <c r="AO159" i="20"/>
  <c r="AR171" i="20"/>
  <c r="AQ183" i="20"/>
  <c r="AP195" i="20"/>
  <c r="AQ207" i="20"/>
  <c r="AP219" i="20"/>
  <c r="AQ231" i="20"/>
  <c r="AQ243" i="20"/>
  <c r="AO255" i="20"/>
  <c r="AQ105" i="20"/>
  <c r="AQ261" i="20"/>
  <c r="AP54" i="20"/>
  <c r="AP162" i="20"/>
  <c r="AP210" i="20"/>
  <c r="AQ246" i="20"/>
  <c r="AQ141" i="20"/>
  <c r="AQ165" i="20"/>
  <c r="AP189" i="20"/>
  <c r="AQ213" i="20"/>
  <c r="AP225" i="20"/>
  <c r="AP237" i="20"/>
  <c r="AO30" i="20"/>
  <c r="AR78" i="20"/>
  <c r="AQ90" i="20"/>
  <c r="AP102" i="20"/>
  <c r="AO174" i="20"/>
  <c r="AP24" i="20"/>
  <c r="AP36" i="20"/>
  <c r="AP48" i="20"/>
  <c r="AP96" i="20"/>
  <c r="AP108" i="20"/>
  <c r="AP120" i="20"/>
  <c r="AP132" i="20"/>
  <c r="AQ144" i="20"/>
  <c r="AP156" i="20"/>
  <c r="AP168" i="20"/>
  <c r="AP180" i="20"/>
  <c r="AP192" i="20"/>
  <c r="AO204" i="20"/>
  <c r="AO216" i="20"/>
  <c r="AP228" i="20"/>
  <c r="AO240" i="20"/>
  <c r="AQ252" i="20"/>
  <c r="AO150" i="20"/>
  <c r="AP198" i="20"/>
  <c r="O18" i="20"/>
  <c r="P18" i="20" s="1"/>
  <c r="AU18" i="20" s="1"/>
  <c r="AO42" i="20"/>
  <c r="O126" i="20"/>
  <c r="AT126" i="20" s="1"/>
  <c r="AQ138" i="20"/>
  <c r="O222" i="20"/>
  <c r="P222" i="20" s="1"/>
  <c r="AU222" i="20" s="1"/>
  <c r="AR258" i="20"/>
  <c r="AZ30" i="20"/>
  <c r="AL165" i="20"/>
  <c r="AR33" i="20"/>
  <c r="AQ45" i="20"/>
  <c r="AQ57" i="20"/>
  <c r="AP69" i="20"/>
  <c r="AP81" i="20"/>
  <c r="AQ117" i="20"/>
  <c r="AR153" i="20"/>
  <c r="O201" i="20"/>
  <c r="AT201" i="20" s="1"/>
  <c r="AR15" i="20"/>
  <c r="AR27" i="20"/>
  <c r="AQ39" i="20"/>
  <c r="AO63" i="20"/>
  <c r="AP75" i="20"/>
  <c r="AP87" i="20"/>
  <c r="AP99" i="20"/>
  <c r="AP111" i="20"/>
  <c r="AR123" i="20"/>
  <c r="AP135" i="20"/>
  <c r="O147" i="20"/>
  <c r="P147" i="20" s="1"/>
  <c r="AU147" i="20" s="1"/>
  <c r="AP159" i="20"/>
  <c r="AQ171" i="20"/>
  <c r="O183" i="20"/>
  <c r="P183" i="20" s="1"/>
  <c r="AQ195" i="20"/>
  <c r="O207" i="20"/>
  <c r="P207" i="20" s="1"/>
  <c r="AU207" i="20" s="1"/>
  <c r="AQ219" i="20"/>
  <c r="AP231" i="20"/>
  <c r="AO243" i="20"/>
  <c r="AP255" i="20"/>
  <c r="AP105" i="20"/>
  <c r="O249" i="20"/>
  <c r="AT249" i="20" s="1"/>
  <c r="AR261" i="20"/>
  <c r="O66" i="20"/>
  <c r="P66" i="20" s="1"/>
  <c r="AU66" i="20" s="1"/>
  <c r="AO162" i="20"/>
  <c r="AO210" i="20"/>
  <c r="AR21" i="20"/>
  <c r="AQ93" i="20"/>
  <c r="AP177" i="20"/>
  <c r="AR189" i="20"/>
  <c r="AP213" i="20"/>
  <c r="AO225" i="20"/>
  <c r="O237" i="20"/>
  <c r="AT237" i="20" s="1"/>
  <c r="AR30" i="20"/>
  <c r="AQ78" i="20"/>
  <c r="AP90" i="20"/>
  <c r="O114" i="20"/>
  <c r="P114" i="20" s="1"/>
  <c r="AU114" i="20" s="1"/>
  <c r="O186" i="20"/>
  <c r="P186" i="20" s="1"/>
  <c r="O234" i="20"/>
  <c r="P234" i="20" s="1"/>
  <c r="AU234" i="20" s="1"/>
  <c r="AO60" i="20"/>
  <c r="O72" i="20"/>
  <c r="AT72" i="20" s="1"/>
  <c r="O84" i="20"/>
  <c r="AT84" i="20" s="1"/>
  <c r="AP144" i="20"/>
  <c r="AO156" i="20"/>
  <c r="AO168" i="20"/>
  <c r="AO180" i="20"/>
  <c r="AO192" i="20"/>
  <c r="AO228" i="20"/>
  <c r="AO198" i="20"/>
  <c r="AO18" i="20"/>
  <c r="AR42" i="20"/>
  <c r="AR126" i="20"/>
  <c r="AP222" i="20"/>
  <c r="AQ258" i="20"/>
  <c r="BA34" i="20"/>
  <c r="BA40" i="20"/>
  <c r="O133" i="20"/>
  <c r="P133" i="20" s="1"/>
  <c r="AU133" i="20" s="1"/>
  <c r="AW133" i="20" s="1" a="1"/>
  <c r="AW133" i="20" s="1"/>
  <c r="O33" i="20"/>
  <c r="P33" i="20" s="1"/>
  <c r="AU33" i="20" s="1"/>
  <c r="AR45" i="20"/>
  <c r="AP57" i="20"/>
  <c r="AQ153" i="20"/>
  <c r="AQ201" i="20"/>
  <c r="AQ15" i="20"/>
  <c r="AQ27" i="20"/>
  <c r="AP39" i="20"/>
  <c r="AP147" i="20"/>
  <c r="AP171" i="20"/>
  <c r="AR249" i="20"/>
  <c r="AO261" i="20"/>
  <c r="O54" i="20"/>
  <c r="AT54" i="20" s="1"/>
  <c r="AO66" i="20"/>
  <c r="AP246" i="20"/>
  <c r="AQ21" i="20"/>
  <c r="O93" i="20"/>
  <c r="P93" i="20" s="1"/>
  <c r="AU93" i="20" s="1"/>
  <c r="AR141" i="20"/>
  <c r="AR165" i="20"/>
  <c r="AO177" i="20"/>
  <c r="O189" i="20"/>
  <c r="P189" i="20" s="1"/>
  <c r="AU189" i="20" s="1"/>
  <c r="AW189" i="20" s="1" a="1"/>
  <c r="AW189" i="20" s="1"/>
  <c r="O213" i="20"/>
  <c r="P213" i="20" s="1"/>
  <c r="AU213" i="20" s="1"/>
  <c r="AV213" i="20" s="1"/>
  <c r="O225" i="20"/>
  <c r="P225" i="20" s="1"/>
  <c r="AU225" i="20" s="1"/>
  <c r="AV225" i="20" s="1"/>
  <c r="AQ30" i="20"/>
  <c r="AO102" i="20"/>
  <c r="AO114" i="20"/>
  <c r="AQ174" i="20"/>
  <c r="AR186" i="20"/>
  <c r="AR234" i="20"/>
  <c r="O24" i="20"/>
  <c r="AT24" i="20" s="1"/>
  <c r="O36" i="20"/>
  <c r="P36" i="20" s="1"/>
  <c r="AU36" i="20" s="1"/>
  <c r="AW36" i="20" s="1" a="1"/>
  <c r="AW36" i="20" s="1"/>
  <c r="O48" i="20"/>
  <c r="P48" i="20" s="1"/>
  <c r="O60" i="20"/>
  <c r="P60" i="20" s="1"/>
  <c r="AU60" i="20" s="1"/>
  <c r="AO72" i="20"/>
  <c r="AO84" i="20"/>
  <c r="AO96" i="20"/>
  <c r="AO108" i="20"/>
  <c r="O120" i="20"/>
  <c r="P120" i="20" s="1"/>
  <c r="AO132" i="20"/>
  <c r="AQ204" i="20"/>
  <c r="AR216" i="20"/>
  <c r="O240" i="20"/>
  <c r="P240" i="20" s="1"/>
  <c r="AU240" i="20" s="1"/>
  <c r="AV240" i="20" s="1"/>
  <c r="AP252" i="20"/>
  <c r="AR150" i="20"/>
  <c r="AR18" i="20"/>
  <c r="AQ42" i="20"/>
  <c r="AQ126" i="20"/>
  <c r="AY33" i="20"/>
  <c r="AY39" i="20"/>
  <c r="AL173" i="20"/>
  <c r="AZ27" i="20"/>
  <c r="AQ43" i="20"/>
  <c r="AP55" i="20"/>
  <c r="AR107" i="20"/>
  <c r="AQ115" i="20"/>
  <c r="AP205" i="20"/>
  <c r="O53" i="20"/>
  <c r="AT53" i="20" s="1"/>
  <c r="O116" i="20"/>
  <c r="AT116" i="20" s="1"/>
  <c r="O124" i="20"/>
  <c r="AT124" i="20" s="1"/>
  <c r="AQ196" i="20"/>
  <c r="AO248" i="20"/>
  <c r="AY32" i="20"/>
  <c r="AL215" i="20"/>
  <c r="E603" i="19" s="1"/>
  <c r="G603" i="19" s="1"/>
  <c r="AL209" i="20"/>
  <c r="E597" i="19" s="1"/>
  <c r="G597" i="19" s="1"/>
  <c r="AL203" i="20"/>
  <c r="E591" i="19" s="1"/>
  <c r="G591" i="19" s="1"/>
  <c r="AL53" i="20"/>
  <c r="AL237" i="20"/>
  <c r="E625" i="19" s="1"/>
  <c r="G625" i="19" s="1"/>
  <c r="O148" i="20"/>
  <c r="AT148" i="20" s="1"/>
  <c r="O142" i="20"/>
  <c r="P142" i="20" s="1"/>
  <c r="AU142" i="20" s="1"/>
  <c r="O76" i="20"/>
  <c r="AT76" i="20" s="1"/>
  <c r="O70" i="20"/>
  <c r="P70" i="20" s="1"/>
  <c r="AU70" i="20" s="1"/>
  <c r="O52" i="20"/>
  <c r="P52" i="20" s="1"/>
  <c r="AU52" i="20" s="1"/>
  <c r="AW52" i="20" s="1" a="1"/>
  <c r="AW52" i="20" s="1"/>
  <c r="AL212" i="20"/>
  <c r="E600" i="19" s="1"/>
  <c r="G600" i="19" s="1"/>
  <c r="AO122" i="20"/>
  <c r="AR35" i="20"/>
  <c r="AQ56" i="20"/>
  <c r="AP41" i="20"/>
  <c r="O83" i="20"/>
  <c r="AT83" i="20" s="1"/>
  <c r="AO20" i="20"/>
  <c r="AZ29" i="20"/>
  <c r="AL211" i="20"/>
  <c r="E599" i="19" s="1"/>
  <c r="G599" i="19" s="1"/>
  <c r="AL199" i="20"/>
  <c r="E587" i="19" s="1"/>
  <c r="G587" i="19" s="1"/>
  <c r="AL193" i="20"/>
  <c r="E581" i="19" s="1"/>
  <c r="G581" i="19" s="1"/>
  <c r="AL103" i="20"/>
  <c r="AY217" i="20"/>
  <c r="AY121" i="20"/>
  <c r="AZ78" i="20"/>
  <c r="AL260" i="20"/>
  <c r="E648" i="19" s="1"/>
  <c r="G648" i="19" s="1"/>
  <c r="AL254" i="20"/>
  <c r="E642" i="19" s="1"/>
  <c r="G642" i="19" s="1"/>
  <c r="AL208" i="20"/>
  <c r="E596" i="19" s="1"/>
  <c r="G596" i="19" s="1"/>
  <c r="AL202" i="20"/>
  <c r="E590" i="19" s="1"/>
  <c r="G590" i="19" s="1"/>
  <c r="AL196" i="20"/>
  <c r="E584" i="19" s="1"/>
  <c r="G584" i="19" s="1"/>
  <c r="AL182" i="20"/>
  <c r="E570" i="19" s="1"/>
  <c r="G570" i="19" s="1"/>
  <c r="AL170" i="20"/>
  <c r="O59" i="20"/>
  <c r="AT59" i="20" s="1"/>
  <c r="O155" i="20"/>
  <c r="AT155" i="20" s="1"/>
  <c r="AQ203" i="20"/>
  <c r="AQ50" i="20"/>
  <c r="AP92" i="20"/>
  <c r="BA35" i="20"/>
  <c r="AL221" i="20"/>
  <c r="E609" i="19" s="1"/>
  <c r="G609" i="19" s="1"/>
  <c r="AL218" i="20"/>
  <c r="E606" i="19" s="1"/>
  <c r="G606" i="19" s="1"/>
  <c r="O129" i="20"/>
  <c r="P129" i="20" s="1"/>
  <c r="AU129" i="20" s="1"/>
  <c r="O57" i="20"/>
  <c r="AT57" i="20" s="1"/>
  <c r="O51" i="20"/>
  <c r="AT51" i="20" s="1"/>
  <c r="O39" i="20"/>
  <c r="P39" i="20" s="1"/>
  <c r="AU39" i="20" s="1"/>
  <c r="AW39" i="20" s="1" a="1"/>
  <c r="AW39" i="20" s="1"/>
  <c r="O21" i="20"/>
  <c r="P21" i="20" s="1"/>
  <c r="AU21" i="20" s="1"/>
  <c r="AP173" i="20"/>
  <c r="AP152" i="20"/>
  <c r="AL251" i="20"/>
  <c r="E639" i="19" s="1"/>
  <c r="G639" i="19" s="1"/>
  <c r="AL167" i="20"/>
  <c r="AL29" i="20"/>
  <c r="AK201" i="14"/>
  <c r="BC201" i="20" s="1"/>
  <c r="BB29" i="20"/>
  <c r="BB17" i="20"/>
  <c r="AK18" i="14"/>
  <c r="BC18" i="20" s="1"/>
  <c r="AK44" i="14"/>
  <c r="BC44" i="20" s="1"/>
  <c r="AK116" i="14"/>
  <c r="BC116" i="20" s="1"/>
  <c r="AK152" i="14"/>
  <c r="BC152" i="20" s="1"/>
  <c r="AK170" i="14"/>
  <c r="BC170" i="20" s="1"/>
  <c r="AK188" i="14"/>
  <c r="BC188" i="20" s="1"/>
  <c r="AK224" i="14"/>
  <c r="BC224" i="20" s="1"/>
  <c r="AK230" i="14"/>
  <c r="BC230" i="20" s="1"/>
  <c r="AK236" i="14"/>
  <c r="BC236" i="20" s="1"/>
  <c r="AK202" i="14"/>
  <c r="BC202" i="20" s="1"/>
  <c r="AK184" i="14"/>
  <c r="BC184" i="20" s="1"/>
  <c r="AQ122" i="20"/>
  <c r="AO80" i="20"/>
  <c r="AP86" i="20"/>
  <c r="AL240" i="20"/>
  <c r="E628" i="19" s="1"/>
  <c r="G628" i="19" s="1"/>
  <c r="AL210" i="20"/>
  <c r="E598" i="19" s="1"/>
  <c r="G598" i="19" s="1"/>
  <c r="AL198" i="20"/>
  <c r="E586" i="19" s="1"/>
  <c r="G586" i="19" s="1"/>
  <c r="AL178" i="20"/>
  <c r="E566" i="19" s="1"/>
  <c r="G566" i="19" s="1"/>
  <c r="AL172" i="20"/>
  <c r="AL168" i="20"/>
  <c r="AL119" i="20"/>
  <c r="AL197" i="20"/>
  <c r="E585" i="19" s="1"/>
  <c r="G585" i="19" s="1"/>
  <c r="AL166" i="20"/>
  <c r="AL228" i="20"/>
  <c r="E616" i="19" s="1"/>
  <c r="G616" i="19" s="1"/>
  <c r="AL174" i="20"/>
  <c r="AL185" i="20"/>
  <c r="E573" i="19" s="1"/>
  <c r="G573" i="19" s="1"/>
  <c r="AK14" i="14"/>
  <c r="BC14" i="20" s="1"/>
  <c r="AK26" i="14"/>
  <c r="BC26" i="20" s="1"/>
  <c r="AK52" i="14"/>
  <c r="BC52" i="20" s="1"/>
  <c r="AK64" i="14"/>
  <c r="BC64" i="20" s="1"/>
  <c r="AK76" i="14"/>
  <c r="BC76" i="20" s="1"/>
  <c r="AK88" i="14"/>
  <c r="BC88" i="20" s="1"/>
  <c r="AK100" i="14"/>
  <c r="BC100" i="20" s="1"/>
  <c r="AK112" i="14"/>
  <c r="BC112" i="20" s="1"/>
  <c r="AK124" i="14"/>
  <c r="BC124" i="20" s="1"/>
  <c r="AO50" i="20"/>
  <c r="AR152" i="20"/>
  <c r="AL183" i="20"/>
  <c r="E571" i="19" s="1"/>
  <c r="G571" i="19" s="1"/>
  <c r="AL153" i="20"/>
  <c r="AL213" i="20"/>
  <c r="E601" i="19" s="1"/>
  <c r="G601" i="19" s="1"/>
  <c r="AK67" i="14"/>
  <c r="BC67" i="20" s="1"/>
  <c r="AK139" i="14"/>
  <c r="BC139" i="20" s="1"/>
  <c r="AK151" i="14"/>
  <c r="BC151" i="20" s="1"/>
  <c r="AK175" i="14"/>
  <c r="BC175" i="20" s="1"/>
  <c r="AK187" i="14"/>
  <c r="BC187" i="20" s="1"/>
  <c r="AK199" i="14"/>
  <c r="BC199" i="20" s="1"/>
  <c r="AK211" i="14"/>
  <c r="BC211" i="20" s="1"/>
  <c r="AK246" i="14"/>
  <c r="BC246" i="20" s="1"/>
  <c r="AR23" i="20"/>
  <c r="AP146" i="20"/>
  <c r="AL241" i="20"/>
  <c r="E629" i="19" s="1"/>
  <c r="G629" i="19" s="1"/>
  <c r="AL229" i="20"/>
  <c r="E617" i="19" s="1"/>
  <c r="G617" i="19" s="1"/>
  <c r="AL223" i="20"/>
  <c r="E611" i="19" s="1"/>
  <c r="G611" i="19" s="1"/>
  <c r="AL181" i="20"/>
  <c r="E569" i="19" s="1"/>
  <c r="G569" i="19" s="1"/>
  <c r="AL157" i="20"/>
  <c r="AL151" i="20"/>
  <c r="AL121" i="20"/>
  <c r="AL91" i="20"/>
  <c r="AL245" i="20"/>
  <c r="E633" i="19" s="1"/>
  <c r="G633" i="19" s="1"/>
  <c r="AL188" i="20"/>
  <c r="E576" i="19" s="1"/>
  <c r="G576" i="19" s="1"/>
  <c r="AQ260" i="20"/>
  <c r="AR260" i="20"/>
  <c r="AO260" i="20"/>
  <c r="O260" i="20"/>
  <c r="AT260" i="20" s="1"/>
  <c r="AP260" i="20"/>
  <c r="AQ257" i="20"/>
  <c r="AO257" i="20"/>
  <c r="AR257" i="20"/>
  <c r="AR254" i="20"/>
  <c r="AO254" i="20"/>
  <c r="AP254" i="20"/>
  <c r="AQ254" i="20"/>
  <c r="O254" i="20"/>
  <c r="P254" i="20" s="1"/>
  <c r="AU254" i="20" s="1"/>
  <c r="AV254" i="20" s="1"/>
  <c r="AO251" i="20"/>
  <c r="O251" i="20"/>
  <c r="P251" i="20" s="1"/>
  <c r="AU251" i="20" s="1"/>
  <c r="AV251" i="20" s="1"/>
  <c r="AQ251" i="20"/>
  <c r="AP251" i="20"/>
  <c r="AR251" i="20"/>
  <c r="AR248" i="20"/>
  <c r="AP248" i="20"/>
  <c r="O248" i="20"/>
  <c r="P248" i="20" s="1"/>
  <c r="AU248" i="20" s="1"/>
  <c r="AV248" i="20" s="1"/>
  <c r="AO245" i="20"/>
  <c r="AP245" i="20"/>
  <c r="O245" i="20"/>
  <c r="AT245" i="20" s="1"/>
  <c r="AQ245" i="20"/>
  <c r="AR245" i="20"/>
  <c r="O242" i="20"/>
  <c r="AT242" i="20" s="1"/>
  <c r="AO242" i="20"/>
  <c r="AP242" i="20"/>
  <c r="AQ242" i="20"/>
  <c r="AR242" i="20"/>
  <c r="AR239" i="20"/>
  <c r="AO239" i="20"/>
  <c r="O239" i="20"/>
  <c r="P239" i="20" s="1"/>
  <c r="AU239" i="20" s="1"/>
  <c r="AV239" i="20" s="1"/>
  <c r="AP236" i="20"/>
  <c r="O236" i="20"/>
  <c r="P236" i="20" s="1"/>
  <c r="AU236" i="20" s="1"/>
  <c r="AV236" i="20" s="1"/>
  <c r="AQ236" i="20"/>
  <c r="AO236" i="20"/>
  <c r="AR236" i="20"/>
  <c r="AR233" i="20"/>
  <c r="O233" i="20"/>
  <c r="AT233" i="20" s="1"/>
  <c r="AP233" i="20"/>
  <c r="AO233" i="20"/>
  <c r="AQ230" i="20"/>
  <c r="AO230" i="20"/>
  <c r="O230" i="20"/>
  <c r="P230" i="20" s="1"/>
  <c r="AU230" i="20" s="1"/>
  <c r="AV230" i="20" s="1"/>
  <c r="AR230" i="20"/>
  <c r="AR227" i="20"/>
  <c r="O227" i="20"/>
  <c r="AT227" i="20" s="1"/>
  <c r="AO227" i="20"/>
  <c r="AQ227" i="20"/>
  <c r="AQ224" i="20"/>
  <c r="O224" i="20"/>
  <c r="AT224" i="20" s="1"/>
  <c r="AO224" i="20"/>
  <c r="AO221" i="20"/>
  <c r="AP221" i="20"/>
  <c r="AR221" i="20"/>
  <c r="AR218" i="20"/>
  <c r="AO218" i="20"/>
  <c r="AP218" i="20"/>
  <c r="O215" i="20"/>
  <c r="P215" i="20" s="1"/>
  <c r="AU215" i="20" s="1"/>
  <c r="AV215" i="20" s="1"/>
  <c r="AP215" i="20"/>
  <c r="AR215" i="20"/>
  <c r="AO215" i="20"/>
  <c r="AR212" i="20"/>
  <c r="AQ212" i="20"/>
  <c r="AO212" i="20"/>
  <c r="AP212" i="20"/>
  <c r="O212" i="20"/>
  <c r="AT212" i="20" s="1"/>
  <c r="AP209" i="20"/>
  <c r="AR209" i="20"/>
  <c r="AO209" i="20"/>
  <c r="AQ209" i="20"/>
  <c r="AO206" i="20"/>
  <c r="O206" i="20"/>
  <c r="AT206" i="20" s="1"/>
  <c r="AQ206" i="20"/>
  <c r="AP206" i="20"/>
  <c r="AP203" i="20"/>
  <c r="AO203" i="20"/>
  <c r="AR203" i="20"/>
  <c r="AQ200" i="20"/>
  <c r="O200" i="20"/>
  <c r="P200" i="20" s="1"/>
  <c r="AU200" i="20" s="1"/>
  <c r="AW200" i="20" s="1" a="1"/>
  <c r="AW200" i="20" s="1"/>
  <c r="AP200" i="20"/>
  <c r="AR200" i="20"/>
  <c r="AR197" i="20"/>
  <c r="AO197" i="20"/>
  <c r="O197" i="20"/>
  <c r="P197" i="20" s="1"/>
  <c r="AU197" i="20" s="1"/>
  <c r="AP197" i="20"/>
  <c r="AQ197" i="20"/>
  <c r="AP194" i="20"/>
  <c r="AQ194" i="20"/>
  <c r="AO194" i="20"/>
  <c r="AR194" i="20"/>
  <c r="O194" i="20"/>
  <c r="P194" i="20" s="1"/>
  <c r="AU194" i="20" s="1"/>
  <c r="AO191" i="20"/>
  <c r="AP191" i="20"/>
  <c r="AQ191" i="20"/>
  <c r="AR191" i="20"/>
  <c r="O191" i="20"/>
  <c r="P191" i="20" s="1"/>
  <c r="AU191" i="20" s="1"/>
  <c r="AR188" i="20"/>
  <c r="AQ188" i="20"/>
  <c r="AO188" i="20"/>
  <c r="AQ185" i="20"/>
  <c r="AR185" i="20"/>
  <c r="O185" i="20"/>
  <c r="P185" i="20" s="1"/>
  <c r="AU185" i="20" s="1"/>
  <c r="AO185" i="20"/>
  <c r="AP185" i="20"/>
  <c r="AP182" i="20"/>
  <c r="AR182" i="20"/>
  <c r="AQ182" i="20"/>
  <c r="AR179" i="20"/>
  <c r="AP179" i="20"/>
  <c r="AO179" i="20"/>
  <c r="AQ179" i="20"/>
  <c r="AQ176" i="20"/>
  <c r="O176" i="20"/>
  <c r="P176" i="20" s="1"/>
  <c r="AU176" i="20" s="1"/>
  <c r="AO176" i="20"/>
  <c r="AP176" i="20"/>
  <c r="AR176" i="20"/>
  <c r="AR173" i="20"/>
  <c r="AO173" i="20"/>
  <c r="AQ173" i="20"/>
  <c r="AP170" i="20"/>
  <c r="AR170" i="20"/>
  <c r="O170" i="20"/>
  <c r="P170" i="20" s="1"/>
  <c r="AU170" i="20" s="1"/>
  <c r="AW170" i="20" s="1" a="1"/>
  <c r="AW170" i="20" s="1"/>
  <c r="AQ170" i="20"/>
  <c r="AQ167" i="20"/>
  <c r="O167" i="20"/>
  <c r="P167" i="20" s="1"/>
  <c r="AU167" i="20" s="1"/>
  <c r="AR167" i="20"/>
  <c r="AO167" i="20"/>
  <c r="AQ164" i="20"/>
  <c r="AR164" i="20"/>
  <c r="AP164" i="20"/>
  <c r="O164" i="20"/>
  <c r="AT164" i="20" s="1"/>
  <c r="AO161" i="20"/>
  <c r="AP161" i="20"/>
  <c r="AQ161" i="20"/>
  <c r="AR161" i="20"/>
  <c r="O161" i="20"/>
  <c r="P161" i="20" s="1"/>
  <c r="AU161" i="20" s="1"/>
  <c r="AP158" i="20"/>
  <c r="AQ158" i="20"/>
  <c r="AR158" i="20"/>
  <c r="O158" i="20"/>
  <c r="P158" i="20" s="1"/>
  <c r="AU158" i="20" s="1"/>
  <c r="AR155" i="20"/>
  <c r="AP155" i="20"/>
  <c r="AO155" i="20"/>
  <c r="AP239" i="20"/>
  <c r="AR206" i="20"/>
  <c r="AL246" i="20"/>
  <c r="E634" i="19" s="1"/>
  <c r="G634" i="19" s="1"/>
  <c r="O188" i="20"/>
  <c r="AT188" i="20" s="1"/>
  <c r="AR224" i="20"/>
  <c r="AK132" i="14"/>
  <c r="BC132" i="20" s="1"/>
  <c r="AK191" i="14"/>
  <c r="BC191" i="20" s="1"/>
  <c r="AP257" i="20"/>
  <c r="AQ218" i="20"/>
  <c r="AP134" i="20"/>
  <c r="AR134" i="20"/>
  <c r="AO134" i="20"/>
  <c r="O113" i="20"/>
  <c r="P113" i="20" s="1"/>
  <c r="AU113" i="20" s="1"/>
  <c r="AR113" i="20"/>
  <c r="AP113" i="20"/>
  <c r="O95" i="20"/>
  <c r="P95" i="20" s="1"/>
  <c r="AU95" i="20" s="1"/>
  <c r="AO95" i="20"/>
  <c r="AP74" i="20"/>
  <c r="AR74" i="20"/>
  <c r="AO74" i="20"/>
  <c r="O38" i="20"/>
  <c r="AT38" i="20" s="1"/>
  <c r="AP38" i="20"/>
  <c r="AQ38" i="20"/>
  <c r="AP29" i="20"/>
  <c r="AR29" i="20"/>
  <c r="AQ14" i="20"/>
  <c r="AO14" i="20"/>
  <c r="O14" i="20"/>
  <c r="AT14" i="20" s="1"/>
  <c r="AQ149" i="20"/>
  <c r="AO149" i="20"/>
  <c r="AP149" i="20"/>
  <c r="AP137" i="20"/>
  <c r="AQ137" i="20"/>
  <c r="AR137" i="20"/>
  <c r="AP125" i="20"/>
  <c r="AR125" i="20"/>
  <c r="AO110" i="20"/>
  <c r="AP110" i="20"/>
  <c r="O98" i="20"/>
  <c r="AT98" i="20" s="1"/>
  <c r="AP98" i="20"/>
  <c r="AQ98" i="20"/>
  <c r="AR83" i="20"/>
  <c r="AO83" i="20"/>
  <c r="AR68" i="20"/>
  <c r="O68" i="20"/>
  <c r="P68" i="20" s="1"/>
  <c r="AU68" i="20" s="1"/>
  <c r="AR56" i="20"/>
  <c r="O56" i="20"/>
  <c r="AT56" i="20" s="1"/>
  <c r="AR41" i="20"/>
  <c r="AO41" i="20"/>
  <c r="AR20" i="20"/>
  <c r="O20" i="20"/>
  <c r="P20" i="20" s="1"/>
  <c r="AU20" i="20" s="1"/>
  <c r="AK195" i="14"/>
  <c r="BC195" i="20" s="1"/>
  <c r="AK237" i="14"/>
  <c r="BC237" i="20" s="1"/>
  <c r="O125" i="20"/>
  <c r="AT125" i="20" s="1"/>
  <c r="O137" i="20"/>
  <c r="P137" i="20" s="1"/>
  <c r="AU137" i="20" s="1"/>
  <c r="AP83" i="20"/>
  <c r="AP131" i="20"/>
  <c r="AP14" i="20"/>
  <c r="AP122" i="20"/>
  <c r="O65" i="20"/>
  <c r="AT65" i="20" s="1"/>
  <c r="AP50" i="20"/>
  <c r="AP20" i="20"/>
  <c r="AP56" i="20"/>
  <c r="AQ80" i="20"/>
  <c r="AQ116" i="20"/>
  <c r="O74" i="20"/>
  <c r="P74" i="20" s="1"/>
  <c r="AU74" i="20" s="1"/>
  <c r="AR98" i="20"/>
  <c r="AL250" i="20"/>
  <c r="E638" i="19" s="1"/>
  <c r="G638" i="19" s="1"/>
  <c r="AL238" i="20"/>
  <c r="E626" i="19" s="1"/>
  <c r="G626" i="19" s="1"/>
  <c r="AL214" i="20"/>
  <c r="E602" i="19" s="1"/>
  <c r="G602" i="19" s="1"/>
  <c r="AL154" i="20"/>
  <c r="AL118" i="20"/>
  <c r="AL106" i="20"/>
  <c r="AL46" i="20"/>
  <c r="AL222" i="20"/>
  <c r="E610" i="19" s="1"/>
  <c r="G610" i="19" s="1"/>
  <c r="AL216" i="20"/>
  <c r="E604" i="19" s="1"/>
  <c r="G604" i="19" s="1"/>
  <c r="AP143" i="20"/>
  <c r="O143" i="20"/>
  <c r="AT143" i="20" s="1"/>
  <c r="AR143" i="20"/>
  <c r="AP119" i="20"/>
  <c r="AR119" i="20"/>
  <c r="AR92" i="20"/>
  <c r="AO92" i="20"/>
  <c r="AO71" i="20"/>
  <c r="AP71" i="20"/>
  <c r="AP59" i="20"/>
  <c r="AQ59" i="20"/>
  <c r="AR44" i="20"/>
  <c r="AO44" i="20"/>
  <c r="AR32" i="20"/>
  <c r="O32" i="20"/>
  <c r="P32" i="20" s="1"/>
  <c r="AU32" i="20" s="1"/>
  <c r="AQ26" i="20"/>
  <c r="AO26" i="20"/>
  <c r="AO137" i="20"/>
  <c r="AQ74" i="20"/>
  <c r="O110" i="20"/>
  <c r="P110" i="20" s="1"/>
  <c r="AU110" i="20" s="1"/>
  <c r="BA38" i="20"/>
  <c r="AR140" i="20"/>
  <c r="O140" i="20"/>
  <c r="AT140" i="20" s="1"/>
  <c r="AQ107" i="20"/>
  <c r="O107" i="20"/>
  <c r="P107" i="20" s="1"/>
  <c r="AP101" i="20"/>
  <c r="AR101" i="20"/>
  <c r="AR89" i="20"/>
  <c r="AO89" i="20"/>
  <c r="AP77" i="20"/>
  <c r="AR77" i="20"/>
  <c r="AP62" i="20"/>
  <c r="AR62" i="20"/>
  <c r="AO62" i="20"/>
  <c r="AP47" i="20"/>
  <c r="AQ47" i="20"/>
  <c r="AP23" i="20"/>
  <c r="O23" i="20"/>
  <c r="AT23" i="20" s="1"/>
  <c r="AK183" i="14"/>
  <c r="BC183" i="20" s="1"/>
  <c r="AK148" i="14"/>
  <c r="BC148" i="20" s="1"/>
  <c r="AK256" i="14"/>
  <c r="BC256" i="20" s="1"/>
  <c r="O29" i="20"/>
  <c r="AT29" i="20" s="1"/>
  <c r="O89" i="20"/>
  <c r="P89" i="20" s="1"/>
  <c r="AU89" i="20" s="1"/>
  <c r="AO125" i="20"/>
  <c r="AO23" i="20"/>
  <c r="O47" i="20"/>
  <c r="AT47" i="20" s="1"/>
  <c r="AO107" i="20"/>
  <c r="AQ134" i="20"/>
  <c r="O101" i="20"/>
  <c r="P101" i="20" s="1"/>
  <c r="AU101" i="20" s="1"/>
  <c r="AQ62" i="20"/>
  <c r="AQ44" i="20"/>
  <c r="AO104" i="20"/>
  <c r="AO140" i="20"/>
  <c r="AK143" i="14"/>
  <c r="BC143" i="20" s="1"/>
  <c r="AK155" i="14"/>
  <c r="BC155" i="20" s="1"/>
  <c r="AQ29" i="20"/>
  <c r="AQ89" i="20"/>
  <c r="AR47" i="20"/>
  <c r="AR71" i="20"/>
  <c r="AR95" i="20"/>
  <c r="AR149" i="20"/>
  <c r="AQ77" i="20"/>
  <c r="AO101" i="20"/>
  <c r="AR26" i="20"/>
  <c r="AO38" i="20"/>
  <c r="AO32" i="20"/>
  <c r="AP44" i="20"/>
  <c r="AO68" i="20"/>
  <c r="AQ140" i="20"/>
  <c r="AR110" i="20"/>
  <c r="AL194" i="20"/>
  <c r="E582" i="19" s="1"/>
  <c r="G582" i="19" s="1"/>
  <c r="AL146" i="20"/>
  <c r="AL134" i="20"/>
  <c r="AL122" i="20"/>
  <c r="AL74" i="20"/>
  <c r="AL50" i="20"/>
  <c r="AL26" i="20"/>
  <c r="AQ152" i="20"/>
  <c r="O152" i="20"/>
  <c r="AT152" i="20" s="1"/>
  <c r="AO146" i="20"/>
  <c r="AQ146" i="20"/>
  <c r="AQ131" i="20"/>
  <c r="AR131" i="20"/>
  <c r="O131" i="20"/>
  <c r="P131" i="20" s="1"/>
  <c r="AR128" i="20"/>
  <c r="O128" i="20"/>
  <c r="AT128" i="20" s="1"/>
  <c r="AR116" i="20"/>
  <c r="AO116" i="20"/>
  <c r="AR104" i="20"/>
  <c r="O104" i="20"/>
  <c r="P104" i="20" s="1"/>
  <c r="AU104" i="20" s="1"/>
  <c r="AQ86" i="20"/>
  <c r="AR86" i="20"/>
  <c r="AR80" i="20"/>
  <c r="O80" i="20"/>
  <c r="AT80" i="20" s="1"/>
  <c r="AO65" i="20"/>
  <c r="AQ65" i="20"/>
  <c r="AR65" i="20"/>
  <c r="AP53" i="20"/>
  <c r="AQ53" i="20"/>
  <c r="AR53" i="20"/>
  <c r="AP35" i="20"/>
  <c r="AQ35" i="20"/>
  <c r="AP17" i="20"/>
  <c r="AQ17" i="20"/>
  <c r="AK22" i="14"/>
  <c r="BC22" i="20" s="1"/>
  <c r="AK60" i="14"/>
  <c r="BC60" i="20" s="1"/>
  <c r="AK84" i="14"/>
  <c r="BC84" i="20" s="1"/>
  <c r="AK96" i="14"/>
  <c r="BC96" i="20" s="1"/>
  <c r="AK108" i="14"/>
  <c r="BC108" i="20" s="1"/>
  <c r="AK144" i="14"/>
  <c r="BC144" i="20" s="1"/>
  <c r="AK156" i="14"/>
  <c r="BC156" i="20" s="1"/>
  <c r="AK168" i="14"/>
  <c r="BC168" i="20" s="1"/>
  <c r="AK180" i="14"/>
  <c r="BC180" i="20" s="1"/>
  <c r="AK216" i="14"/>
  <c r="BC216" i="20" s="1"/>
  <c r="AR17" i="20"/>
  <c r="AO29" i="20"/>
  <c r="O41" i="20"/>
  <c r="AT41" i="20" s="1"/>
  <c r="AP89" i="20"/>
  <c r="O35" i="20"/>
  <c r="P35" i="20" s="1"/>
  <c r="AU35" i="20" s="1"/>
  <c r="AW35" i="20" s="1" a="1"/>
  <c r="AW35" i="20" s="1"/>
  <c r="AO47" i="20"/>
  <c r="AQ71" i="20"/>
  <c r="AQ95" i="20"/>
  <c r="AQ119" i="20"/>
  <c r="AQ143" i="20"/>
  <c r="O149" i="20"/>
  <c r="P149" i="20" s="1"/>
  <c r="AU149" i="20" s="1"/>
  <c r="AR146" i="20"/>
  <c r="O77" i="20"/>
  <c r="AT77" i="20" s="1"/>
  <c r="AO113" i="20"/>
  <c r="AP26" i="20"/>
  <c r="AR38" i="20"/>
  <c r="AQ32" i="20"/>
  <c r="AQ68" i="20"/>
  <c r="O92" i="20"/>
  <c r="AT92" i="20" s="1"/>
  <c r="AP104" i="20"/>
  <c r="AO128" i="20"/>
  <c r="AP140" i="20"/>
  <c r="O86" i="20"/>
  <c r="AT86" i="20" s="1"/>
  <c r="AQ110" i="20"/>
  <c r="AZ31" i="20"/>
  <c r="AZ147" i="20"/>
  <c r="AZ159" i="20"/>
  <c r="AL169" i="20"/>
  <c r="AL55" i="20"/>
  <c r="AL43" i="20"/>
  <c r="AL25" i="20"/>
  <c r="AL19" i="20"/>
  <c r="AL184" i="20"/>
  <c r="E572" i="19" s="1"/>
  <c r="G572" i="19" s="1"/>
  <c r="AY34" i="20"/>
  <c r="AY40" i="20"/>
  <c r="AL242" i="20"/>
  <c r="E630" i="19" s="1"/>
  <c r="G630" i="19" s="1"/>
  <c r="AL217" i="20"/>
  <c r="E605" i="19" s="1"/>
  <c r="G605" i="19" s="1"/>
  <c r="AL189" i="20"/>
  <c r="E577" i="19" s="1"/>
  <c r="G577" i="19" s="1"/>
  <c r="AK217" i="14"/>
  <c r="BC217" i="20" s="1"/>
  <c r="AK205" i="14"/>
  <c r="BC205" i="20" s="1"/>
  <c r="O134" i="20"/>
  <c r="P134" i="20" s="1"/>
  <c r="AU134" i="20" s="1"/>
  <c r="O122" i="20"/>
  <c r="P122" i="20" s="1"/>
  <c r="AU122" i="20" s="1"/>
  <c r="O62" i="20"/>
  <c r="P62" i="20" s="1"/>
  <c r="AU62" i="20" s="1"/>
  <c r="O50" i="20"/>
  <c r="AT50" i="20" s="1"/>
  <c r="O26" i="20"/>
  <c r="AT26" i="20" s="1"/>
  <c r="AL179" i="20"/>
  <c r="E567" i="19" s="1"/>
  <c r="G567" i="19" s="1"/>
  <c r="AK209" i="14"/>
  <c r="BC209" i="20" s="1"/>
  <c r="AK185" i="14"/>
  <c r="BC185" i="20" s="1"/>
  <c r="O138" i="20"/>
  <c r="P138" i="20" s="1"/>
  <c r="AU138" i="20" s="1"/>
  <c r="O30" i="20"/>
  <c r="P30" i="20" s="1"/>
  <c r="AU30" i="20" s="1"/>
  <c r="AL12" i="20"/>
  <c r="AY27" i="20"/>
  <c r="AY37" i="20"/>
  <c r="AL231" i="20"/>
  <c r="E619" i="19" s="1"/>
  <c r="G619" i="19" s="1"/>
  <c r="AL171" i="20"/>
  <c r="AL123" i="20"/>
  <c r="AL111" i="20"/>
  <c r="AL75" i="20"/>
  <c r="AL27" i="20"/>
  <c r="BA136" i="20"/>
  <c r="BA196" i="20"/>
  <c r="BA220" i="20"/>
  <c r="BA144" i="20"/>
  <c r="BA156" i="20"/>
  <c r="BA180" i="20"/>
  <c r="BA204" i="20"/>
  <c r="BA252" i="20"/>
  <c r="BA140" i="20"/>
  <c r="BA152" i="20"/>
  <c r="BA176" i="20"/>
  <c r="BA200" i="20"/>
  <c r="BA248" i="20"/>
  <c r="BA107" i="20"/>
  <c r="BB41" i="20"/>
  <c r="BA135" i="20"/>
  <c r="AK245" i="14"/>
  <c r="BC245" i="20" s="1"/>
  <c r="AK229" i="14"/>
  <c r="BC229" i="20" s="1"/>
  <c r="AK73" i="14"/>
  <c r="BC73" i="20" s="1"/>
  <c r="AK57" i="14"/>
  <c r="BC57" i="20" s="1"/>
  <c r="AL244" i="20"/>
  <c r="E632" i="19" s="1"/>
  <c r="G632" i="19" s="1"/>
  <c r="AL224" i="20"/>
  <c r="E612" i="19" s="1"/>
  <c r="G612" i="19" s="1"/>
  <c r="AL220" i="20"/>
  <c r="E608" i="19" s="1"/>
  <c r="G608" i="19" s="1"/>
  <c r="AL192" i="20"/>
  <c r="E580" i="19" s="1"/>
  <c r="G580" i="19" s="1"/>
  <c r="AK193" i="14"/>
  <c r="BC193" i="20" s="1"/>
  <c r="AL13" i="20"/>
  <c r="AL230" i="20"/>
  <c r="E618" i="19" s="1"/>
  <c r="G618" i="19" s="1"/>
  <c r="AL226" i="20"/>
  <c r="E614" i="19" s="1"/>
  <c r="G614" i="19" s="1"/>
  <c r="AL190" i="20"/>
  <c r="E578" i="19" s="1"/>
  <c r="G578" i="19" s="1"/>
  <c r="AL138" i="20"/>
  <c r="AL110" i="20"/>
  <c r="AL62" i="20"/>
  <c r="AL177" i="20"/>
  <c r="AL175" i="20"/>
  <c r="AK257" i="14"/>
  <c r="BC257" i="20" s="1"/>
  <c r="AK221" i="14"/>
  <c r="BC221" i="20" s="1"/>
  <c r="AK16" i="14"/>
  <c r="BC16" i="20" s="1"/>
  <c r="AK42" i="14"/>
  <c r="BC42" i="20" s="1"/>
  <c r="AK46" i="14"/>
  <c r="BC46" i="20" s="1"/>
  <c r="AK66" i="14"/>
  <c r="BC66" i="20" s="1"/>
  <c r="AK70" i="14"/>
  <c r="BC70" i="20" s="1"/>
  <c r="AK74" i="14"/>
  <c r="BC74" i="20" s="1"/>
  <c r="AK86" i="14"/>
  <c r="BC86" i="20" s="1"/>
  <c r="AK90" i="14"/>
  <c r="BC90" i="20" s="1"/>
  <c r="AK102" i="14"/>
  <c r="BC102" i="20" s="1"/>
  <c r="AK106" i="14"/>
  <c r="BC106" i="20" s="1"/>
  <c r="AK110" i="14"/>
  <c r="BC110" i="20" s="1"/>
  <c r="AK118" i="14"/>
  <c r="BC118" i="20" s="1"/>
  <c r="AK122" i="14"/>
  <c r="BC122" i="20" s="1"/>
  <c r="AK126" i="14"/>
  <c r="BC126" i="20" s="1"/>
  <c r="AK130" i="14"/>
  <c r="BC130" i="20" s="1"/>
  <c r="AK134" i="14"/>
  <c r="BC134" i="20" s="1"/>
  <c r="AK142" i="14"/>
  <c r="BC142" i="20" s="1"/>
  <c r="AK146" i="14"/>
  <c r="BC146" i="20" s="1"/>
  <c r="AK150" i="14"/>
  <c r="BC150" i="20" s="1"/>
  <c r="AL129" i="20"/>
  <c r="AL61" i="20"/>
  <c r="AL261" i="20"/>
  <c r="E649" i="19" s="1"/>
  <c r="G649" i="19" s="1"/>
  <c r="AL257" i="20"/>
  <c r="E645" i="19" s="1"/>
  <c r="G645" i="19" s="1"/>
  <c r="AL253" i="20"/>
  <c r="E641" i="19" s="1"/>
  <c r="G641" i="19" s="1"/>
  <c r="AL233" i="20"/>
  <c r="E621" i="19" s="1"/>
  <c r="G621" i="19" s="1"/>
  <c r="AK121" i="14"/>
  <c r="BC121" i="20" s="1"/>
  <c r="AK85" i="14"/>
  <c r="BC85" i="20" s="1"/>
  <c r="AK47" i="14"/>
  <c r="BC47" i="20" s="1"/>
  <c r="AK95" i="14"/>
  <c r="BC95" i="20" s="1"/>
  <c r="AL225" i="20"/>
  <c r="E613" i="19" s="1"/>
  <c r="G613" i="19" s="1"/>
  <c r="AN254" i="20"/>
  <c r="AN230" i="20"/>
  <c r="AN214" i="20"/>
  <c r="AN194" i="20"/>
  <c r="AN158" i="20"/>
  <c r="AN122" i="20"/>
  <c r="AN250" i="20"/>
  <c r="AN218" i="20"/>
  <c r="AN182" i="20"/>
  <c r="AK41" i="14"/>
  <c r="BC41" i="20" s="1"/>
  <c r="AK212" i="14"/>
  <c r="BC212" i="20" s="1"/>
  <c r="AK220" i="14"/>
  <c r="BC220" i="20" s="1"/>
  <c r="AK228" i="14"/>
  <c r="BC228" i="20" s="1"/>
  <c r="AK232" i="14"/>
  <c r="BC232" i="20" s="1"/>
  <c r="AK244" i="14"/>
  <c r="BC244" i="20" s="1"/>
  <c r="AK15" i="14"/>
  <c r="BC15" i="20" s="1"/>
  <c r="AK23" i="14"/>
  <c r="BC23" i="20" s="1"/>
  <c r="AK49" i="14"/>
  <c r="BC49" i="20" s="1"/>
  <c r="AK61" i="14"/>
  <c r="BC61" i="20" s="1"/>
  <c r="AK69" i="14"/>
  <c r="BC69" i="20" s="1"/>
  <c r="AK77" i="14"/>
  <c r="BC77" i="20" s="1"/>
  <c r="AK97" i="14"/>
  <c r="BC97" i="20" s="1"/>
  <c r="AK133" i="14"/>
  <c r="BC133" i="20" s="1"/>
  <c r="AN242" i="20"/>
  <c r="AN206" i="20"/>
  <c r="AN134" i="20"/>
  <c r="AK78" i="14"/>
  <c r="BC78" i="20" s="1"/>
  <c r="AK149" i="14"/>
  <c r="BC149" i="20" s="1"/>
  <c r="AK157" i="14"/>
  <c r="BC157" i="20" s="1"/>
  <c r="AK169" i="14"/>
  <c r="BC169" i="20" s="1"/>
  <c r="AK173" i="14"/>
  <c r="BC173" i="20" s="1"/>
  <c r="AK181" i="14"/>
  <c r="BC181" i="20" s="1"/>
  <c r="AK249" i="14"/>
  <c r="BC249" i="20" s="1"/>
  <c r="AK241" i="14"/>
  <c r="BC241" i="20" s="1"/>
  <c r="P90" i="20"/>
  <c r="P96" i="20"/>
  <c r="AU96" i="20" s="1"/>
  <c r="P150" i="20"/>
  <c r="AU150" i="20" s="1"/>
  <c r="P226" i="20"/>
  <c r="AU226" i="20" s="1"/>
  <c r="AV226" i="20" s="1"/>
  <c r="BA28" i="20"/>
  <c r="AZ39" i="20"/>
  <c r="AL186" i="20"/>
  <c r="E574" i="19" s="1"/>
  <c r="G574" i="19" s="1"/>
  <c r="AL158" i="20"/>
  <c r="AL126" i="20"/>
  <c r="AL98" i="20"/>
  <c r="AK213" i="14"/>
  <c r="BC213" i="20" s="1"/>
  <c r="P102" i="20"/>
  <c r="AU102" i="20" s="1"/>
  <c r="AL258" i="20"/>
  <c r="E646" i="19" s="1"/>
  <c r="G646" i="19" s="1"/>
  <c r="AL256" i="20"/>
  <c r="E644" i="19" s="1"/>
  <c r="G644" i="19" s="1"/>
  <c r="AL234" i="20"/>
  <c r="E622" i="19" s="1"/>
  <c r="G622" i="19" s="1"/>
  <c r="AL232" i="20"/>
  <c r="E620" i="19" s="1"/>
  <c r="G620" i="19" s="1"/>
  <c r="AK154" i="14"/>
  <c r="BC154" i="20" s="1"/>
  <c r="AK158" i="14"/>
  <c r="BC158" i="20" s="1"/>
  <c r="AK166" i="14"/>
  <c r="BC166" i="20" s="1"/>
  <c r="AK174" i="14"/>
  <c r="BC174" i="20" s="1"/>
  <c r="AK178" i="14"/>
  <c r="BC178" i="20" s="1"/>
  <c r="AK186" i="14"/>
  <c r="BC186" i="20" s="1"/>
  <c r="AK190" i="14"/>
  <c r="BC190" i="20" s="1"/>
  <c r="AK194" i="14"/>
  <c r="BC194" i="20" s="1"/>
  <c r="AK198" i="14"/>
  <c r="BC198" i="20" s="1"/>
  <c r="AK206" i="14"/>
  <c r="BC206" i="20" s="1"/>
  <c r="AK210" i="14"/>
  <c r="BC210" i="20" s="1"/>
  <c r="AK214" i="14"/>
  <c r="BC214" i="20" s="1"/>
  <c r="AK222" i="14"/>
  <c r="BC222" i="20" s="1"/>
  <c r="AK226" i="14"/>
  <c r="BC226" i="20" s="1"/>
  <c r="AK234" i="14"/>
  <c r="BC234" i="20" s="1"/>
  <c r="AK238" i="14"/>
  <c r="BC238" i="20" s="1"/>
  <c r="AK242" i="14"/>
  <c r="BC242" i="20" s="1"/>
  <c r="AK250" i="14"/>
  <c r="BC250" i="20" s="1"/>
  <c r="AK254" i="14"/>
  <c r="BC254" i="20" s="1"/>
  <c r="AK258" i="14"/>
  <c r="BC258" i="20" s="1"/>
  <c r="AK17" i="14"/>
  <c r="BC17" i="20" s="1"/>
  <c r="AK55" i="14"/>
  <c r="BC55" i="20" s="1"/>
  <c r="AK59" i="14"/>
  <c r="BC59" i="20" s="1"/>
  <c r="AK79" i="14"/>
  <c r="BC79" i="20" s="1"/>
  <c r="AK91" i="14"/>
  <c r="BC91" i="20" s="1"/>
  <c r="AK103" i="14"/>
  <c r="BC103" i="20" s="1"/>
  <c r="AK115" i="14"/>
  <c r="BC115" i="20" s="1"/>
  <c r="AK119" i="14"/>
  <c r="BC119" i="20" s="1"/>
  <c r="AK127" i="14"/>
  <c r="BC127" i="20" s="1"/>
  <c r="AK137" i="14"/>
  <c r="BC137" i="20" s="1"/>
  <c r="AK259" i="14"/>
  <c r="BC259" i="20" s="1"/>
  <c r="AK247" i="14"/>
  <c r="BC247" i="20" s="1"/>
  <c r="AK239" i="14"/>
  <c r="BC239" i="20" s="1"/>
  <c r="AK235" i="14"/>
  <c r="BC235" i="20" s="1"/>
  <c r="AK227" i="14"/>
  <c r="BC227" i="20" s="1"/>
  <c r="AK223" i="14"/>
  <c r="BC223" i="20" s="1"/>
  <c r="AK208" i="14"/>
  <c r="BC208" i="20" s="1"/>
  <c r="AK164" i="14"/>
  <c r="BC164" i="20" s="1"/>
  <c r="AK140" i="14"/>
  <c r="BC140" i="20" s="1"/>
  <c r="P162" i="20"/>
  <c r="AU162" i="20" s="1"/>
  <c r="P210" i="20"/>
  <c r="P238" i="20"/>
  <c r="BA30" i="20"/>
  <c r="AZ33" i="20"/>
  <c r="AZ37" i="20"/>
  <c r="AL248" i="20"/>
  <c r="E636" i="19" s="1"/>
  <c r="G636" i="19" s="1"/>
  <c r="AL236" i="20"/>
  <c r="E624" i="19" s="1"/>
  <c r="G624" i="19" s="1"/>
  <c r="AL204" i="20"/>
  <c r="E592" i="19" s="1"/>
  <c r="G592" i="19" s="1"/>
  <c r="AL200" i="20"/>
  <c r="E588" i="19" s="1"/>
  <c r="G588" i="19" s="1"/>
  <c r="AL156" i="20"/>
  <c r="AL152" i="20"/>
  <c r="AL148" i="20"/>
  <c r="AL128" i="20"/>
  <c r="AL124" i="20"/>
  <c r="AL116" i="20"/>
  <c r="AL112" i="20"/>
  <c r="AL104" i="20"/>
  <c r="AL88" i="20"/>
  <c r="AL80" i="20"/>
  <c r="AL76" i="20"/>
  <c r="AL56" i="20"/>
  <c r="AL52" i="20"/>
  <c r="AL44" i="20"/>
  <c r="AL32" i="20"/>
  <c r="AL28" i="20"/>
  <c r="AL20" i="20"/>
  <c r="P144" i="20"/>
  <c r="P168" i="20"/>
  <c r="AU168" i="20" s="1"/>
  <c r="P192" i="20"/>
  <c r="AU192" i="20" s="1"/>
  <c r="BA29" i="20"/>
  <c r="AZ32" i="20"/>
  <c r="AY43" i="20"/>
  <c r="AY47" i="20"/>
  <c r="AY51" i="20"/>
  <c r="AY55" i="20"/>
  <c r="BA141" i="20"/>
  <c r="BA153" i="20"/>
  <c r="BA185" i="20"/>
  <c r="BA197" i="20"/>
  <c r="BA201" i="20"/>
  <c r="BA221" i="20"/>
  <c r="BA249" i="20"/>
  <c r="BA257" i="20"/>
  <c r="AL255" i="20"/>
  <c r="E643" i="19" s="1"/>
  <c r="G643" i="19" s="1"/>
  <c r="AL247" i="20"/>
  <c r="E635" i="19" s="1"/>
  <c r="G635" i="19" s="1"/>
  <c r="AL243" i="20"/>
  <c r="E631" i="19" s="1"/>
  <c r="G631" i="19" s="1"/>
  <c r="AL239" i="20"/>
  <c r="E627" i="19" s="1"/>
  <c r="G627" i="19" s="1"/>
  <c r="AL195" i="20"/>
  <c r="E583" i="19" s="1"/>
  <c r="G583" i="19" s="1"/>
  <c r="AL187" i="20"/>
  <c r="E575" i="19" s="1"/>
  <c r="G575" i="19" s="1"/>
  <c r="AL159" i="20"/>
  <c r="AL147" i="20"/>
  <c r="AL139" i="20"/>
  <c r="AL127" i="20"/>
  <c r="AL107" i="20"/>
  <c r="AL87" i="20"/>
  <c r="AL83" i="20"/>
  <c r="AL67" i="20"/>
  <c r="AL51" i="20"/>
  <c r="AL47" i="20"/>
  <c r="AL39" i="20"/>
  <c r="AL35" i="20"/>
  <c r="AL31" i="20"/>
  <c r="AL23" i="20"/>
  <c r="BB24" i="20"/>
  <c r="AL86" i="20"/>
  <c r="AL82" i="20"/>
  <c r="AL38" i="20"/>
  <c r="AL34" i="20"/>
  <c r="AL22" i="20"/>
  <c r="AK31" i="14"/>
  <c r="BC31" i="20" s="1"/>
  <c r="AK30" i="14"/>
  <c r="BC30" i="20" s="1"/>
  <c r="AK27" i="14"/>
  <c r="BC27" i="20" s="1"/>
  <c r="P196" i="20"/>
  <c r="AU196" i="20" s="1"/>
  <c r="BA27" i="20"/>
  <c r="BA31" i="20"/>
  <c r="AZ38" i="20"/>
  <c r="AL201" i="20"/>
  <c r="E589" i="19" s="1"/>
  <c r="G589" i="19" s="1"/>
  <c r="AL145" i="20"/>
  <c r="AL141" i="20"/>
  <c r="AL137" i="20"/>
  <c r="AL117" i="20"/>
  <c r="AL113" i="20"/>
  <c r="AL101" i="20"/>
  <c r="AL85" i="20"/>
  <c r="AL81" i="20"/>
  <c r="AL77" i="20"/>
  <c r="AL65" i="20"/>
  <c r="AL49" i="20"/>
  <c r="AL45" i="20"/>
  <c r="AL37" i="20"/>
  <c r="AL33" i="20"/>
  <c r="AL21" i="20"/>
  <c r="AL206" i="20"/>
  <c r="E594" i="19" s="1"/>
  <c r="G594" i="19" s="1"/>
  <c r="AL205" i="20"/>
  <c r="E593" i="19" s="1"/>
  <c r="G593" i="19" s="1"/>
  <c r="AL164" i="20"/>
  <c r="AZ258" i="20"/>
  <c r="AK21" i="14"/>
  <c r="BC21" i="20" s="1"/>
  <c r="AK25" i="14"/>
  <c r="BC25" i="20" s="1"/>
  <c r="AK43" i="14"/>
  <c r="BC43" i="20" s="1"/>
  <c r="AK51" i="14"/>
  <c r="BC51" i="20" s="1"/>
  <c r="AK75" i="14"/>
  <c r="BC75" i="20" s="1"/>
  <c r="AK87" i="14"/>
  <c r="BC87" i="20" s="1"/>
  <c r="AK107" i="14"/>
  <c r="BC107" i="20" s="1"/>
  <c r="AZ150" i="20"/>
  <c r="AK136" i="14"/>
  <c r="BC136" i="20" s="1"/>
  <c r="AK172" i="14"/>
  <c r="BC172" i="20" s="1"/>
  <c r="AK204" i="14"/>
  <c r="BC204" i="20" s="1"/>
  <c r="BA13" i="20"/>
  <c r="AY15" i="20"/>
  <c r="BA17" i="20"/>
  <c r="AY19" i="20"/>
  <c r="BA21" i="20"/>
  <c r="AY23" i="20"/>
  <c r="BA41" i="20"/>
  <c r="BA53" i="20"/>
  <c r="BA57" i="20"/>
  <c r="AZ64" i="20"/>
  <c r="BA77" i="20"/>
  <c r="BA89" i="20"/>
  <c r="BA113" i="20"/>
  <c r="BA125" i="20"/>
  <c r="BA149" i="20"/>
  <c r="BA161" i="20"/>
  <c r="AZ172" i="20"/>
  <c r="BA173" i="20"/>
  <c r="AZ208" i="20"/>
  <c r="AY255" i="20"/>
  <c r="AY259" i="20"/>
  <c r="AL259" i="20"/>
  <c r="E647" i="19" s="1"/>
  <c r="G647" i="19" s="1"/>
  <c r="AL235" i="20"/>
  <c r="E623" i="19" s="1"/>
  <c r="G623" i="19" s="1"/>
  <c r="AL219" i="20"/>
  <c r="E607" i="19" s="1"/>
  <c r="G607" i="19" s="1"/>
  <c r="AL207" i="20"/>
  <c r="E595" i="19" s="1"/>
  <c r="G595" i="19" s="1"/>
  <c r="AL163" i="20"/>
  <c r="AL143" i="20"/>
  <c r="AL71" i="20"/>
  <c r="AK160" i="14"/>
  <c r="BC160" i="20" s="1"/>
  <c r="AK176" i="14"/>
  <c r="BC176" i="20" s="1"/>
  <c r="AK260" i="14"/>
  <c r="BC260" i="20" s="1"/>
  <c r="AK182" i="14"/>
  <c r="BC182" i="20" s="1"/>
  <c r="AK109" i="14"/>
  <c r="BC109" i="20" s="1"/>
  <c r="AK111" i="14"/>
  <c r="BC111" i="20" s="1"/>
  <c r="AK123" i="14"/>
  <c r="BC123" i="20" s="1"/>
  <c r="AK147" i="14"/>
  <c r="BC147" i="20" s="1"/>
  <c r="AK159" i="14"/>
  <c r="BC159" i="20" s="1"/>
  <c r="AK167" i="14"/>
  <c r="BC167" i="20" s="1"/>
  <c r="AK179" i="14"/>
  <c r="BC179" i="20" s="1"/>
  <c r="AK215" i="14"/>
  <c r="BC215" i="20" s="1"/>
  <c r="AK219" i="14"/>
  <c r="BC219" i="20" s="1"/>
  <c r="AK231" i="14"/>
  <c r="BC231" i="20" s="1"/>
  <c r="AK251" i="14"/>
  <c r="BC251" i="20" s="1"/>
  <c r="AK255" i="14"/>
  <c r="BC255" i="20" s="1"/>
  <c r="AK72" i="14"/>
  <c r="BC72" i="20" s="1"/>
  <c r="AK80" i="14"/>
  <c r="BC80" i="20" s="1"/>
  <c r="AK92" i="14"/>
  <c r="BC92" i="20" s="1"/>
  <c r="AK163" i="14"/>
  <c r="BC163" i="20" s="1"/>
  <c r="P221" i="20"/>
  <c r="AU221" i="20" s="1"/>
  <c r="AV221" i="20" s="1"/>
  <c r="BA24" i="20"/>
  <c r="AY30" i="20"/>
  <c r="BA44" i="20"/>
  <c r="BA52" i="20"/>
  <c r="BA60" i="20"/>
  <c r="BA64" i="20"/>
  <c r="BA72" i="20"/>
  <c r="AY74" i="20"/>
  <c r="BA76" i="20"/>
  <c r="BA88" i="20"/>
  <c r="BA100" i="20"/>
  <c r="BA112" i="20"/>
  <c r="BA124" i="20"/>
  <c r="BA148" i="20"/>
  <c r="BA164" i="20"/>
  <c r="AY170" i="20"/>
  <c r="BA184" i="20"/>
  <c r="BA192" i="20"/>
  <c r="BA216" i="20"/>
  <c r="BA228" i="20"/>
  <c r="BA232" i="20"/>
  <c r="BA236" i="20"/>
  <c r="AL162" i="20"/>
  <c r="AL142" i="20"/>
  <c r="AL70" i="20"/>
  <c r="AK83" i="14"/>
  <c r="BC83" i="20" s="1"/>
  <c r="P179" i="20"/>
  <c r="AU179" i="20" s="1"/>
  <c r="P203" i="20"/>
  <c r="P261" i="20"/>
  <c r="AU261" i="20" s="1"/>
  <c r="AV261" i="20" s="1"/>
  <c r="AY13" i="20"/>
  <c r="AY17" i="20"/>
  <c r="BA19" i="20"/>
  <c r="AY21" i="20"/>
  <c r="BA23" i="20"/>
  <c r="AY25" i="20"/>
  <c r="AY29" i="20"/>
  <c r="AY41" i="20"/>
  <c r="AZ42" i="20"/>
  <c r="AY45" i="20"/>
  <c r="BA47" i="20"/>
  <c r="AY49" i="20"/>
  <c r="BA51" i="20"/>
  <c r="AY53" i="20"/>
  <c r="AL180" i="20"/>
  <c r="E568" i="19" s="1"/>
  <c r="G568" i="19" s="1"/>
  <c r="AK19" i="14"/>
  <c r="BC19" i="20" s="1"/>
  <c r="AK53" i="14"/>
  <c r="BC53" i="20" s="1"/>
  <c r="AK89" i="14"/>
  <c r="BC89" i="20" s="1"/>
  <c r="AK93" i="14"/>
  <c r="BC93" i="20" s="1"/>
  <c r="AK101" i="14"/>
  <c r="BC101" i="20" s="1"/>
  <c r="AK105" i="14"/>
  <c r="BC105" i="20" s="1"/>
  <c r="AK113" i="14"/>
  <c r="BC113" i="20" s="1"/>
  <c r="AK129" i="14"/>
  <c r="BC129" i="20" s="1"/>
  <c r="AK141" i="14"/>
  <c r="BC141" i="20" s="1"/>
  <c r="AK161" i="14"/>
  <c r="BC161" i="20" s="1"/>
  <c r="AK165" i="14"/>
  <c r="BC165" i="20" s="1"/>
  <c r="AK177" i="14"/>
  <c r="BC177" i="20" s="1"/>
  <c r="AK197" i="14"/>
  <c r="BC197" i="20" s="1"/>
  <c r="AK12" i="14"/>
  <c r="BC12" i="20" s="1"/>
  <c r="AK20" i="14"/>
  <c r="BC20" i="20" s="1"/>
  <c r="AK24" i="14"/>
  <c r="BC24" i="20" s="1"/>
  <c r="AK62" i="14"/>
  <c r="BC62" i="20" s="1"/>
  <c r="AK58" i="14"/>
  <c r="BC58" i="20" s="1"/>
  <c r="AK54" i="14"/>
  <c r="BC54" i="20" s="1"/>
  <c r="AK50" i="14"/>
  <c r="BC50" i="20" s="1"/>
  <c r="BA18" i="20"/>
  <c r="AY28" i="20"/>
  <c r="BA42" i="20"/>
  <c r="BA46" i="20"/>
  <c r="BA50" i="20"/>
  <c r="BA54" i="20"/>
  <c r="AY60" i="20"/>
  <c r="BA66" i="20"/>
  <c r="BA74" i="20"/>
  <c r="BA78" i="20"/>
  <c r="BA86" i="20"/>
  <c r="BA90" i="20"/>
  <c r="AZ93" i="20"/>
  <c r="BA102" i="20"/>
  <c r="AZ105" i="20"/>
  <c r="AY108" i="20"/>
  <c r="BA110" i="20"/>
  <c r="BA114" i="20"/>
  <c r="BA118" i="20"/>
  <c r="BA122" i="20"/>
  <c r="BA126" i="20"/>
  <c r="BA134" i="20"/>
  <c r="BA138" i="20"/>
  <c r="BA142" i="20"/>
  <c r="BA154" i="20"/>
  <c r="BA166" i="20"/>
  <c r="BA174" i="20"/>
  <c r="BA178" i="20"/>
  <c r="AY180" i="20"/>
  <c r="BA182" i="20"/>
  <c r="BA190" i="20"/>
  <c r="BA202" i="20"/>
  <c r="BA222" i="20"/>
  <c r="BA226" i="20"/>
  <c r="BA234" i="20"/>
  <c r="BA238" i="20"/>
  <c r="BA242" i="20"/>
  <c r="BA246" i="20"/>
  <c r="AY252" i="20"/>
  <c r="AY256" i="20"/>
  <c r="BA258" i="20"/>
  <c r="AL132" i="20"/>
  <c r="AL92" i="20"/>
  <c r="AL68" i="20"/>
  <c r="AL16" i="20"/>
  <c r="BB252" i="20"/>
  <c r="BB240" i="20"/>
  <c r="BB228" i="20"/>
  <c r="BB216" i="20"/>
  <c r="BB204" i="20"/>
  <c r="BB192" i="20"/>
  <c r="BB180" i="20"/>
  <c r="BB168" i="20"/>
  <c r="BB156" i="20"/>
  <c r="BB144" i="20"/>
  <c r="BB120" i="20"/>
  <c r="BB108" i="20"/>
  <c r="BB96" i="20"/>
  <c r="BB84" i="20"/>
  <c r="BB72" i="20"/>
  <c r="BB60" i="20"/>
  <c r="BB48" i="20"/>
  <c r="BB40" i="20"/>
  <c r="BB36" i="20"/>
  <c r="AR13" i="20"/>
  <c r="AQ13" i="20"/>
  <c r="AL14" i="20"/>
  <c r="AL252" i="20"/>
  <c r="E640" i="19" s="1"/>
  <c r="G640" i="19" s="1"/>
  <c r="AL176" i="20"/>
  <c r="BA59" i="20"/>
  <c r="AY61" i="20"/>
  <c r="BA63" i="20"/>
  <c r="AY65" i="20"/>
  <c r="AY73" i="20"/>
  <c r="BA75" i="20"/>
  <c r="AY77" i="20"/>
  <c r="AY81" i="20"/>
  <c r="BA87" i="20"/>
  <c r="AY89" i="20"/>
  <c r="BA95" i="20"/>
  <c r="AY97" i="20"/>
  <c r="BA99" i="20"/>
  <c r="AY101" i="20"/>
  <c r="AY109" i="20"/>
  <c r="BA111" i="20"/>
  <c r="AY113" i="20"/>
  <c r="BA123" i="20"/>
  <c r="AY129" i="20"/>
  <c r="AY133" i="20"/>
  <c r="AY137" i="20"/>
  <c r="BA143" i="20"/>
  <c r="AY149" i="20"/>
  <c r="AY153" i="20"/>
  <c r="BA155" i="20"/>
  <c r="AY157" i="20"/>
  <c r="BA159" i="20"/>
  <c r="AY161" i="20"/>
  <c r="BA163" i="20"/>
  <c r="BA167" i="20"/>
  <c r="AY169" i="20"/>
  <c r="BA171" i="20"/>
  <c r="AY173" i="20"/>
  <c r="AY177" i="20"/>
  <c r="AY181" i="20"/>
  <c r="AY185" i="20"/>
  <c r="AZ186" i="20"/>
  <c r="BA191" i="20"/>
  <c r="AY193" i="20"/>
  <c r="AY197" i="20"/>
  <c r="AY201" i="20"/>
  <c r="AY205" i="20"/>
  <c r="AY209" i="20"/>
  <c r="BA219" i="20"/>
  <c r="AY221" i="20"/>
  <c r="AY225" i="20"/>
  <c r="BA227" i="20"/>
  <c r="BA231" i="20"/>
  <c r="AY233" i="20"/>
  <c r="BA239" i="20"/>
  <c r="AY241" i="20"/>
  <c r="AY245" i="20"/>
  <c r="AL249" i="20"/>
  <c r="E637" i="19" s="1"/>
  <c r="G637" i="19" s="1"/>
  <c r="AL161" i="20"/>
  <c r="AL133" i="20"/>
  <c r="AL97" i="20"/>
  <c r="AL93" i="20"/>
  <c r="AL57" i="20"/>
  <c r="AL17" i="20"/>
  <c r="AL227" i="20"/>
  <c r="E615" i="19" s="1"/>
  <c r="G615" i="19" s="1"/>
  <c r="AL191" i="20"/>
  <c r="E579" i="19" s="1"/>
  <c r="G579" i="19" s="1"/>
  <c r="AK29" i="14"/>
  <c r="BC29" i="20" s="1"/>
  <c r="BB259" i="20"/>
  <c r="BB251" i="20"/>
  <c r="BB247" i="20"/>
  <c r="BB239" i="20"/>
  <c r="BB223" i="20"/>
  <c r="BB215" i="20"/>
  <c r="BB211" i="20"/>
  <c r="BB203" i="20"/>
  <c r="BB199" i="20"/>
  <c r="BB191" i="20"/>
  <c r="BB187" i="20"/>
  <c r="BB179" i="20"/>
  <c r="BB175" i="20"/>
  <c r="BB167" i="20"/>
  <c r="BB163" i="20"/>
  <c r="BB155" i="20"/>
  <c r="BB151" i="20"/>
  <c r="BB143" i="20"/>
  <c r="BB131" i="20"/>
  <c r="BB127" i="20"/>
  <c r="BB119" i="20"/>
  <c r="BB115" i="20"/>
  <c r="BB107" i="20"/>
  <c r="BB103" i="20"/>
  <c r="BB91" i="20"/>
  <c r="BB83" i="20"/>
  <c r="BB79" i="20"/>
  <c r="BB71" i="20"/>
  <c r="BB67" i="20"/>
  <c r="BB59" i="20"/>
  <c r="BB55" i="20"/>
  <c r="BB47" i="20"/>
  <c r="BB258" i="20"/>
  <c r="BB246" i="20"/>
  <c r="BB222" i="20"/>
  <c r="BB210" i="20"/>
  <c r="BB198" i="20"/>
  <c r="BB186" i="20"/>
  <c r="BB174" i="20"/>
  <c r="BB162" i="20"/>
  <c r="BB150" i="20"/>
  <c r="BB138" i="20"/>
  <c r="BB126" i="20"/>
  <c r="BB114" i="20"/>
  <c r="BB110" i="20"/>
  <c r="BB102" i="20"/>
  <c r="BB90" i="20"/>
  <c r="BB78" i="20"/>
  <c r="BB66" i="20"/>
  <c r="BB54" i="20"/>
  <c r="BB42" i="20"/>
  <c r="BB18" i="20"/>
  <c r="AK39" i="14"/>
  <c r="BC39" i="20" s="1"/>
  <c r="AK37" i="14"/>
  <c r="BC37" i="20" s="1"/>
  <c r="AK35" i="14"/>
  <c r="BC35" i="20" s="1"/>
  <c r="AK32" i="14"/>
  <c r="BC32" i="20" s="1"/>
  <c r="AK28" i="14"/>
  <c r="BC28" i="20" s="1"/>
  <c r="AN260" i="20"/>
  <c r="AN248" i="20"/>
  <c r="AN236" i="20"/>
  <c r="AN232" i="20"/>
  <c r="AN212" i="20"/>
  <c r="AN200" i="20"/>
  <c r="AN188" i="20"/>
  <c r="AN176" i="20"/>
  <c r="AN140" i="20"/>
  <c r="AN128" i="20"/>
  <c r="AN116" i="20"/>
  <c r="BB257" i="20"/>
  <c r="BB253" i="20"/>
  <c r="BB245" i="20"/>
  <c r="BB241" i="20"/>
  <c r="BB233" i="20"/>
  <c r="BB229" i="20"/>
  <c r="BB221" i="20"/>
  <c r="BB217" i="20"/>
  <c r="BB209" i="20"/>
  <c r="BB205" i="20"/>
  <c r="BB197" i="20"/>
  <c r="BB193" i="20"/>
  <c r="BB185" i="20"/>
  <c r="BB173" i="20"/>
  <c r="BB161" i="20"/>
  <c r="BB157" i="20"/>
  <c r="BB149" i="20"/>
  <c r="BB137" i="20"/>
  <c r="BB133" i="20"/>
  <c r="BB125" i="20"/>
  <c r="BB121" i="20"/>
  <c r="BB113" i="20"/>
  <c r="BB109" i="20"/>
  <c r="BB101" i="20"/>
  <c r="BB97" i="20"/>
  <c r="BB89" i="20"/>
  <c r="BB85" i="20"/>
  <c r="BB77" i="20"/>
  <c r="BB73" i="20"/>
  <c r="BB65" i="20"/>
  <c r="BB61" i="20"/>
  <c r="BB53" i="20"/>
  <c r="BB49" i="20"/>
  <c r="BB37" i="20"/>
  <c r="AN98" i="20"/>
  <c r="AN74" i="20"/>
  <c r="BB43" i="20"/>
  <c r="BB35" i="20"/>
  <c r="BB23" i="20"/>
  <c r="AK40" i="14"/>
  <c r="BC40" i="20" s="1"/>
  <c r="AK36" i="14"/>
  <c r="BC36" i="20" s="1"/>
  <c r="AK33" i="14"/>
  <c r="BC33" i="20" s="1"/>
  <c r="AN229" i="20"/>
  <c r="AN193" i="20"/>
  <c r="AN157" i="20"/>
  <c r="AN104" i="20"/>
  <c r="AN92" i="20"/>
  <c r="AN68" i="20"/>
  <c r="BA58" i="20"/>
  <c r="BA70" i="20"/>
  <c r="BA106" i="20"/>
  <c r="BA186" i="20"/>
  <c r="BA130" i="20"/>
  <c r="BA170" i="20"/>
  <c r="BA230" i="20"/>
  <c r="BA84" i="20"/>
  <c r="BA96" i="20"/>
  <c r="BA206" i="20"/>
  <c r="BA210" i="20"/>
  <c r="BA224" i="20"/>
  <c r="BA254" i="20"/>
  <c r="AZ57" i="20"/>
  <c r="AZ69" i="20"/>
  <c r="AZ201" i="20"/>
  <c r="AZ213" i="20"/>
  <c r="AZ237" i="20"/>
  <c r="AZ249" i="20"/>
  <c r="BA120" i="20"/>
  <c r="BA132" i="20"/>
  <c r="BA146" i="20"/>
  <c r="BA160" i="20"/>
  <c r="BA194" i="20"/>
  <c r="BA212" i="20"/>
  <c r="AT146" i="20"/>
  <c r="BA82" i="20"/>
  <c r="BA68" i="20"/>
  <c r="BA116" i="20"/>
  <c r="BA98" i="20"/>
  <c r="BA108" i="20"/>
  <c r="BA162" i="20"/>
  <c r="BA172" i="20"/>
  <c r="AY257" i="20"/>
  <c r="BA56" i="20"/>
  <c r="BA94" i="20"/>
  <c r="BA104" i="20"/>
  <c r="BA158" i="20"/>
  <c r="BA168" i="20"/>
  <c r="BA218" i="20"/>
  <c r="BA244" i="20"/>
  <c r="BA48" i="20"/>
  <c r="BA128" i="20"/>
  <c r="BA150" i="20"/>
  <c r="BA188" i="20"/>
  <c r="BA198" i="20"/>
  <c r="BA208" i="20"/>
  <c r="BA214" i="20"/>
  <c r="BA240" i="20"/>
  <c r="BA250" i="20"/>
  <c r="BA256" i="20"/>
  <c r="AY125" i="20"/>
  <c r="AY85" i="20"/>
  <c r="BA45" i="20"/>
  <c r="BA147" i="20"/>
  <c r="BB95" i="20"/>
  <c r="BB132" i="20"/>
  <c r="BA165" i="20"/>
  <c r="BA93" i="20"/>
  <c r="BA243" i="20"/>
  <c r="BA105" i="20"/>
  <c r="BA119" i="20"/>
  <c r="AZ100" i="20"/>
  <c r="BA195" i="20"/>
  <c r="BA101" i="20"/>
  <c r="BA131" i="20"/>
  <c r="AY253" i="20"/>
  <c r="AY237" i="20"/>
  <c r="AY141" i="20"/>
  <c r="AY105" i="20"/>
  <c r="AY69" i="20"/>
  <c r="AY261" i="20"/>
  <c r="AJ17" i="20"/>
  <c r="AJ33" i="20"/>
  <c r="AJ119" i="20"/>
  <c r="AJ141" i="20"/>
  <c r="AJ149" i="20"/>
  <c r="AJ173" i="20"/>
  <c r="AJ205" i="20"/>
  <c r="BA69" i="20"/>
  <c r="BA81" i="20"/>
  <c r="BA233" i="20"/>
  <c r="BA237" i="20"/>
  <c r="AY165" i="20"/>
  <c r="AY145" i="20"/>
  <c r="AY93" i="20"/>
  <c r="BB227" i="20"/>
  <c r="BA65" i="20"/>
  <c r="BA137" i="20"/>
  <c r="BA177" i="20"/>
  <c r="BA207" i="20"/>
  <c r="BA213" i="20"/>
  <c r="AY229" i="20"/>
  <c r="AY189" i="20"/>
  <c r="BA71" i="20"/>
  <c r="BA83" i="20"/>
  <c r="BA117" i="20"/>
  <c r="BA129" i="20"/>
  <c r="BA203" i="20"/>
  <c r="AY249" i="20"/>
  <c r="AY213" i="20"/>
  <c r="AY117" i="20"/>
  <c r="AK200" i="14"/>
  <c r="BC200" i="20" s="1"/>
  <c r="AK162" i="14"/>
  <c r="BC162" i="20" s="1"/>
  <c r="AK120" i="14"/>
  <c r="BC120" i="20" s="1"/>
  <c r="AK131" i="14"/>
  <c r="BC131" i="20" s="1"/>
  <c r="AZ51" i="20"/>
  <c r="AZ25" i="20"/>
  <c r="AK82" i="14"/>
  <c r="BC82" i="20" s="1"/>
  <c r="AK94" i="14"/>
  <c r="BC94" i="20" s="1"/>
  <c r="AK253" i="14"/>
  <c r="BC253" i="20" s="1"/>
  <c r="AK207" i="14"/>
  <c r="BC207" i="20" s="1"/>
  <c r="AZ207" i="20"/>
  <c r="AK240" i="14"/>
  <c r="BC240" i="20" s="1"/>
  <c r="AK104" i="14"/>
  <c r="BC104" i="20" s="1"/>
  <c r="AK56" i="14"/>
  <c r="BC56" i="20" s="1"/>
  <c r="AZ231" i="20"/>
  <c r="AZ219" i="20"/>
  <c r="AZ195" i="20"/>
  <c r="AZ183" i="20"/>
  <c r="AZ141" i="20"/>
  <c r="AZ129" i="20"/>
  <c r="AZ87" i="20"/>
  <c r="AZ75" i="20"/>
  <c r="AK65" i="14"/>
  <c r="BC65" i="20" s="1"/>
  <c r="AK71" i="14"/>
  <c r="BC71" i="20" s="1"/>
  <c r="AK125" i="14"/>
  <c r="BC125" i="20" s="1"/>
  <c r="AK233" i="14"/>
  <c r="BC233" i="20" s="1"/>
  <c r="AK117" i="14"/>
  <c r="BC117" i="20" s="1"/>
  <c r="AZ117" i="20"/>
  <c r="AK252" i="14"/>
  <c r="BC252" i="20" s="1"/>
  <c r="AK196" i="14"/>
  <c r="BC196" i="20" s="1"/>
  <c r="AK68" i="14"/>
  <c r="BC68" i="20" s="1"/>
  <c r="AZ255" i="20"/>
  <c r="AK48" i="14"/>
  <c r="BC48" i="20" s="1"/>
  <c r="AK114" i="14"/>
  <c r="BC114" i="20" s="1"/>
  <c r="AK138" i="14"/>
  <c r="BC138" i="20" s="1"/>
  <c r="AK192" i="14"/>
  <c r="BC192" i="20" s="1"/>
  <c r="BA62" i="20"/>
  <c r="BA92" i="20"/>
  <c r="AK145" i="14"/>
  <c r="BC145" i="20" s="1"/>
  <c r="AK45" i="14"/>
  <c r="BC45" i="20" s="1"/>
  <c r="AZ45" i="20"/>
  <c r="AK81" i="14"/>
  <c r="BC81" i="20" s="1"/>
  <c r="AZ81" i="20"/>
  <c r="AK99" i="14"/>
  <c r="BC99" i="20" s="1"/>
  <c r="AZ99" i="20"/>
  <c r="AK135" i="14"/>
  <c r="BC135" i="20" s="1"/>
  <c r="AZ135" i="20"/>
  <c r="AK243" i="14"/>
  <c r="BC243" i="20" s="1"/>
  <c r="AZ243" i="20"/>
  <c r="BA260" i="20"/>
  <c r="AK13" i="14"/>
  <c r="BC13" i="20" s="1"/>
  <c r="AZ13" i="20"/>
  <c r="AK63" i="14"/>
  <c r="BC63" i="20" s="1"/>
  <c r="AZ63" i="20"/>
  <c r="AK153" i="14"/>
  <c r="BC153" i="20" s="1"/>
  <c r="AZ153" i="20"/>
  <c r="AK171" i="14"/>
  <c r="BC171" i="20" s="1"/>
  <c r="AZ171" i="20"/>
  <c r="AK189" i="14"/>
  <c r="BC189" i="20" s="1"/>
  <c r="AZ189" i="20"/>
  <c r="AK225" i="14"/>
  <c r="BC225" i="20" s="1"/>
  <c r="AZ225" i="20"/>
  <c r="AK248" i="14"/>
  <c r="BC248" i="20" s="1"/>
  <c r="AK128" i="14"/>
  <c r="BC128" i="20" s="1"/>
  <c r="AK203" i="14"/>
  <c r="BC203" i="20" s="1"/>
  <c r="AZ177" i="20"/>
  <c r="AZ165" i="20"/>
  <c r="AZ123" i="20"/>
  <c r="AZ111" i="20"/>
  <c r="AZ19" i="20"/>
  <c r="AK218" i="14"/>
  <c r="BC218" i="20" s="1"/>
  <c r="AK98" i="14"/>
  <c r="BC98" i="20" s="1"/>
  <c r="BA80" i="20"/>
  <c r="BA15" i="20"/>
  <c r="BA25" i="20"/>
  <c r="BA43" i="20"/>
  <c r="BA49" i="20"/>
  <c r="BA55" i="20"/>
  <c r="BA61" i="20"/>
  <c r="BA67" i="20"/>
  <c r="BA73" i="20"/>
  <c r="BA79" i="20"/>
  <c r="BA85" i="20"/>
  <c r="BA91" i="20"/>
  <c r="BA97" i="20"/>
  <c r="BA103" i="20"/>
  <c r="BA109" i="20"/>
  <c r="BA115" i="20"/>
  <c r="BA121" i="20"/>
  <c r="BA127" i="20"/>
  <c r="BA133" i="20"/>
  <c r="BA139" i="20"/>
  <c r="BA145" i="20"/>
  <c r="BA151" i="20"/>
  <c r="BA157" i="20"/>
  <c r="BA181" i="20"/>
  <c r="BA183" i="20"/>
  <c r="BA189" i="20"/>
  <c r="BA193" i="20"/>
  <c r="BA205" i="20"/>
  <c r="BA217" i="20"/>
  <c r="BA225" i="20"/>
  <c r="BA229" i="20"/>
  <c r="BA245" i="20"/>
  <c r="BA247" i="20"/>
  <c r="BA251" i="20"/>
  <c r="BA255" i="20"/>
  <c r="BA259" i="20"/>
  <c r="O12" i="20"/>
  <c r="P12" i="20" s="1"/>
  <c r="AU12" i="20" s="1"/>
  <c r="AR12" i="20"/>
  <c r="AO12" i="20"/>
  <c r="AQ12" i="20"/>
  <c r="O259" i="20"/>
  <c r="AT259" i="20" s="1"/>
  <c r="AQ259" i="20"/>
  <c r="AP259" i="20"/>
  <c r="AP256" i="20"/>
  <c r="AQ256" i="20"/>
  <c r="AR256" i="20"/>
  <c r="O256" i="20"/>
  <c r="P256" i="20" s="1"/>
  <c r="AU256" i="20" s="1"/>
  <c r="AR253" i="20"/>
  <c r="O253" i="20"/>
  <c r="P253" i="20" s="1"/>
  <c r="AU253" i="20" s="1"/>
  <c r="AV253" i="20" s="1"/>
  <c r="AO253" i="20"/>
  <c r="AQ250" i="20"/>
  <c r="O250" i="20"/>
  <c r="P250" i="20" s="1"/>
  <c r="AU250" i="20" s="1"/>
  <c r="AV250" i="20" s="1"/>
  <c r="AP250" i="20"/>
  <c r="AO250" i="20"/>
  <c r="AP247" i="20"/>
  <c r="O247" i="20"/>
  <c r="AT247" i="20" s="1"/>
  <c r="AO247" i="20"/>
  <c r="AR247" i="20"/>
  <c r="AQ244" i="20"/>
  <c r="AO244" i="20"/>
  <c r="AP244" i="20"/>
  <c r="AR241" i="20"/>
  <c r="O241" i="20"/>
  <c r="P241" i="20" s="1"/>
  <c r="AU241" i="20" s="1"/>
  <c r="AV241" i="20" s="1"/>
  <c r="AO241" i="20"/>
  <c r="AP238" i="20"/>
  <c r="AR238" i="20"/>
  <c r="AO238" i="20"/>
  <c r="AR235" i="20"/>
  <c r="O235" i="20"/>
  <c r="P235" i="20" s="1"/>
  <c r="AU235" i="20" s="1"/>
  <c r="AV235" i="20" s="1"/>
  <c r="AO235" i="20"/>
  <c r="AR232" i="20"/>
  <c r="AP232" i="20"/>
  <c r="AQ232" i="20"/>
  <c r="O232" i="20"/>
  <c r="P232" i="20" s="1"/>
  <c r="AU232" i="20" s="1"/>
  <c r="AP229" i="20"/>
  <c r="AR229" i="20"/>
  <c r="AO229" i="20"/>
  <c r="AQ226" i="20"/>
  <c r="AO226" i="20"/>
  <c r="AP226" i="20"/>
  <c r="AR226" i="20"/>
  <c r="AP223" i="20"/>
  <c r="O223" i="20"/>
  <c r="P223" i="20" s="1"/>
  <c r="AU223" i="20" s="1"/>
  <c r="AQ223" i="20"/>
  <c r="AR223" i="20"/>
  <c r="AO220" i="20"/>
  <c r="AP220" i="20"/>
  <c r="AR220" i="20"/>
  <c r="AQ217" i="20"/>
  <c r="O217" i="20"/>
  <c r="AT217" i="20" s="1"/>
  <c r="AR217" i="20"/>
  <c r="AR214" i="20"/>
  <c r="AP214" i="20"/>
  <c r="O214" i="20"/>
  <c r="P214" i="20" s="1"/>
  <c r="AU214" i="20" s="1"/>
  <c r="AQ214" i="20"/>
  <c r="AR211" i="20"/>
  <c r="O211" i="20"/>
  <c r="P211" i="20" s="1"/>
  <c r="AU211" i="20" s="1"/>
  <c r="AV211" i="20" s="1"/>
  <c r="AO211" i="20"/>
  <c r="AQ208" i="20"/>
  <c r="AR208" i="20"/>
  <c r="O208" i="20"/>
  <c r="P208" i="20" s="1"/>
  <c r="AU208" i="20" s="1"/>
  <c r="AV208" i="20" s="1"/>
  <c r="AR205" i="20"/>
  <c r="AQ205" i="20"/>
  <c r="AO205" i="20"/>
  <c r="AO202" i="20"/>
  <c r="AP202" i="20"/>
  <c r="AQ202" i="20"/>
  <c r="AR202" i="20"/>
  <c r="AP199" i="20"/>
  <c r="AQ199" i="20"/>
  <c r="O199" i="20"/>
  <c r="P199" i="20" s="1"/>
  <c r="AU199" i="20" s="1"/>
  <c r="AW199" i="20" s="1" a="1"/>
  <c r="AW199" i="20" s="1"/>
  <c r="AR199" i="20"/>
  <c r="AO196" i="20"/>
  <c r="AP196" i="20"/>
  <c r="AR196" i="20"/>
  <c r="AO193" i="20"/>
  <c r="AP193" i="20"/>
  <c r="AQ193" i="20"/>
  <c r="O190" i="20"/>
  <c r="P190" i="20" s="1"/>
  <c r="AU190" i="20" s="1"/>
  <c r="AQ190" i="20"/>
  <c r="AO190" i="20"/>
  <c r="AP190" i="20"/>
  <c r="AR190" i="20"/>
  <c r="AR187" i="20"/>
  <c r="O187" i="20"/>
  <c r="AT187" i="20" s="1"/>
  <c r="AP187" i="20"/>
  <c r="AQ184" i="20"/>
  <c r="AR184" i="20"/>
  <c r="O184" i="20"/>
  <c r="AT184" i="20" s="1"/>
  <c r="AQ181" i="20"/>
  <c r="AR181" i="20"/>
  <c r="AO181" i="20"/>
  <c r="AR178" i="20"/>
  <c r="O178" i="20"/>
  <c r="AT178" i="20" s="1"/>
  <c r="AO178" i="20"/>
  <c r="AP175" i="20"/>
  <c r="AQ175" i="20"/>
  <c r="AR175" i="20"/>
  <c r="O175" i="20"/>
  <c r="P175" i="20" s="1"/>
  <c r="AU175" i="20" s="1"/>
  <c r="AW175" i="20" s="1" a="1"/>
  <c r="AW175" i="20" s="1"/>
  <c r="AO172" i="20"/>
  <c r="AP172" i="20"/>
  <c r="AR172" i="20"/>
  <c r="AR169" i="20"/>
  <c r="AO169" i="20"/>
  <c r="AP169" i="20"/>
  <c r="AQ169" i="20"/>
  <c r="AO166" i="20"/>
  <c r="AP166" i="20"/>
  <c r="AQ166" i="20"/>
  <c r="O166" i="20"/>
  <c r="P166" i="20" s="1"/>
  <c r="AU166" i="20" s="1"/>
  <c r="AP163" i="20"/>
  <c r="AQ163" i="20"/>
  <c r="AR163" i="20"/>
  <c r="AQ160" i="20"/>
  <c r="AR160" i="20"/>
  <c r="O160" i="20"/>
  <c r="P160" i="20" s="1"/>
  <c r="AU160" i="20" s="1"/>
  <c r="AW160" i="20" s="1" a="1"/>
  <c r="AW160" i="20" s="1"/>
  <c r="AO157" i="20"/>
  <c r="AP157" i="20"/>
  <c r="AQ157" i="20"/>
  <c r="O154" i="20"/>
  <c r="P154" i="20" s="1"/>
  <c r="AU154" i="20" s="1"/>
  <c r="AR154" i="20"/>
  <c r="AO154" i="20"/>
  <c r="AP151" i="20"/>
  <c r="AQ151" i="20"/>
  <c r="AR151" i="20"/>
  <c r="AO151" i="20"/>
  <c r="AO148" i="20"/>
  <c r="AP148" i="20"/>
  <c r="AQ148" i="20"/>
  <c r="AO145" i="20"/>
  <c r="AP145" i="20"/>
  <c r="AQ145" i="20"/>
  <c r="O145" i="20"/>
  <c r="P145" i="20" s="1"/>
  <c r="AU145" i="20" s="1"/>
  <c r="AO142" i="20"/>
  <c r="AP142" i="20"/>
  <c r="AQ142" i="20"/>
  <c r="O139" i="20"/>
  <c r="P139" i="20" s="1"/>
  <c r="AU139" i="20" s="1"/>
  <c r="AW139" i="20" s="1" a="1"/>
  <c r="AW139" i="20" s="1"/>
  <c r="AQ139" i="20"/>
  <c r="AR139" i="20"/>
  <c r="AR136" i="20"/>
  <c r="AO136" i="20"/>
  <c r="O136" i="20"/>
  <c r="P136" i="20" s="1"/>
  <c r="AU136" i="20" s="1"/>
  <c r="AP133" i="20"/>
  <c r="AQ133" i="20"/>
  <c r="AR133" i="20"/>
  <c r="AP130" i="20"/>
  <c r="AQ130" i="20"/>
  <c r="AR130" i="20"/>
  <c r="AP127" i="20"/>
  <c r="AQ127" i="20"/>
  <c r="O127" i="20"/>
  <c r="AT127" i="20" s="1"/>
  <c r="AR127" i="20"/>
  <c r="AP124" i="20"/>
  <c r="AQ124" i="20"/>
  <c r="AR124" i="20"/>
  <c r="AO121" i="20"/>
  <c r="AP121" i="20"/>
  <c r="AQ121" i="20"/>
  <c r="AR121" i="20"/>
  <c r="AR118" i="20"/>
  <c r="O118" i="20"/>
  <c r="P118" i="20" s="1"/>
  <c r="AU118" i="20" s="1"/>
  <c r="AO118" i="20"/>
  <c r="O115" i="20"/>
  <c r="AT115" i="20" s="1"/>
  <c r="AO115" i="20"/>
  <c r="AR115" i="20"/>
  <c r="AR112" i="20"/>
  <c r="AO112" i="20"/>
  <c r="O112" i="20"/>
  <c r="AT112" i="20" s="1"/>
  <c r="AO109" i="20"/>
  <c r="AP109" i="20"/>
  <c r="AR109" i="20"/>
  <c r="O109" i="20"/>
  <c r="P109" i="20" s="1"/>
  <c r="AU109" i="20" s="1"/>
  <c r="AR106" i="20"/>
  <c r="AO106" i="20"/>
  <c r="O106" i="20"/>
  <c r="AT106" i="20" s="1"/>
  <c r="AP103" i="20"/>
  <c r="O103" i="20"/>
  <c r="P103" i="20" s="1"/>
  <c r="AU103" i="20" s="1"/>
  <c r="AW103" i="20" s="1" a="1"/>
  <c r="AW103" i="20" s="1"/>
  <c r="AQ103" i="20"/>
  <c r="AR103" i="20"/>
  <c r="AP100" i="20"/>
  <c r="AQ100" i="20"/>
  <c r="AR100" i="20"/>
  <c r="AP97" i="20"/>
  <c r="AQ97" i="20"/>
  <c r="AR97" i="20"/>
  <c r="O97" i="20"/>
  <c r="AT97" i="20" s="1"/>
  <c r="AO94" i="20"/>
  <c r="O94" i="20"/>
  <c r="P94" i="20" s="1"/>
  <c r="AU94" i="20" s="1"/>
  <c r="AP94" i="20"/>
  <c r="O91" i="20"/>
  <c r="AT91" i="20" s="1"/>
  <c r="AO91" i="20"/>
  <c r="AP91" i="20"/>
  <c r="AR88" i="20"/>
  <c r="AO88" i="20"/>
  <c r="O88" i="20"/>
  <c r="P88" i="20" s="1"/>
  <c r="AU88" i="20" s="1"/>
  <c r="AR85" i="20"/>
  <c r="AO85" i="20"/>
  <c r="AP85" i="20"/>
  <c r="O82" i="20"/>
  <c r="AT82" i="20" s="1"/>
  <c r="AP82" i="20"/>
  <c r="AQ82" i="20"/>
  <c r="AP79" i="20"/>
  <c r="AQ79" i="20"/>
  <c r="O79" i="20"/>
  <c r="AT79" i="20" s="1"/>
  <c r="AR79" i="20"/>
  <c r="AP76" i="20"/>
  <c r="AQ76" i="20"/>
  <c r="AR76" i="20"/>
  <c r="O73" i="20"/>
  <c r="AT73" i="20" s="1"/>
  <c r="AO73" i="20"/>
  <c r="AP73" i="20"/>
  <c r="AO70" i="20"/>
  <c r="AP70" i="20"/>
  <c r="AQ70" i="20"/>
  <c r="AO67" i="20"/>
  <c r="AP67" i="20"/>
  <c r="AQ67" i="20"/>
  <c r="AR64" i="20"/>
  <c r="AO64" i="20"/>
  <c r="O64" i="20"/>
  <c r="P64" i="20" s="1"/>
  <c r="AU64" i="20" s="1"/>
  <c r="AO61" i="20"/>
  <c r="AP61" i="20"/>
  <c r="AR61" i="20"/>
  <c r="O61" i="20"/>
  <c r="AT61" i="20" s="1"/>
  <c r="AP58" i="20"/>
  <c r="AQ58" i="20"/>
  <c r="AR58" i="20"/>
  <c r="AO58" i="20"/>
  <c r="AQ55" i="20"/>
  <c r="O55" i="20"/>
  <c r="AT55" i="20" s="1"/>
  <c r="AR55" i="20"/>
  <c r="AP52" i="20"/>
  <c r="AQ52" i="20"/>
  <c r="AR52" i="20"/>
  <c r="AQ49" i="20"/>
  <c r="AR49" i="20"/>
  <c r="O49" i="20"/>
  <c r="AT49" i="20" s="1"/>
  <c r="AQ46" i="20"/>
  <c r="AR46" i="20"/>
  <c r="AO46" i="20"/>
  <c r="O46" i="20"/>
  <c r="P46" i="20" s="1"/>
  <c r="AU46" i="20" s="1"/>
  <c r="AO43" i="20"/>
  <c r="AP43" i="20"/>
  <c r="O43" i="20"/>
  <c r="AT43" i="20" s="1"/>
  <c r="AR40" i="20"/>
  <c r="AO40" i="20"/>
  <c r="O40" i="20"/>
  <c r="P40" i="20" s="1"/>
  <c r="AU40" i="20" s="1"/>
  <c r="AR37" i="20"/>
  <c r="O37" i="20"/>
  <c r="P37" i="20" s="1"/>
  <c r="AU37" i="20" s="1"/>
  <c r="AQ37" i="20"/>
  <c r="AR34" i="20"/>
  <c r="O34" i="20"/>
  <c r="AT34" i="20" s="1"/>
  <c r="AO34" i="20"/>
  <c r="AQ31" i="20"/>
  <c r="AR31" i="20"/>
  <c r="O31" i="20"/>
  <c r="AT31" i="20" s="1"/>
  <c r="AP28" i="20"/>
  <c r="AQ28" i="20"/>
  <c r="AR28" i="20"/>
  <c r="AP25" i="20"/>
  <c r="AQ25" i="20"/>
  <c r="AR25" i="20"/>
  <c r="O25" i="20"/>
  <c r="AT25" i="20" s="1"/>
  <c r="AO22" i="20"/>
  <c r="O22" i="20"/>
  <c r="P22" i="20" s="1"/>
  <c r="AU22" i="20" s="1"/>
  <c r="AP22" i="20"/>
  <c r="AO19" i="20"/>
  <c r="AP19" i="20"/>
  <c r="AQ19" i="20"/>
  <c r="AR16" i="20"/>
  <c r="AO16" i="20"/>
  <c r="O16" i="20"/>
  <c r="AT16" i="20" s="1"/>
  <c r="AY12" i="20"/>
  <c r="AY14" i="20"/>
  <c r="AY16" i="20"/>
  <c r="AY18" i="20"/>
  <c r="AY20" i="20"/>
  <c r="AY22" i="20"/>
  <c r="AY24" i="20"/>
  <c r="AY26" i="20"/>
  <c r="AY48" i="20"/>
  <c r="AY56" i="20"/>
  <c r="AY58" i="20"/>
  <c r="AY62" i="20"/>
  <c r="AY64" i="20"/>
  <c r="AY66" i="20"/>
  <c r="AY72" i="20"/>
  <c r="AY80" i="20"/>
  <c r="AY88" i="20"/>
  <c r="AY102" i="20"/>
  <c r="AY106" i="20"/>
  <c r="AY112" i="20"/>
  <c r="AY118" i="20"/>
  <c r="AY128" i="20"/>
  <c r="AY134" i="20"/>
  <c r="AY138" i="20"/>
  <c r="AY142" i="20"/>
  <c r="AY144" i="20"/>
  <c r="AY148" i="20"/>
  <c r="AY154" i="20"/>
  <c r="AY174" i="20"/>
  <c r="AY178" i="20"/>
  <c r="AY184" i="20"/>
  <c r="AY190" i="20"/>
  <c r="AY206" i="20"/>
  <c r="AY210" i="20"/>
  <c r="AY216" i="20"/>
  <c r="AY220" i="20"/>
  <c r="AY226" i="20"/>
  <c r="AY232" i="20"/>
  <c r="AY234" i="20"/>
  <c r="AY240" i="20"/>
  <c r="AY246" i="20"/>
  <c r="AY254" i="20"/>
  <c r="AY59" i="20"/>
  <c r="AY63" i="20"/>
  <c r="AY67" i="20"/>
  <c r="AY71" i="20"/>
  <c r="AY75" i="20"/>
  <c r="AY79" i="20"/>
  <c r="AY83" i="20"/>
  <c r="AY87" i="20"/>
  <c r="AY91" i="20"/>
  <c r="AY95" i="20"/>
  <c r="AY99" i="20"/>
  <c r="AY103" i="20"/>
  <c r="AY107" i="20"/>
  <c r="AY111" i="20"/>
  <c r="AY115" i="20"/>
  <c r="AY119" i="20"/>
  <c r="AY123" i="20"/>
  <c r="AY127" i="20"/>
  <c r="AY131" i="20"/>
  <c r="AY135" i="20"/>
  <c r="AY139" i="20"/>
  <c r="AY143" i="20"/>
  <c r="AY147" i="20"/>
  <c r="AY151" i="20"/>
  <c r="AY155" i="20"/>
  <c r="AY159" i="20"/>
  <c r="AY163" i="20"/>
  <c r="AY167" i="20"/>
  <c r="AL140" i="20"/>
  <c r="AZ15" i="20"/>
  <c r="AZ21" i="20"/>
  <c r="AZ23" i="20"/>
  <c r="AZ41" i="20"/>
  <c r="AZ43" i="20"/>
  <c r="AZ47" i="20"/>
  <c r="AZ49" i="20"/>
  <c r="AZ53" i="20"/>
  <c r="AZ55" i="20"/>
  <c r="AZ59" i="20"/>
  <c r="AZ61" i="20"/>
  <c r="AZ65" i="20"/>
  <c r="AZ67" i="20"/>
  <c r="AZ71" i="20"/>
  <c r="AZ73" i="20"/>
  <c r="AZ77" i="20"/>
  <c r="AZ79" i="20"/>
  <c r="AZ83" i="20"/>
  <c r="AZ85" i="20"/>
  <c r="AZ89" i="20"/>
  <c r="AZ91" i="20"/>
  <c r="AZ95" i="20"/>
  <c r="AZ97" i="20"/>
  <c r="AZ101" i="20"/>
  <c r="AZ103" i="20"/>
  <c r="AZ107" i="20"/>
  <c r="AZ109" i="20"/>
  <c r="AZ113" i="20"/>
  <c r="AZ115" i="20"/>
  <c r="AZ121" i="20"/>
  <c r="AZ125" i="20"/>
  <c r="AZ127" i="20"/>
  <c r="AZ131" i="20"/>
  <c r="AZ133" i="20"/>
  <c r="AZ137" i="20"/>
  <c r="AZ139" i="20"/>
  <c r="AZ143" i="20"/>
  <c r="AZ145" i="20"/>
  <c r="AZ151" i="20"/>
  <c r="AZ155" i="20"/>
  <c r="AZ157" i="20"/>
  <c r="AZ161" i="20"/>
  <c r="AZ163" i="20"/>
  <c r="AZ167" i="20"/>
  <c r="AZ169" i="20"/>
  <c r="AZ175" i="20"/>
  <c r="AZ179" i="20"/>
  <c r="AZ181" i="20"/>
  <c r="AZ185" i="20"/>
  <c r="AZ187" i="20"/>
  <c r="AZ191" i="20"/>
  <c r="AZ193" i="20"/>
  <c r="AZ197" i="20"/>
  <c r="AZ199" i="20"/>
  <c r="AZ203" i="20"/>
  <c r="AZ209" i="20"/>
  <c r="AZ211" i="20"/>
  <c r="AZ215" i="20"/>
  <c r="AZ217" i="20"/>
  <c r="AZ221" i="20"/>
  <c r="AZ223" i="20"/>
  <c r="AZ227" i="20"/>
  <c r="AZ229" i="20"/>
  <c r="AZ233" i="20"/>
  <c r="AZ235" i="20"/>
  <c r="AZ239" i="20"/>
  <c r="AZ241" i="20"/>
  <c r="AZ245" i="20"/>
  <c r="AZ247" i="20"/>
  <c r="AZ251" i="20"/>
  <c r="AZ253" i="20"/>
  <c r="AZ257" i="20"/>
  <c r="AZ259" i="20"/>
  <c r="AL115" i="20"/>
  <c r="AL109" i="20"/>
  <c r="AL79" i="20"/>
  <c r="AL73" i="20"/>
  <c r="AZ12" i="20"/>
  <c r="AZ14" i="20"/>
  <c r="AZ16" i="20"/>
  <c r="AZ18" i="20"/>
  <c r="AZ20" i="20"/>
  <c r="AZ22" i="20"/>
  <c r="AZ24" i="20"/>
  <c r="AZ26" i="20"/>
  <c r="AZ44" i="20"/>
  <c r="AZ46" i="20"/>
  <c r="AZ48" i="20"/>
  <c r="AZ50" i="20"/>
  <c r="AZ52" i="20"/>
  <c r="AZ54" i="20"/>
  <c r="AZ56" i="20"/>
  <c r="AZ58" i="20"/>
  <c r="AZ60" i="20"/>
  <c r="AZ66" i="20"/>
  <c r="AZ68" i="20"/>
  <c r="AZ70" i="20"/>
  <c r="AZ72" i="20"/>
  <c r="AZ74" i="20"/>
  <c r="AZ76" i="20"/>
  <c r="AZ82" i="20"/>
  <c r="AZ84" i="20"/>
  <c r="AZ86" i="20"/>
  <c r="AZ88" i="20"/>
  <c r="AZ90" i="20"/>
  <c r="AZ92" i="20"/>
  <c r="AZ94" i="20"/>
  <c r="AZ96" i="20"/>
  <c r="AZ98" i="20"/>
  <c r="AZ102" i="20"/>
  <c r="AZ104" i="20"/>
  <c r="AZ108" i="20"/>
  <c r="AZ110" i="20"/>
  <c r="AZ112" i="20"/>
  <c r="AZ114" i="20"/>
  <c r="AZ116" i="20"/>
  <c r="AZ118" i="20"/>
  <c r="AZ120" i="20"/>
  <c r="AZ122" i="20"/>
  <c r="AZ124" i="20"/>
  <c r="AZ126" i="20"/>
  <c r="AZ128" i="20"/>
  <c r="AZ130" i="20"/>
  <c r="AZ132" i="20"/>
  <c r="AZ134" i="20"/>
  <c r="AZ136" i="20"/>
  <c r="AZ138" i="20"/>
  <c r="AZ140" i="20"/>
  <c r="AZ142" i="20"/>
  <c r="AZ144" i="20"/>
  <c r="AZ146" i="20"/>
  <c r="AZ148" i="20"/>
  <c r="AZ152" i="20"/>
  <c r="AZ154" i="20"/>
  <c r="AZ156" i="20"/>
  <c r="AZ158" i="20"/>
  <c r="AZ160" i="20"/>
  <c r="AZ162" i="20"/>
  <c r="AZ164" i="20"/>
  <c r="AZ166" i="20"/>
  <c r="AZ168" i="20"/>
  <c r="AZ170" i="20"/>
  <c r="AZ174" i="20"/>
  <c r="AZ176" i="20"/>
  <c r="AZ178" i="20"/>
  <c r="AZ180" i="20"/>
  <c r="AZ182" i="20"/>
  <c r="AZ184" i="20"/>
  <c r="AZ188" i="20"/>
  <c r="AZ190" i="20"/>
  <c r="AZ192" i="20"/>
  <c r="AZ194" i="20"/>
  <c r="AZ196" i="20"/>
  <c r="AZ198" i="20"/>
  <c r="AZ200" i="20"/>
  <c r="AZ202" i="20"/>
  <c r="AZ204" i="20"/>
  <c r="AZ206" i="20"/>
  <c r="AZ210" i="20"/>
  <c r="AZ212" i="20"/>
  <c r="AZ214" i="20"/>
  <c r="AZ216" i="20"/>
  <c r="AZ218" i="20"/>
  <c r="AZ220" i="20"/>
  <c r="AZ222" i="20"/>
  <c r="AZ224" i="20"/>
  <c r="AZ226" i="20"/>
  <c r="AZ228" i="20"/>
  <c r="AZ230" i="20"/>
  <c r="AZ232" i="20"/>
  <c r="AZ234" i="20"/>
  <c r="AZ236" i="20"/>
  <c r="AZ238" i="20"/>
  <c r="AZ240" i="20"/>
  <c r="AZ242" i="20"/>
  <c r="AZ244" i="20"/>
  <c r="AZ246" i="20"/>
  <c r="AZ248" i="20"/>
  <c r="AZ250" i="20"/>
  <c r="AZ252" i="20"/>
  <c r="AZ254" i="20"/>
  <c r="AZ256" i="20"/>
  <c r="AZ260" i="20"/>
  <c r="AL150" i="20"/>
  <c r="AL144" i="20"/>
  <c r="AL120" i="20"/>
  <c r="BA12" i="20"/>
  <c r="BA14" i="20"/>
  <c r="BA16" i="20"/>
  <c r="BA20" i="20"/>
  <c r="BA22" i="20"/>
  <c r="BA26" i="20"/>
  <c r="AL155" i="20"/>
  <c r="AL149" i="20"/>
  <c r="AL131" i="20"/>
  <c r="AL125" i="20"/>
  <c r="AL95" i="20"/>
  <c r="AL89" i="20"/>
  <c r="AL59" i="20"/>
  <c r="AL41" i="20"/>
  <c r="AY171" i="20"/>
  <c r="AY175" i="20"/>
  <c r="AY179" i="20"/>
  <c r="AY183" i="20"/>
  <c r="AY187" i="20"/>
  <c r="AY191" i="20"/>
  <c r="AY195" i="20"/>
  <c r="AY199" i="20"/>
  <c r="AY203" i="20"/>
  <c r="AY207" i="20"/>
  <c r="AY211" i="20"/>
  <c r="AY215" i="20"/>
  <c r="AY219" i="20"/>
  <c r="AY223" i="20"/>
  <c r="AY227" i="20"/>
  <c r="AY231" i="20"/>
  <c r="AY235" i="20"/>
  <c r="AY239" i="20"/>
  <c r="AY243" i="20"/>
  <c r="AY247" i="20"/>
  <c r="AY251" i="20"/>
  <c r="AL160" i="20"/>
  <c r="AL136" i="20"/>
  <c r="AL130" i="20"/>
  <c r="AL100" i="20"/>
  <c r="AL94" i="20"/>
  <c r="AL64" i="20"/>
  <c r="AL58" i="20"/>
  <c r="AL40" i="20"/>
  <c r="AL135" i="20"/>
  <c r="AL105" i="20"/>
  <c r="AL99" i="20"/>
  <c r="AL69" i="20"/>
  <c r="AL63" i="20"/>
  <c r="AL15" i="20"/>
  <c r="O13" i="20"/>
  <c r="AT13" i="20" s="1"/>
  <c r="AO13" i="20"/>
  <c r="AP13" i="20"/>
  <c r="BB12" i="20"/>
  <c r="BB256" i="20"/>
  <c r="BB250" i="20"/>
  <c r="BB244" i="20"/>
  <c r="BB238" i="20"/>
  <c r="BB232" i="20"/>
  <c r="BB226" i="20"/>
  <c r="BB220" i="20"/>
  <c r="BB214" i="20"/>
  <c r="BB208" i="20"/>
  <c r="BB202" i="20"/>
  <c r="BB196" i="20"/>
  <c r="BB190" i="20"/>
  <c r="BB184" i="20"/>
  <c r="BB178" i="20"/>
  <c r="BB172" i="20"/>
  <c r="BB166" i="20"/>
  <c r="BB160" i="20"/>
  <c r="BB154" i="20"/>
  <c r="BB148" i="20"/>
  <c r="BB142" i="20"/>
  <c r="BB136" i="20"/>
  <c r="BB130" i="20"/>
  <c r="BB124" i="20"/>
  <c r="BB118" i="20"/>
  <c r="BB112" i="20"/>
  <c r="BB106" i="20"/>
  <c r="BB100" i="20"/>
  <c r="BB94" i="20"/>
  <c r="BB88" i="20"/>
  <c r="BB82" i="20"/>
  <c r="BB76" i="20"/>
  <c r="BB70" i="20"/>
  <c r="BB64" i="20"/>
  <c r="BB58" i="20"/>
  <c r="BB52" i="20"/>
  <c r="BB46" i="20"/>
  <c r="AL114" i="20"/>
  <c r="AL108" i="20"/>
  <c r="AL102" i="20"/>
  <c r="AL96" i="20"/>
  <c r="AL90" i="20"/>
  <c r="AL84" i="20"/>
  <c r="AL78" i="20"/>
  <c r="AL72" i="20"/>
  <c r="AL66" i="20"/>
  <c r="AL60" i="20"/>
  <c r="AL54" i="20"/>
  <c r="AL48" i="20"/>
  <c r="AL42" i="20"/>
  <c r="AL36" i="20"/>
  <c r="AL30" i="20"/>
  <c r="AL24" i="20"/>
  <c r="AL18" i="20"/>
  <c r="AK38" i="14"/>
  <c r="BC38" i="20" s="1"/>
  <c r="AK34" i="14"/>
  <c r="BC34" i="20" s="1"/>
  <c r="BB254" i="20"/>
  <c r="BB242" i="20"/>
  <c r="BB230" i="20"/>
  <c r="BB218" i="20"/>
  <c r="BB206" i="20"/>
  <c r="BB194" i="20"/>
  <c r="BB182" i="20"/>
  <c r="BB170" i="20"/>
  <c r="BB158" i="20"/>
  <c r="BB146" i="20"/>
  <c r="BB134" i="20"/>
  <c r="BB122" i="20"/>
  <c r="BB98" i="20"/>
  <c r="BB86" i="20"/>
  <c r="BB74" i="20"/>
  <c r="BB62" i="20"/>
  <c r="BB56" i="20"/>
  <c r="BB50" i="20"/>
  <c r="AN37" i="20"/>
  <c r="AN252" i="20"/>
  <c r="AN240" i="20"/>
  <c r="AN234" i="20"/>
  <c r="AN216" i="20"/>
  <c r="AN204" i="20"/>
  <c r="AN192" i="20"/>
  <c r="AN180" i="20"/>
  <c r="AN126" i="20"/>
  <c r="AN72" i="20"/>
  <c r="BB25" i="20"/>
  <c r="BB13" i="20"/>
  <c r="AN257" i="20"/>
  <c r="AN245" i="20"/>
  <c r="AN239" i="20"/>
  <c r="AN233" i="20"/>
  <c r="AN227" i="20"/>
  <c r="AN209" i="20"/>
  <c r="AN197" i="20"/>
  <c r="AN179" i="20"/>
  <c r="AN101" i="20"/>
  <c r="AN83" i="20"/>
  <c r="O71" i="20"/>
  <c r="P71" i="20" s="1"/>
  <c r="AU71" i="20" s="1"/>
  <c r="AN65" i="20"/>
  <c r="AN190" i="20"/>
  <c r="AN178" i="20"/>
  <c r="AN100" i="20"/>
  <c r="AN88" i="20"/>
  <c r="AN76" i="20"/>
  <c r="AN261" i="20"/>
  <c r="AN255" i="20"/>
  <c r="AN243" i="20"/>
  <c r="AN237" i="20"/>
  <c r="AN225" i="20"/>
  <c r="AN213" i="20"/>
  <c r="AN201" i="20"/>
  <c r="AN195" i="20"/>
  <c r="AN177" i="20"/>
  <c r="AN159" i="20"/>
  <c r="AN129" i="20"/>
  <c r="BB255" i="20"/>
  <c r="BB249" i="20"/>
  <c r="BB243" i="20"/>
  <c r="BB237" i="20"/>
  <c r="BB231" i="20"/>
  <c r="BB225" i="20"/>
  <c r="BB219" i="20"/>
  <c r="BB213" i="20"/>
  <c r="BB207" i="20"/>
  <c r="BB201" i="20"/>
  <c r="BB195" i="20"/>
  <c r="BB189" i="20"/>
  <c r="BB183" i="20"/>
  <c r="BB177" i="20"/>
  <c r="BB171" i="20"/>
  <c r="BB165" i="20"/>
  <c r="BB159" i="20"/>
  <c r="BB153" i="20"/>
  <c r="BB147" i="20"/>
  <c r="BB141" i="20"/>
  <c r="BB135" i="20"/>
  <c r="BB129" i="20"/>
  <c r="BB123" i="20"/>
  <c r="BB117" i="20"/>
  <c r="BB111" i="20"/>
  <c r="BB105" i="20"/>
  <c r="BB99" i="20"/>
  <c r="BB93" i="20"/>
  <c r="BB87" i="20"/>
  <c r="BB81" i="20"/>
  <c r="BB75" i="20"/>
  <c r="BB69" i="20"/>
  <c r="BB63" i="20"/>
  <c r="BB57" i="20"/>
  <c r="BB51" i="20"/>
  <c r="BB45" i="20"/>
  <c r="BB21" i="20"/>
  <c r="BB44" i="20"/>
  <c r="BB32" i="20"/>
  <c r="BB26" i="20"/>
  <c r="BB14" i="20"/>
  <c r="AN259" i="20"/>
  <c r="AN253" i="20"/>
  <c r="AN247" i="20"/>
  <c r="AN241" i="20"/>
  <c r="AN217" i="20"/>
  <c r="AN211" i="20"/>
  <c r="AN205" i="20"/>
  <c r="AN199" i="20"/>
  <c r="AN187" i="20"/>
  <c r="AN181" i="20"/>
  <c r="AN175" i="20"/>
  <c r="AN169" i="20"/>
  <c r="AN163" i="20"/>
  <c r="O151" i="20"/>
  <c r="P151" i="20" s="1"/>
  <c r="AU151" i="20" s="1"/>
  <c r="AN127" i="20"/>
  <c r="AN121" i="20"/>
  <c r="AN115" i="20"/>
  <c r="AN109" i="20"/>
  <c r="AN103" i="20"/>
  <c r="AN97" i="20"/>
  <c r="AN91" i="20"/>
  <c r="AN85" i="20"/>
  <c r="AN79" i="20"/>
  <c r="AN73" i="20"/>
  <c r="AN67" i="20"/>
  <c r="AN55" i="20"/>
  <c r="AN49" i="20"/>
  <c r="AN31" i="20"/>
  <c r="AN13" i="20"/>
  <c r="AN47" i="20"/>
  <c r="AN41" i="20"/>
  <c r="AN29" i="20"/>
  <c r="AN105" i="20"/>
  <c r="AN99" i="20"/>
  <c r="AN93" i="20"/>
  <c r="AN81" i="20"/>
  <c r="AN75" i="20"/>
  <c r="AN63" i="20"/>
  <c r="AN51" i="20"/>
  <c r="AN16" i="20"/>
  <c r="AZ205" i="20"/>
  <c r="AZ173" i="20"/>
  <c r="AZ149" i="20"/>
  <c r="AZ119" i="20"/>
  <c r="AZ17" i="20"/>
  <c r="AJ23" i="20"/>
  <c r="AJ41" i="20"/>
  <c r="AJ47" i="20"/>
  <c r="AJ53" i="20"/>
  <c r="AJ59" i="20"/>
  <c r="AJ65" i="20"/>
  <c r="AJ71" i="20"/>
  <c r="AJ77" i="20"/>
  <c r="AJ83" i="20"/>
  <c r="AJ89" i="20"/>
  <c r="AJ95" i="20"/>
  <c r="AJ101" i="20"/>
  <c r="AJ107" i="20"/>
  <c r="AJ113" i="20"/>
  <c r="AJ125" i="20"/>
  <c r="AJ131" i="20"/>
  <c r="AJ137" i="20"/>
  <c r="AJ143" i="20"/>
  <c r="AJ155" i="20"/>
  <c r="AJ161" i="20"/>
  <c r="AJ167" i="20"/>
  <c r="AJ179" i="20"/>
  <c r="AJ185" i="20"/>
  <c r="AJ191" i="20"/>
  <c r="AJ197" i="20"/>
  <c r="AJ203" i="20"/>
  <c r="AJ209" i="20"/>
  <c r="AJ215" i="20"/>
  <c r="AJ221" i="20"/>
  <c r="AJ227" i="20"/>
  <c r="AJ233" i="20"/>
  <c r="AJ239" i="20"/>
  <c r="AT193" i="20"/>
  <c r="AT169" i="20"/>
  <c r="AT121" i="20"/>
  <c r="BA179" i="20"/>
  <c r="BA215" i="20"/>
  <c r="BA209" i="20"/>
  <c r="AJ195" i="20"/>
  <c r="AJ106" i="20"/>
  <c r="AJ183" i="20"/>
  <c r="AJ117" i="20"/>
  <c r="AJ243" i="20"/>
  <c r="AJ231" i="20"/>
  <c r="AJ171" i="20"/>
  <c r="AJ87" i="20"/>
  <c r="AJ213" i="20"/>
  <c r="AJ45" i="20"/>
  <c r="AJ51" i="20"/>
  <c r="AJ57" i="20"/>
  <c r="AJ63" i="20"/>
  <c r="AJ69" i="20"/>
  <c r="AJ75" i="20"/>
  <c r="AJ81" i="20"/>
  <c r="AJ93" i="20"/>
  <c r="AJ99" i="20"/>
  <c r="AJ105" i="20"/>
  <c r="AJ111" i="20"/>
  <c r="AJ123" i="20"/>
  <c r="AJ129" i="20"/>
  <c r="AJ135" i="20"/>
  <c r="AJ147" i="20"/>
  <c r="AJ153" i="20"/>
  <c r="AJ159" i="20"/>
  <c r="AJ165" i="20"/>
  <c r="AJ177" i="20"/>
  <c r="AJ189" i="20"/>
  <c r="AJ201" i="20"/>
  <c r="AJ207" i="20"/>
  <c r="AJ219" i="20"/>
  <c r="AJ225" i="20"/>
  <c r="AJ237" i="20"/>
  <c r="AJ249" i="20"/>
  <c r="AJ255" i="20"/>
  <c r="AJ80" i="20"/>
  <c r="AZ80" i="20"/>
  <c r="AJ62" i="20"/>
  <c r="AZ62" i="20"/>
  <c r="BB260" i="20"/>
  <c r="BB248" i="20"/>
  <c r="BB212" i="20"/>
  <c r="BB200" i="20"/>
  <c r="BB188" i="20"/>
  <c r="BB176" i="20"/>
  <c r="BB164" i="20"/>
  <c r="BB152" i="20"/>
  <c r="BB128" i="20"/>
  <c r="BB116" i="20"/>
  <c r="BB104" i="20"/>
  <c r="BB92" i="20"/>
  <c r="BB80" i="20"/>
  <c r="BB68" i="20"/>
  <c r="BB38" i="20"/>
  <c r="BB20" i="20"/>
  <c r="AZ106" i="20"/>
  <c r="BB224" i="20"/>
  <c r="BB235" i="20"/>
  <c r="BB181" i="20"/>
  <c r="BB145" i="20"/>
  <c r="BB139" i="20"/>
  <c r="AJ139" i="20"/>
  <c r="BB169" i="20"/>
  <c r="BB236" i="20"/>
  <c r="AN61" i="20"/>
  <c r="AJ44" i="20"/>
  <c r="AJ50" i="20"/>
  <c r="AJ68" i="20"/>
  <c r="AJ86" i="20"/>
  <c r="AJ92" i="20"/>
  <c r="AJ98" i="20"/>
  <c r="AY98" i="20"/>
  <c r="AJ104" i="20"/>
  <c r="AJ110" i="20"/>
  <c r="AJ116" i="20"/>
  <c r="AJ122" i="20"/>
  <c r="AJ128" i="20"/>
  <c r="AJ140" i="20"/>
  <c r="AJ146" i="20"/>
  <c r="AJ152" i="20"/>
  <c r="AJ158" i="20"/>
  <c r="AJ164" i="20"/>
  <c r="AJ176" i="20"/>
  <c r="AJ182" i="20"/>
  <c r="AJ188" i="20"/>
  <c r="AJ194" i="20"/>
  <c r="AJ200" i="20"/>
  <c r="AJ206" i="20"/>
  <c r="AJ212" i="20"/>
  <c r="AJ218" i="20"/>
  <c r="AJ224" i="20"/>
  <c r="AJ230" i="20"/>
  <c r="AJ236" i="20"/>
  <c r="AY236" i="20"/>
  <c r="AJ242" i="20"/>
  <c r="AJ248" i="20"/>
  <c r="AJ260" i="20"/>
  <c r="BB140" i="20"/>
  <c r="AJ27" i="20"/>
  <c r="AY44" i="20"/>
  <c r="AJ229" i="20"/>
  <c r="AJ170" i="20"/>
  <c r="AJ134" i="20"/>
  <c r="AJ64" i="20"/>
  <c r="AJ19" i="20"/>
  <c r="AJ61" i="20"/>
  <c r="AJ234" i="20"/>
  <c r="AY242" i="20"/>
  <c r="AY164" i="20"/>
  <c r="AJ259" i="20"/>
  <c r="AJ226" i="20"/>
  <c r="AJ193" i="20"/>
  <c r="AJ163" i="20"/>
  <c r="AJ97" i="20"/>
  <c r="AJ58" i="20"/>
  <c r="BB19" i="20"/>
  <c r="AJ256" i="20"/>
  <c r="AJ217" i="20"/>
  <c r="AJ88" i="20"/>
  <c r="AJ13" i="20"/>
  <c r="AY200" i="20"/>
  <c r="AY92" i="20"/>
  <c r="AJ247" i="20"/>
  <c r="AJ178" i="20"/>
  <c r="AJ142" i="20"/>
  <c r="AJ85" i="20"/>
  <c r="AJ25" i="20"/>
  <c r="AJ30" i="20"/>
  <c r="AJ12" i="20"/>
  <c r="AJ14" i="20"/>
  <c r="AJ18" i="20"/>
  <c r="AJ20" i="20"/>
  <c r="AJ24" i="20"/>
  <c r="AJ26" i="20"/>
  <c r="AJ36" i="20"/>
  <c r="AJ43" i="20"/>
  <c r="AJ49" i="20"/>
  <c r="AJ55" i="20"/>
  <c r="AJ67" i="20"/>
  <c r="AJ73" i="20"/>
  <c r="AJ79" i="20"/>
  <c r="AJ91" i="20"/>
  <c r="AJ103" i="20"/>
  <c r="AJ109" i="20"/>
  <c r="AJ115" i="20"/>
  <c r="AJ121" i="20"/>
  <c r="AJ127" i="20"/>
  <c r="AJ133" i="20"/>
  <c r="AJ145" i="20"/>
  <c r="AJ151" i="20"/>
  <c r="AJ157" i="20"/>
  <c r="AJ245" i="20"/>
  <c r="AJ251" i="20"/>
  <c r="AJ257" i="20"/>
  <c r="BB30" i="20"/>
  <c r="AJ181" i="20"/>
  <c r="AZ36" i="20"/>
  <c r="AN14" i="20"/>
  <c r="AZ28" i="20"/>
  <c r="AJ28" i="20"/>
  <c r="AJ34" i="20"/>
  <c r="AZ34" i="20"/>
  <c r="AY38" i="20"/>
  <c r="AJ38" i="20"/>
  <c r="BA169" i="20"/>
  <c r="AJ169" i="20"/>
  <c r="AJ175" i="20"/>
  <c r="BA175" i="20"/>
  <c r="AJ187" i="20"/>
  <c r="BA187" i="20"/>
  <c r="AJ199" i="20"/>
  <c r="BA199" i="20"/>
  <c r="BA211" i="20"/>
  <c r="AJ211" i="20"/>
  <c r="AJ223" i="20"/>
  <c r="BA223" i="20"/>
  <c r="AJ235" i="20"/>
  <c r="BA235" i="20"/>
  <c r="BA241" i="20"/>
  <c r="AJ241" i="20"/>
  <c r="AJ253" i="20"/>
  <c r="BA253" i="20"/>
  <c r="BB234" i="20"/>
  <c r="AJ66" i="20"/>
  <c r="AJ72" i="20"/>
  <c r="AJ78" i="20"/>
  <c r="AJ84" i="20"/>
  <c r="AJ90" i="20"/>
  <c r="AJ96" i="20"/>
  <c r="AJ102" i="20"/>
  <c r="AJ108" i="20"/>
  <c r="AJ114" i="20"/>
  <c r="AJ120" i="20"/>
  <c r="AJ126" i="20"/>
  <c r="AJ132" i="20"/>
  <c r="AJ138" i="20"/>
  <c r="AJ144" i="20"/>
  <c r="AJ150" i="20"/>
  <c r="AJ156" i="20"/>
  <c r="AJ162" i="20"/>
  <c r="AJ168" i="20"/>
  <c r="AJ174" i="20"/>
  <c r="AJ180" i="20"/>
  <c r="AJ186" i="20"/>
  <c r="AJ192" i="20"/>
  <c r="AJ198" i="20"/>
  <c r="AJ204" i="20"/>
  <c r="AJ210" i="20"/>
  <c r="AJ216" i="20"/>
  <c r="AJ222" i="20"/>
  <c r="AJ228" i="20"/>
  <c r="AJ246" i="20"/>
  <c r="AJ252" i="20"/>
  <c r="AJ258" i="20"/>
  <c r="BB31" i="20"/>
  <c r="AJ37" i="20"/>
  <c r="AJ39" i="20"/>
  <c r="AJ21" i="20"/>
  <c r="BL57" i="20"/>
  <c r="AT151" i="20"/>
  <c r="AN57" i="20"/>
  <c r="AN207" i="20"/>
  <c r="P169" i="20"/>
  <c r="AU169" i="20" s="1"/>
  <c r="AN231" i="20"/>
  <c r="P146" i="20"/>
  <c r="AU146" i="20" s="1"/>
  <c r="AN196" i="20"/>
  <c r="AN219" i="20"/>
  <c r="AN249" i="20"/>
  <c r="AN39" i="20"/>
  <c r="AN165" i="20"/>
  <c r="AN123" i="20"/>
  <c r="AN45" i="20"/>
  <c r="AN15" i="20"/>
  <c r="Q183" i="14"/>
  <c r="I183" i="20" s="1"/>
  <c r="P193" i="20"/>
  <c r="AU193" i="20" s="1"/>
  <c r="P121" i="20"/>
  <c r="AU121" i="20" s="1"/>
  <c r="AN38" i="20"/>
  <c r="AT238" i="20"/>
  <c r="AT159" i="20"/>
  <c r="AN27" i="20"/>
  <c r="AT196" i="20"/>
  <c r="AN172" i="20"/>
  <c r="AN166" i="20"/>
  <c r="AN106" i="20"/>
  <c r="AN94" i="20"/>
  <c r="AN34" i="20"/>
  <c r="AN256" i="20"/>
  <c r="AN220" i="20"/>
  <c r="AN202" i="20"/>
  <c r="AN58" i="20"/>
  <c r="AN52" i="20"/>
  <c r="AN17" i="20"/>
  <c r="AN244" i="20"/>
  <c r="AN226" i="20"/>
  <c r="AN208" i="20"/>
  <c r="AN184" i="20"/>
  <c r="AN136" i="20"/>
  <c r="AN124" i="20"/>
  <c r="AN112" i="20"/>
  <c r="AN82" i="20"/>
  <c r="AT220" i="20"/>
  <c r="AT226" i="20"/>
  <c r="AN26" i="20"/>
  <c r="Q238" i="14"/>
  <c r="I238" i="20" s="1"/>
  <c r="AT130" i="20"/>
  <c r="AT203" i="20"/>
  <c r="AN89" i="20"/>
  <c r="AN167" i="20"/>
  <c r="AN77" i="20"/>
  <c r="P130" i="20"/>
  <c r="AU130" i="20" s="1"/>
  <c r="AT71" i="20"/>
  <c r="AN18" i="20"/>
  <c r="AN113" i="20"/>
  <c r="AT210" i="20"/>
  <c r="AT90" i="20"/>
  <c r="AN222" i="20"/>
  <c r="AN60" i="20"/>
  <c r="AN119" i="20"/>
  <c r="AN95" i="20"/>
  <c r="AN102" i="20"/>
  <c r="AN54" i="20"/>
  <c r="AN251" i="20"/>
  <c r="AN191" i="20"/>
  <c r="AN132" i="20"/>
  <c r="AN42" i="20"/>
  <c r="AN221" i="20"/>
  <c r="AN173" i="20"/>
  <c r="AN189" i="20"/>
  <c r="AT218" i="20"/>
  <c r="P218" i="20"/>
  <c r="AU218" i="20" s="1"/>
  <c r="AV218" i="20" s="1"/>
  <c r="Q48" i="14"/>
  <c r="I48" i="20" s="1"/>
  <c r="AT202" i="20"/>
  <c r="P202" i="20"/>
  <c r="AU202" i="20" s="1"/>
  <c r="AT28" i="20"/>
  <c r="P28" i="20"/>
  <c r="AU28" i="20" s="1"/>
  <c r="AJ32" i="20"/>
  <c r="BA32" i="20"/>
  <c r="AY42" i="20"/>
  <c r="AJ42" i="20"/>
  <c r="AJ46" i="20"/>
  <c r="AY46" i="20"/>
  <c r="AJ52" i="20"/>
  <c r="AY52" i="20"/>
  <c r="AY54" i="20"/>
  <c r="AJ54" i="20"/>
  <c r="AY70" i="20"/>
  <c r="AJ70" i="20"/>
  <c r="AJ76" i="20"/>
  <c r="AY76" i="20"/>
  <c r="AJ82" i="20"/>
  <c r="AY82" i="20"/>
  <c r="AJ94" i="20"/>
  <c r="AY94" i="20"/>
  <c r="AJ100" i="20"/>
  <c r="AY100" i="20"/>
  <c r="AY124" i="20"/>
  <c r="AJ124" i="20"/>
  <c r="AJ130" i="20"/>
  <c r="AY130" i="20"/>
  <c r="AJ136" i="20"/>
  <c r="AY136" i="20"/>
  <c r="AY160" i="20"/>
  <c r="AJ160" i="20"/>
  <c r="AJ166" i="20"/>
  <c r="AY166" i="20"/>
  <c r="AJ172" i="20"/>
  <c r="AY172" i="20"/>
  <c r="AY196" i="20"/>
  <c r="AJ196" i="20"/>
  <c r="AJ202" i="20"/>
  <c r="AY202" i="20"/>
  <c r="AJ208" i="20"/>
  <c r="AY208" i="20"/>
  <c r="AJ214" i="20"/>
  <c r="AY214" i="20"/>
  <c r="AY238" i="20"/>
  <c r="AJ238" i="20"/>
  <c r="AJ244" i="20"/>
  <c r="AY244" i="20"/>
  <c r="AJ250" i="20"/>
  <c r="AY250" i="20"/>
  <c r="Q131" i="14"/>
  <c r="I131" i="20" s="1"/>
  <c r="AN53" i="20"/>
  <c r="Q84" i="14"/>
  <c r="I84" i="20" s="1"/>
  <c r="AN30" i="20"/>
  <c r="AY258" i="20"/>
  <c r="AY248" i="20"/>
  <c r="AY222" i="20"/>
  <c r="AY212" i="20"/>
  <c r="AY186" i="20"/>
  <c r="AY176" i="20"/>
  <c r="AY150" i="20"/>
  <c r="AY140" i="20"/>
  <c r="AY114" i="20"/>
  <c r="AY104" i="20"/>
  <c r="AY78" i="20"/>
  <c r="AY68" i="20"/>
  <c r="AN50" i="20"/>
  <c r="Q90" i="14"/>
  <c r="I90" i="20" s="1"/>
  <c r="Q210" i="14"/>
  <c r="I210" i="20" s="1"/>
  <c r="AN224" i="20"/>
  <c r="AJ254" i="20"/>
  <c r="AJ232" i="20"/>
  <c r="AJ74" i="20"/>
  <c r="AJ48" i="20"/>
  <c r="AT173" i="20"/>
  <c r="AT85" i="20"/>
  <c r="P85" i="20"/>
  <c r="AU85" i="20" s="1"/>
  <c r="AJ40" i="20"/>
  <c r="AZ40" i="20"/>
  <c r="AN32" i="20"/>
  <c r="AN28" i="20"/>
  <c r="AT144" i="20"/>
  <c r="Q144" i="14"/>
  <c r="I144" i="20" s="1"/>
  <c r="AN36" i="20"/>
  <c r="AY228" i="20"/>
  <c r="AY218" i="20"/>
  <c r="AY192" i="20"/>
  <c r="AY182" i="20"/>
  <c r="AY156" i="20"/>
  <c r="AY146" i="20"/>
  <c r="AY120" i="20"/>
  <c r="AY110" i="20"/>
  <c r="AY84" i="20"/>
  <c r="AY50" i="20"/>
  <c r="AN20" i="20"/>
  <c r="AN135" i="20"/>
  <c r="AN153" i="20"/>
  <c r="AN161" i="20"/>
  <c r="AN223" i="20"/>
  <c r="I12" i="20"/>
  <c r="AJ220" i="20"/>
  <c r="AJ184" i="20"/>
  <c r="AJ148" i="20"/>
  <c r="AJ112" i="20"/>
  <c r="AJ29" i="20"/>
  <c r="AY260" i="20"/>
  <c r="AY224" i="20"/>
  <c r="AY198" i="20"/>
  <c r="AY188" i="20"/>
  <c r="AY162" i="20"/>
  <c r="AY152" i="20"/>
  <c r="AY126" i="20"/>
  <c r="AY116" i="20"/>
  <c r="AY90" i="20"/>
  <c r="AN118" i="20"/>
  <c r="Q186" i="14"/>
  <c r="I186" i="20" s="1"/>
  <c r="Q258" i="14"/>
  <c r="I258" i="20" s="1"/>
  <c r="AN185" i="20"/>
  <c r="Q203" i="14"/>
  <c r="I203" i="20" s="1"/>
  <c r="AN215" i="20"/>
  <c r="AN235" i="20"/>
  <c r="P220" i="20"/>
  <c r="AU220" i="20" s="1"/>
  <c r="AV220" i="20" s="1"/>
  <c r="AJ240" i="20"/>
  <c r="AJ60" i="20"/>
  <c r="AJ56" i="20"/>
  <c r="Q228" i="14"/>
  <c r="I228" i="20" s="1"/>
  <c r="AN150" i="20"/>
  <c r="AY230" i="20"/>
  <c r="AY204" i="20"/>
  <c r="AY194" i="20"/>
  <c r="AY168" i="20"/>
  <c r="AY158" i="20"/>
  <c r="AY132" i="20"/>
  <c r="AY122" i="20"/>
  <c r="AY96" i="20"/>
  <c r="AY86" i="20"/>
  <c r="Q120" i="14"/>
  <c r="I120" i="20" s="1"/>
  <c r="Q246" i="14"/>
  <c r="I246" i="20" s="1"/>
  <c r="Q107" i="14"/>
  <c r="AT179" i="20"/>
  <c r="AJ190" i="20"/>
  <c r="AJ154" i="20"/>
  <c r="AJ118" i="20"/>
  <c r="AT192" i="20"/>
  <c r="AT216" i="20"/>
  <c r="AJ35" i="20"/>
  <c r="AZ35" i="20"/>
  <c r="AN33" i="20"/>
  <c r="BB33" i="20"/>
  <c r="BB27" i="20"/>
  <c r="BB15" i="20"/>
  <c r="AJ15" i="20"/>
  <c r="AN171" i="20"/>
  <c r="P216" i="20"/>
  <c r="AU216" i="20" s="1"/>
  <c r="AV216" i="20" s="1"/>
  <c r="BB34" i="20"/>
  <c r="AT162" i="20"/>
  <c r="AT102" i="20"/>
  <c r="AT96" i="20"/>
  <c r="AT168" i="20"/>
  <c r="AT204" i="20"/>
  <c r="AT257" i="20"/>
  <c r="AN19" i="20"/>
  <c r="P173" i="20"/>
  <c r="AU173" i="20" s="1"/>
  <c r="P229" i="20"/>
  <c r="AU229" i="20" s="1"/>
  <c r="AV229" i="20" s="1"/>
  <c r="AT229" i="20"/>
  <c r="AT221" i="20"/>
  <c r="BB28" i="20"/>
  <c r="BB22" i="20"/>
  <c r="AJ22" i="20"/>
  <c r="BB16" i="20"/>
  <c r="AJ16" i="20"/>
  <c r="BC261" i="20"/>
  <c r="BB261" i="20"/>
  <c r="BB39" i="20"/>
  <c r="P257" i="20"/>
  <c r="AU257" i="20" s="1"/>
  <c r="AV257" i="20" s="1"/>
  <c r="AJ31" i="20"/>
  <c r="P205" i="20"/>
  <c r="AU205" i="20" s="1"/>
  <c r="AV205" i="20" s="1"/>
  <c r="AT205" i="20"/>
  <c r="P209" i="20"/>
  <c r="AU209" i="20" s="1"/>
  <c r="AV209" i="20" s="1"/>
  <c r="AT209" i="20"/>
  <c r="AT261" i="20"/>
  <c r="AN162" i="20"/>
  <c r="AN174" i="20"/>
  <c r="AN198" i="20"/>
  <c r="AN149" i="20"/>
  <c r="AN78" i="20"/>
  <c r="AN110" i="20"/>
  <c r="AN164" i="20"/>
  <c r="AN80" i="20"/>
  <c r="AN168" i="20"/>
  <c r="AN117" i="20"/>
  <c r="AN170" i="20"/>
  <c r="AN96" i="20"/>
  <c r="AN160" i="20"/>
  <c r="P159" i="20"/>
  <c r="AU159" i="20" s="1"/>
  <c r="AT58" i="20"/>
  <c r="P58" i="20"/>
  <c r="AU58" i="20" s="1"/>
  <c r="AT63" i="20"/>
  <c r="P63" i="20"/>
  <c r="AU63" i="20" s="1"/>
  <c r="AT243" i="20"/>
  <c r="P243" i="20"/>
  <c r="AU243" i="20" s="1"/>
  <c r="AV243" i="20" s="1"/>
  <c r="AT19" i="20"/>
  <c r="P19" i="20"/>
  <c r="AU19" i="20" s="1"/>
  <c r="AT150" i="20"/>
  <c r="P204" i="20"/>
  <c r="AU204" i="20" s="1"/>
  <c r="BD78" i="20" l="1"/>
  <c r="A15" i="14"/>
  <c r="A14" i="20"/>
  <c r="D202" i="19"/>
  <c r="AN107" i="20"/>
  <c r="I107" i="20"/>
  <c r="AN131" i="20"/>
  <c r="P99" i="20"/>
  <c r="AU99" i="20" s="1"/>
  <c r="AW99" i="20" s="1" a="1"/>
  <c r="AW99" i="20" s="1"/>
  <c r="F487" i="19" s="1"/>
  <c r="BD30" i="20"/>
  <c r="BD70" i="20"/>
  <c r="BD77" i="20"/>
  <c r="BD245" i="20"/>
  <c r="BD110" i="20"/>
  <c r="BD95" i="20"/>
  <c r="BD142" i="20"/>
  <c r="BD244" i="20"/>
  <c r="BD257" i="20"/>
  <c r="AT255" i="20"/>
  <c r="P42" i="20"/>
  <c r="AU42" i="20" s="1"/>
  <c r="AV42" i="20" s="1"/>
  <c r="AT174" i="20"/>
  <c r="AT163" i="20"/>
  <c r="AT67" i="20"/>
  <c r="BD229" i="20"/>
  <c r="BD73" i="20"/>
  <c r="BD230" i="20"/>
  <c r="AW129" i="20" a="1"/>
  <c r="AW129" i="20" s="1"/>
  <c r="F517" i="19" s="1"/>
  <c r="BD96" i="20"/>
  <c r="BD123" i="20"/>
  <c r="P231" i="20"/>
  <c r="AU231" i="20" s="1"/>
  <c r="AV231" i="20" s="1"/>
  <c r="AT78" i="20"/>
  <c r="P246" i="20"/>
  <c r="AU246" i="20" s="1"/>
  <c r="AT156" i="20"/>
  <c r="AT105" i="20"/>
  <c r="BD37" i="20"/>
  <c r="P198" i="20"/>
  <c r="AU198" i="20" s="1"/>
  <c r="AV198" i="20" s="1"/>
  <c r="P75" i="20"/>
  <c r="AU75" i="20" s="1"/>
  <c r="AW75" i="20" s="1" a="1"/>
  <c r="AW75" i="20" s="1"/>
  <c r="F463" i="19" s="1"/>
  <c r="P17" i="20"/>
  <c r="AU17" i="20" s="1"/>
  <c r="AW17" i="20" s="1" a="1"/>
  <c r="AW17" i="20" s="1"/>
  <c r="F405" i="19" s="1"/>
  <c r="BD58" i="20"/>
  <c r="BD76" i="20"/>
  <c r="BD224" i="20"/>
  <c r="BD146" i="20"/>
  <c r="BD177" i="20"/>
  <c r="BD105" i="20"/>
  <c r="BD120" i="20"/>
  <c r="AW15" i="20" a="1"/>
  <c r="AW15" i="20" s="1"/>
  <c r="F403" i="19" s="1"/>
  <c r="BD140" i="20"/>
  <c r="AT135" i="20"/>
  <c r="P153" i="20"/>
  <c r="AU153" i="20" s="1"/>
  <c r="AV153" i="20" s="1"/>
  <c r="P87" i="20"/>
  <c r="AU87" i="20" s="1"/>
  <c r="AW87" i="20" s="1" a="1"/>
  <c r="AW87" i="20" s="1"/>
  <c r="F475" i="19" s="1"/>
  <c r="P119" i="20"/>
  <c r="AU119" i="20" s="1"/>
  <c r="AW119" i="20" s="1" a="1"/>
  <c r="AW119" i="20" s="1"/>
  <c r="F507" i="19" s="1"/>
  <c r="P111" i="20"/>
  <c r="AU111" i="20" s="1"/>
  <c r="AW111" i="20" s="1" a="1"/>
  <c r="AW111" i="20" s="1"/>
  <c r="F499" i="19" s="1"/>
  <c r="AT165" i="20"/>
  <c r="AT252" i="20"/>
  <c r="P177" i="20"/>
  <c r="AU177" i="20" s="1"/>
  <c r="AV177" i="20" s="1"/>
  <c r="AW45" i="20" a="1"/>
  <c r="AW45" i="20" s="1"/>
  <c r="F433" i="19" s="1"/>
  <c r="BD156" i="20"/>
  <c r="P117" i="20"/>
  <c r="AU117" i="20" s="1"/>
  <c r="AV117" i="20" s="1"/>
  <c r="BD52" i="20"/>
  <c r="AT81" i="20"/>
  <c r="P123" i="20"/>
  <c r="AU123" i="20" s="1"/>
  <c r="AW123" i="20" s="1" a="1"/>
  <c r="AW123" i="20" s="1"/>
  <c r="F511" i="19" s="1"/>
  <c r="AW165" i="20" a="1"/>
  <c r="AW165" i="20" s="1"/>
  <c r="AT180" i="20"/>
  <c r="BD22" i="20"/>
  <c r="BD184" i="20"/>
  <c r="AW93" i="20" a="1"/>
  <c r="AW93" i="20" s="1"/>
  <c r="F481" i="19" s="1"/>
  <c r="AW27" i="20" a="1"/>
  <c r="AW27" i="20" s="1"/>
  <c r="F415" i="19" s="1"/>
  <c r="BD103" i="20"/>
  <c r="P171" i="20"/>
  <c r="AU171" i="20" s="1"/>
  <c r="AW171" i="20" s="1" a="1"/>
  <c r="AW171" i="20" s="1"/>
  <c r="AW78" i="20" a="1"/>
  <c r="AW78" i="20" s="1"/>
  <c r="F466" i="19" s="1"/>
  <c r="P258" i="20"/>
  <c r="AU258" i="20" s="1"/>
  <c r="AW138" i="20" a="1"/>
  <c r="AW138" i="20" s="1"/>
  <c r="F526" i="19" s="1"/>
  <c r="P195" i="20"/>
  <c r="AU195" i="20" s="1"/>
  <c r="AV195" i="20" s="1"/>
  <c r="AT219" i="20"/>
  <c r="AW117" i="20" a="1"/>
  <c r="AW117" i="20" s="1"/>
  <c r="F505" i="19" s="1"/>
  <c r="AT228" i="20"/>
  <c r="BD150" i="20"/>
  <c r="BD25" i="20"/>
  <c r="BD72" i="20"/>
  <c r="BD109" i="20"/>
  <c r="AW153" i="20" a="1"/>
  <c r="AW153" i="20" s="1"/>
  <c r="F541" i="19" s="1"/>
  <c r="BD16" i="20"/>
  <c r="BD100" i="20"/>
  <c r="BD235" i="20"/>
  <c r="BD14" i="20"/>
  <c r="BD236" i="20"/>
  <c r="BD116" i="20"/>
  <c r="BD179" i="20"/>
  <c r="BD132" i="20"/>
  <c r="BD202" i="20"/>
  <c r="BD33" i="20"/>
  <c r="P141" i="20"/>
  <c r="AU141" i="20" s="1"/>
  <c r="AW141" i="20" s="1" a="1"/>
  <c r="AW141" i="20" s="1"/>
  <c r="F529" i="19" s="1"/>
  <c r="BD160" i="20"/>
  <c r="BD69" i="20"/>
  <c r="BD148" i="20"/>
  <c r="BD74" i="20"/>
  <c r="BD250" i="20"/>
  <c r="BD214" i="20"/>
  <c r="BD223" i="20"/>
  <c r="BD79" i="20"/>
  <c r="BD44" i="20"/>
  <c r="BD221" i="20"/>
  <c r="BD185" i="20"/>
  <c r="BD137" i="20"/>
  <c r="BD186" i="20"/>
  <c r="BD241" i="20"/>
  <c r="BD128" i="20"/>
  <c r="AW21" i="20" a="1"/>
  <c r="AW21" i="20" s="1"/>
  <c r="F409" i="19" s="1"/>
  <c r="BD135" i="20"/>
  <c r="BD181" i="20"/>
  <c r="BD92" i="20"/>
  <c r="BD15" i="20"/>
  <c r="BD118" i="20"/>
  <c r="BD151" i="20"/>
  <c r="BD113" i="20"/>
  <c r="F332" i="19"/>
  <c r="G332" i="19" s="1"/>
  <c r="H332" i="19" s="1"/>
  <c r="E532" i="19"/>
  <c r="G532" i="19" s="1"/>
  <c r="F204" i="19"/>
  <c r="G204" i="19" s="1"/>
  <c r="H204" i="19" s="1"/>
  <c r="E404" i="19"/>
  <c r="G404" i="19" s="1"/>
  <c r="F237" i="19"/>
  <c r="G237" i="19" s="1"/>
  <c r="H237" i="19" s="1"/>
  <c r="E437" i="19"/>
  <c r="G437" i="19" s="1"/>
  <c r="F270" i="19"/>
  <c r="G270" i="19" s="1"/>
  <c r="H270" i="19" s="1"/>
  <c r="E470" i="19"/>
  <c r="G470" i="19" s="1"/>
  <c r="F216" i="19"/>
  <c r="G216" i="19" s="1"/>
  <c r="H216" i="19" s="1"/>
  <c r="E416" i="19"/>
  <c r="G416" i="19" s="1"/>
  <c r="F206" i="19"/>
  <c r="G206" i="19" s="1"/>
  <c r="H206" i="19" s="1"/>
  <c r="E406" i="19"/>
  <c r="G406" i="19" s="1"/>
  <c r="F242" i="19"/>
  <c r="G242" i="19" s="1"/>
  <c r="H242" i="19" s="1"/>
  <c r="E442" i="19"/>
  <c r="G442" i="19" s="1"/>
  <c r="F278" i="19"/>
  <c r="G278" i="19" s="1"/>
  <c r="H278" i="19" s="1"/>
  <c r="E478" i="19"/>
  <c r="G478" i="19" s="1"/>
  <c r="F287" i="19"/>
  <c r="G287" i="19" s="1"/>
  <c r="H287" i="19" s="1"/>
  <c r="E487" i="19"/>
  <c r="G487" i="19" s="1"/>
  <c r="F282" i="19"/>
  <c r="G282" i="19" s="1"/>
  <c r="H282" i="19" s="1"/>
  <c r="E482" i="19"/>
  <c r="G482" i="19" s="1"/>
  <c r="F313" i="19"/>
  <c r="G313" i="19" s="1"/>
  <c r="H313" i="19" s="1"/>
  <c r="E513" i="19"/>
  <c r="G513" i="19" s="1"/>
  <c r="F338" i="19"/>
  <c r="G338" i="19" s="1"/>
  <c r="H338" i="19" s="1"/>
  <c r="E538" i="19"/>
  <c r="G538" i="19" s="1"/>
  <c r="F267" i="19"/>
  <c r="G267" i="19" s="1"/>
  <c r="H267" i="19" s="1"/>
  <c r="E467" i="19"/>
  <c r="G467" i="19" s="1"/>
  <c r="F205" i="19"/>
  <c r="G205" i="19" s="1"/>
  <c r="H205" i="19" s="1"/>
  <c r="E405" i="19"/>
  <c r="G405" i="19" s="1"/>
  <c r="F256" i="19"/>
  <c r="G256" i="19" s="1"/>
  <c r="H256" i="19" s="1"/>
  <c r="E456" i="19"/>
  <c r="G456" i="19" s="1"/>
  <c r="F259" i="19"/>
  <c r="G259" i="19" s="1"/>
  <c r="H259" i="19" s="1"/>
  <c r="E459" i="19"/>
  <c r="G459" i="19" s="1"/>
  <c r="F253" i="19"/>
  <c r="G253" i="19" s="1"/>
  <c r="H253" i="19" s="1"/>
  <c r="E453" i="19"/>
  <c r="G453" i="19" s="1"/>
  <c r="F305" i="19"/>
  <c r="G305" i="19" s="1"/>
  <c r="H305" i="19" s="1"/>
  <c r="E505" i="19"/>
  <c r="G505" i="19" s="1"/>
  <c r="F274" i="19"/>
  <c r="G274" i="19" s="1"/>
  <c r="H274" i="19" s="1"/>
  <c r="E474" i="19"/>
  <c r="G474" i="19" s="1"/>
  <c r="F235" i="19"/>
  <c r="G235" i="19" s="1"/>
  <c r="H235" i="19" s="1"/>
  <c r="E435" i="19"/>
  <c r="G435" i="19" s="1"/>
  <c r="F315" i="19"/>
  <c r="G315" i="19" s="1"/>
  <c r="H315" i="19" s="1"/>
  <c r="E515" i="19"/>
  <c r="G515" i="19" s="1"/>
  <c r="F220" i="19"/>
  <c r="G220" i="19" s="1"/>
  <c r="H220" i="19" s="1"/>
  <c r="E420" i="19"/>
  <c r="G420" i="19" s="1"/>
  <c r="F276" i="19"/>
  <c r="G276" i="19" s="1"/>
  <c r="H276" i="19" s="1"/>
  <c r="E476" i="19"/>
  <c r="G476" i="19" s="1"/>
  <c r="F336" i="19"/>
  <c r="G336" i="19" s="1"/>
  <c r="H336" i="19" s="1"/>
  <c r="E536" i="19"/>
  <c r="G536" i="19" s="1"/>
  <c r="F286" i="19"/>
  <c r="G286" i="19" s="1"/>
  <c r="H286" i="19" s="1"/>
  <c r="E486" i="19"/>
  <c r="G486" i="19" s="1"/>
  <c r="F249" i="19"/>
  <c r="G249" i="19" s="1"/>
  <c r="H249" i="19" s="1"/>
  <c r="E449" i="19"/>
  <c r="G449" i="19" s="1"/>
  <c r="F365" i="19"/>
  <c r="G365" i="19" s="1"/>
  <c r="H365" i="19" s="1"/>
  <c r="E565" i="19"/>
  <c r="G565" i="19" s="1"/>
  <c r="F311" i="19"/>
  <c r="G311" i="19" s="1"/>
  <c r="H311" i="19" s="1"/>
  <c r="E511" i="19"/>
  <c r="G511" i="19" s="1"/>
  <c r="F200" i="19"/>
  <c r="G200" i="19" s="1"/>
  <c r="H200" i="19" s="1"/>
  <c r="E400" i="19"/>
  <c r="G400" i="19" s="1"/>
  <c r="F262" i="19"/>
  <c r="G262" i="19" s="1"/>
  <c r="H262" i="19" s="1"/>
  <c r="E462" i="19"/>
  <c r="G462" i="19" s="1"/>
  <c r="F294" i="19"/>
  <c r="G294" i="19" s="1"/>
  <c r="H294" i="19" s="1"/>
  <c r="E494" i="19"/>
  <c r="G494" i="19" s="1"/>
  <c r="F279" i="19"/>
  <c r="G279" i="19" s="1"/>
  <c r="H279" i="19" s="1"/>
  <c r="E479" i="19"/>
  <c r="G479" i="19" s="1"/>
  <c r="F354" i="19"/>
  <c r="G354" i="19" s="1"/>
  <c r="H354" i="19" s="1"/>
  <c r="E554" i="19"/>
  <c r="G554" i="19" s="1"/>
  <c r="F361" i="19"/>
  <c r="G361" i="19" s="1"/>
  <c r="H361" i="19" s="1"/>
  <c r="E561" i="19"/>
  <c r="G561" i="19" s="1"/>
  <c r="F257" i="19"/>
  <c r="G257" i="19" s="1"/>
  <c r="H257" i="19" s="1"/>
  <c r="E457" i="19"/>
  <c r="G457" i="19" s="1"/>
  <c r="F283" i="19"/>
  <c r="G283" i="19" s="1"/>
  <c r="H283" i="19" s="1"/>
  <c r="E483" i="19"/>
  <c r="G483" i="19" s="1"/>
  <c r="F261" i="19"/>
  <c r="G261" i="19" s="1"/>
  <c r="H261" i="19" s="1"/>
  <c r="E461" i="19"/>
  <c r="G461" i="19" s="1"/>
  <c r="F364" i="19"/>
  <c r="G364" i="19" s="1"/>
  <c r="H364" i="19" s="1"/>
  <c r="E564" i="19"/>
  <c r="G564" i="19" s="1"/>
  <c r="F227" i="19"/>
  <c r="G227" i="19" s="1"/>
  <c r="H227" i="19" s="1"/>
  <c r="E427" i="19"/>
  <c r="G427" i="19" s="1"/>
  <c r="F268" i="19"/>
  <c r="G268" i="19" s="1"/>
  <c r="H268" i="19" s="1"/>
  <c r="E468" i="19"/>
  <c r="G468" i="19" s="1"/>
  <c r="F299" i="19"/>
  <c r="G299" i="19" s="1"/>
  <c r="H299" i="19" s="1"/>
  <c r="E499" i="19"/>
  <c r="G499" i="19" s="1"/>
  <c r="F357" i="19"/>
  <c r="G357" i="19" s="1"/>
  <c r="H357" i="19" s="1"/>
  <c r="E557" i="19"/>
  <c r="G557" i="19" s="1"/>
  <c r="F212" i="19"/>
  <c r="G212" i="19" s="1"/>
  <c r="H212" i="19" s="1"/>
  <c r="E412" i="19"/>
  <c r="G412" i="19" s="1"/>
  <c r="F248" i="19"/>
  <c r="G248" i="19" s="1"/>
  <c r="H248" i="19" s="1"/>
  <c r="E448" i="19"/>
  <c r="G448" i="19" s="1"/>
  <c r="F284" i="19"/>
  <c r="G284" i="19" s="1"/>
  <c r="H284" i="19" s="1"/>
  <c r="E484" i="19"/>
  <c r="G484" i="19" s="1"/>
  <c r="F293" i="19"/>
  <c r="G293" i="19" s="1"/>
  <c r="H293" i="19" s="1"/>
  <c r="E493" i="19"/>
  <c r="G493" i="19" s="1"/>
  <c r="F288" i="19"/>
  <c r="G288" i="19" s="1"/>
  <c r="H288" i="19" s="1"/>
  <c r="E488" i="19"/>
  <c r="G488" i="19" s="1"/>
  <c r="F319" i="19"/>
  <c r="G319" i="19" s="1"/>
  <c r="H319" i="19" s="1"/>
  <c r="E519" i="19"/>
  <c r="G519" i="19" s="1"/>
  <c r="F297" i="19"/>
  <c r="G297" i="19" s="1"/>
  <c r="H297" i="19" s="1"/>
  <c r="E497" i="19"/>
  <c r="G497" i="19" s="1"/>
  <c r="F245" i="19"/>
  <c r="G245" i="19" s="1"/>
  <c r="H245" i="19" s="1"/>
  <c r="E445" i="19"/>
  <c r="G445" i="19" s="1"/>
  <c r="F202" i="19"/>
  <c r="G202" i="19" s="1"/>
  <c r="H202" i="19" s="1"/>
  <c r="E402" i="19"/>
  <c r="G402" i="19" s="1"/>
  <c r="F280" i="19"/>
  <c r="G280" i="19" s="1"/>
  <c r="H280" i="19" s="1"/>
  <c r="E480" i="19"/>
  <c r="G480" i="19" s="1"/>
  <c r="F331" i="19"/>
  <c r="G331" i="19" s="1"/>
  <c r="H331" i="19" s="1"/>
  <c r="E531" i="19"/>
  <c r="G531" i="19" s="1"/>
  <c r="F209" i="19"/>
  <c r="G209" i="19" s="1"/>
  <c r="H209" i="19" s="1"/>
  <c r="E409" i="19"/>
  <c r="G409" i="19" s="1"/>
  <c r="F265" i="19"/>
  <c r="G265" i="19" s="1"/>
  <c r="H265" i="19" s="1"/>
  <c r="E465" i="19"/>
  <c r="G465" i="19" s="1"/>
  <c r="F325" i="19"/>
  <c r="G325" i="19" s="1"/>
  <c r="H325" i="19" s="1"/>
  <c r="E525" i="19"/>
  <c r="G525" i="19" s="1"/>
  <c r="F239" i="19"/>
  <c r="G239" i="19" s="1"/>
  <c r="H239" i="19" s="1"/>
  <c r="E439" i="19"/>
  <c r="G439" i="19" s="1"/>
  <c r="F327" i="19"/>
  <c r="G327" i="19" s="1"/>
  <c r="H327" i="19" s="1"/>
  <c r="E527" i="19"/>
  <c r="G527" i="19" s="1"/>
  <c r="F232" i="19"/>
  <c r="G232" i="19" s="1"/>
  <c r="H232" i="19" s="1"/>
  <c r="E432" i="19"/>
  <c r="G432" i="19" s="1"/>
  <c r="F292" i="19"/>
  <c r="G292" i="19" s="1"/>
  <c r="H292" i="19" s="1"/>
  <c r="E492" i="19"/>
  <c r="G492" i="19" s="1"/>
  <c r="F340" i="19"/>
  <c r="G340" i="19" s="1"/>
  <c r="H340" i="19" s="1"/>
  <c r="E540" i="19"/>
  <c r="G540" i="19" s="1"/>
  <c r="F314" i="19"/>
  <c r="G314" i="19" s="1"/>
  <c r="H314" i="19" s="1"/>
  <c r="E514" i="19"/>
  <c r="G514" i="19" s="1"/>
  <c r="F317" i="19"/>
  <c r="G317" i="19" s="1"/>
  <c r="H317" i="19" s="1"/>
  <c r="E517" i="19"/>
  <c r="G517" i="19" s="1"/>
  <c r="F250" i="19"/>
  <c r="G250" i="19" s="1"/>
  <c r="H250" i="19" s="1"/>
  <c r="E450" i="19"/>
  <c r="G450" i="19" s="1"/>
  <c r="F201" i="19"/>
  <c r="G201" i="19" s="1"/>
  <c r="H201" i="19" s="1"/>
  <c r="E401" i="19"/>
  <c r="G401" i="19" s="1"/>
  <c r="F359" i="19"/>
  <c r="G359" i="19" s="1"/>
  <c r="H359" i="19" s="1"/>
  <c r="E559" i="19"/>
  <c r="G559" i="19" s="1"/>
  <c r="F207" i="19"/>
  <c r="G207" i="19" s="1"/>
  <c r="H207" i="19" s="1"/>
  <c r="E407" i="19"/>
  <c r="G407" i="19" s="1"/>
  <c r="F310" i="19"/>
  <c r="G310" i="19" s="1"/>
  <c r="H310" i="19" s="1"/>
  <c r="E510" i="19"/>
  <c r="G510" i="19" s="1"/>
  <c r="F306" i="19"/>
  <c r="G306" i="19" s="1"/>
  <c r="H306" i="19" s="1"/>
  <c r="E506" i="19"/>
  <c r="G506" i="19" s="1"/>
  <c r="F309" i="19"/>
  <c r="G309" i="19" s="1"/>
  <c r="H309" i="19" s="1"/>
  <c r="E509" i="19"/>
  <c r="G509" i="19" s="1"/>
  <c r="F341" i="19"/>
  <c r="G341" i="19" s="1"/>
  <c r="H341" i="19" s="1"/>
  <c r="E541" i="19"/>
  <c r="G541" i="19" s="1"/>
  <c r="F353" i="19"/>
  <c r="G353" i="19" s="1"/>
  <c r="H353" i="19" s="1"/>
  <c r="E553" i="19"/>
  <c r="G553" i="19" s="1"/>
  <c r="F238" i="19"/>
  <c r="G238" i="19" s="1"/>
  <c r="H238" i="19" s="1"/>
  <c r="E438" i="19"/>
  <c r="G438" i="19" s="1"/>
  <c r="F218" i="19"/>
  <c r="G218" i="19" s="1"/>
  <c r="H218" i="19" s="1"/>
  <c r="E418" i="19"/>
  <c r="G418" i="19" s="1"/>
  <c r="F254" i="19"/>
  <c r="G254" i="19" s="1"/>
  <c r="H254" i="19" s="1"/>
  <c r="E454" i="19"/>
  <c r="G454" i="19" s="1"/>
  <c r="F290" i="19"/>
  <c r="G290" i="19" s="1"/>
  <c r="H290" i="19" s="1"/>
  <c r="E490" i="19"/>
  <c r="G490" i="19" s="1"/>
  <c r="F323" i="19"/>
  <c r="G323" i="19" s="1"/>
  <c r="H323" i="19" s="1"/>
  <c r="E523" i="19"/>
  <c r="G523" i="19" s="1"/>
  <c r="F318" i="19"/>
  <c r="G318" i="19" s="1"/>
  <c r="H318" i="19" s="1"/>
  <c r="E518" i="19"/>
  <c r="G518" i="19" s="1"/>
  <c r="F229" i="19"/>
  <c r="G229" i="19" s="1"/>
  <c r="H229" i="19" s="1"/>
  <c r="E429" i="19"/>
  <c r="G429" i="19" s="1"/>
  <c r="F337" i="19"/>
  <c r="G337" i="19" s="1"/>
  <c r="H337" i="19" s="1"/>
  <c r="E537" i="19"/>
  <c r="G537" i="19" s="1"/>
  <c r="F303" i="19"/>
  <c r="G303" i="19" s="1"/>
  <c r="H303" i="19" s="1"/>
  <c r="E503" i="19"/>
  <c r="G503" i="19" s="1"/>
  <c r="F281" i="19"/>
  <c r="G281" i="19" s="1"/>
  <c r="H281" i="19" s="1"/>
  <c r="E481" i="19"/>
  <c r="G481" i="19" s="1"/>
  <c r="F320" i="19"/>
  <c r="G320" i="19" s="1"/>
  <c r="H320" i="19" s="1"/>
  <c r="E520" i="19"/>
  <c r="G520" i="19" s="1"/>
  <c r="F351" i="19"/>
  <c r="G351" i="19" s="1"/>
  <c r="H351" i="19" s="1"/>
  <c r="E551" i="19"/>
  <c r="G551" i="19" s="1"/>
  <c r="F221" i="19"/>
  <c r="G221" i="19" s="1"/>
  <c r="H221" i="19" s="1"/>
  <c r="E421" i="19"/>
  <c r="G421" i="19" s="1"/>
  <c r="F269" i="19"/>
  <c r="G269" i="19" s="1"/>
  <c r="H269" i="19" s="1"/>
  <c r="E469" i="19"/>
  <c r="G469" i="19" s="1"/>
  <c r="F329" i="19"/>
  <c r="G329" i="19" s="1"/>
  <c r="H329" i="19" s="1"/>
  <c r="E529" i="19"/>
  <c r="G529" i="19" s="1"/>
  <c r="F210" i="19"/>
  <c r="G210" i="19" s="1"/>
  <c r="H210" i="19" s="1"/>
  <c r="E410" i="19"/>
  <c r="G410" i="19" s="1"/>
  <c r="F211" i="19"/>
  <c r="G211" i="19" s="1"/>
  <c r="H211" i="19" s="1"/>
  <c r="E411" i="19"/>
  <c r="G411" i="19" s="1"/>
  <c r="F255" i="19"/>
  <c r="G255" i="19" s="1"/>
  <c r="H255" i="19" s="1"/>
  <c r="E455" i="19"/>
  <c r="G455" i="19" s="1"/>
  <c r="F335" i="19"/>
  <c r="G335" i="19" s="1"/>
  <c r="H335" i="19" s="1"/>
  <c r="E535" i="19"/>
  <c r="G535" i="19" s="1"/>
  <c r="F240" i="19"/>
  <c r="G240" i="19" s="1"/>
  <c r="H240" i="19" s="1"/>
  <c r="E440" i="19"/>
  <c r="G440" i="19" s="1"/>
  <c r="F300" i="19"/>
  <c r="G300" i="19" s="1"/>
  <c r="H300" i="19" s="1"/>
  <c r="E500" i="19"/>
  <c r="G500" i="19" s="1"/>
  <c r="F344" i="19"/>
  <c r="G344" i="19" s="1"/>
  <c r="H344" i="19" s="1"/>
  <c r="E544" i="19"/>
  <c r="G544" i="19" s="1"/>
  <c r="F346" i="19"/>
  <c r="G346" i="19" s="1"/>
  <c r="H346" i="19" s="1"/>
  <c r="E546" i="19"/>
  <c r="G546" i="19" s="1"/>
  <c r="F298" i="19"/>
  <c r="G298" i="19" s="1"/>
  <c r="H298" i="19" s="1"/>
  <c r="E498" i="19"/>
  <c r="G498" i="19" s="1"/>
  <c r="F213" i="19"/>
  <c r="G213" i="19" s="1"/>
  <c r="H213" i="19" s="1"/>
  <c r="E413" i="19"/>
  <c r="G413" i="19" s="1"/>
  <c r="F322" i="19"/>
  <c r="G322" i="19" s="1"/>
  <c r="H322" i="19" s="1"/>
  <c r="E522" i="19"/>
  <c r="G522" i="19" s="1"/>
  <c r="F342" i="19"/>
  <c r="G342" i="19" s="1"/>
  <c r="H342" i="19" s="1"/>
  <c r="E542" i="19"/>
  <c r="G542" i="19" s="1"/>
  <c r="F339" i="19"/>
  <c r="G339" i="19" s="1"/>
  <c r="H339" i="19" s="1"/>
  <c r="E539" i="19"/>
  <c r="G539" i="19" s="1"/>
  <c r="F307" i="19"/>
  <c r="G307" i="19" s="1"/>
  <c r="H307" i="19" s="1"/>
  <c r="E507" i="19"/>
  <c r="G507" i="19" s="1"/>
  <c r="F217" i="19"/>
  <c r="G217" i="19" s="1"/>
  <c r="H217" i="19" s="1"/>
  <c r="E417" i="19"/>
  <c r="G417" i="19" s="1"/>
  <c r="F291" i="19"/>
  <c r="G291" i="19" s="1"/>
  <c r="H291" i="19" s="1"/>
  <c r="E491" i="19"/>
  <c r="G491" i="19" s="1"/>
  <c r="F241" i="19"/>
  <c r="G241" i="19" s="1"/>
  <c r="H241" i="19" s="1"/>
  <c r="E441" i="19"/>
  <c r="G441" i="19" s="1"/>
  <c r="F236" i="19"/>
  <c r="G236" i="19" s="1"/>
  <c r="H236" i="19" s="1"/>
  <c r="E436" i="19"/>
  <c r="G436" i="19" s="1"/>
  <c r="F252" i="19"/>
  <c r="G252" i="19" s="1"/>
  <c r="H252" i="19" s="1"/>
  <c r="E452" i="19"/>
  <c r="G452" i="19" s="1"/>
  <c r="F301" i="19"/>
  <c r="G301" i="19" s="1"/>
  <c r="H301" i="19" s="1"/>
  <c r="E501" i="19"/>
  <c r="G501" i="19" s="1"/>
  <c r="F295" i="19"/>
  <c r="G295" i="19" s="1"/>
  <c r="H295" i="19" s="1"/>
  <c r="E495" i="19"/>
  <c r="G495" i="19" s="1"/>
  <c r="F234" i="19"/>
  <c r="G234" i="19" s="1"/>
  <c r="H234" i="19" s="1"/>
  <c r="E434" i="19"/>
  <c r="G434" i="19" s="1"/>
  <c r="F224" i="19"/>
  <c r="G224" i="19" s="1"/>
  <c r="H224" i="19" s="1"/>
  <c r="E424" i="19"/>
  <c r="G424" i="19" s="1"/>
  <c r="F260" i="19"/>
  <c r="G260" i="19" s="1"/>
  <c r="H260" i="19" s="1"/>
  <c r="E460" i="19"/>
  <c r="G460" i="19" s="1"/>
  <c r="F296" i="19"/>
  <c r="G296" i="19" s="1"/>
  <c r="H296" i="19" s="1"/>
  <c r="E496" i="19"/>
  <c r="G496" i="19" s="1"/>
  <c r="F203" i="19"/>
  <c r="G203" i="19" s="1"/>
  <c r="H203" i="19" s="1"/>
  <c r="E403" i="19"/>
  <c r="G403" i="19" s="1"/>
  <c r="F228" i="19"/>
  <c r="G228" i="19" s="1"/>
  <c r="H228" i="19" s="1"/>
  <c r="E428" i="19"/>
  <c r="G428" i="19" s="1"/>
  <c r="F324" i="19"/>
  <c r="G324" i="19" s="1"/>
  <c r="H324" i="19" s="1"/>
  <c r="E524" i="19"/>
  <c r="G524" i="19" s="1"/>
  <c r="F247" i="19"/>
  <c r="G247" i="19" s="1"/>
  <c r="H247" i="19" s="1"/>
  <c r="E447" i="19"/>
  <c r="G447" i="19" s="1"/>
  <c r="F343" i="19"/>
  <c r="G343" i="19" s="1"/>
  <c r="H343" i="19" s="1"/>
  <c r="E543" i="19"/>
  <c r="G543" i="19" s="1"/>
  <c r="F285" i="19"/>
  <c r="G285" i="19" s="1"/>
  <c r="H285" i="19" s="1"/>
  <c r="E485" i="19"/>
  <c r="G485" i="19" s="1"/>
  <c r="F258" i="19"/>
  <c r="G258" i="19" s="1"/>
  <c r="H258" i="19" s="1"/>
  <c r="E458" i="19"/>
  <c r="G458" i="19" s="1"/>
  <c r="F225" i="19"/>
  <c r="G225" i="19" s="1"/>
  <c r="H225" i="19" s="1"/>
  <c r="E425" i="19"/>
  <c r="G425" i="19" s="1"/>
  <c r="F273" i="19"/>
  <c r="G273" i="19" s="1"/>
  <c r="H273" i="19" s="1"/>
  <c r="E473" i="19"/>
  <c r="G473" i="19" s="1"/>
  <c r="F333" i="19"/>
  <c r="G333" i="19" s="1"/>
  <c r="H333" i="19" s="1"/>
  <c r="E533" i="19"/>
  <c r="G533" i="19" s="1"/>
  <c r="F222" i="19"/>
  <c r="G222" i="19" s="1"/>
  <c r="H222" i="19" s="1"/>
  <c r="E422" i="19"/>
  <c r="G422" i="19" s="1"/>
  <c r="F219" i="19"/>
  <c r="G219" i="19" s="1"/>
  <c r="H219" i="19" s="1"/>
  <c r="E419" i="19"/>
  <c r="G419" i="19" s="1"/>
  <c r="F271" i="19"/>
  <c r="G271" i="19" s="1"/>
  <c r="H271" i="19" s="1"/>
  <c r="E471" i="19"/>
  <c r="G471" i="19" s="1"/>
  <c r="F347" i="19"/>
  <c r="G347" i="19" s="1"/>
  <c r="H347" i="19" s="1"/>
  <c r="E547" i="19"/>
  <c r="G547" i="19" s="1"/>
  <c r="F244" i="19"/>
  <c r="G244" i="19" s="1"/>
  <c r="H244" i="19" s="1"/>
  <c r="E444" i="19"/>
  <c r="G444" i="19" s="1"/>
  <c r="F304" i="19"/>
  <c r="G304" i="19" s="1"/>
  <c r="H304" i="19" s="1"/>
  <c r="E504" i="19"/>
  <c r="G504" i="19" s="1"/>
  <c r="F326" i="19"/>
  <c r="G326" i="19" s="1"/>
  <c r="H326" i="19" s="1"/>
  <c r="E526" i="19"/>
  <c r="G526" i="19" s="1"/>
  <c r="F215" i="19"/>
  <c r="G215" i="19" s="1"/>
  <c r="H215" i="19" s="1"/>
  <c r="E415" i="19"/>
  <c r="G415" i="19" s="1"/>
  <c r="F231" i="19"/>
  <c r="G231" i="19" s="1"/>
  <c r="H231" i="19" s="1"/>
  <c r="E431" i="19"/>
  <c r="G431" i="19" s="1"/>
  <c r="F334" i="19"/>
  <c r="G334" i="19" s="1"/>
  <c r="H334" i="19" s="1"/>
  <c r="E534" i="19"/>
  <c r="G534" i="19" s="1"/>
  <c r="F345" i="19"/>
  <c r="G345" i="19" s="1"/>
  <c r="H345" i="19" s="1"/>
  <c r="E545" i="19"/>
  <c r="G545" i="19" s="1"/>
  <c r="F356" i="19"/>
  <c r="G356" i="19" s="1"/>
  <c r="H356" i="19" s="1"/>
  <c r="E556" i="19"/>
  <c r="G556" i="19" s="1"/>
  <c r="F355" i="19"/>
  <c r="G355" i="19" s="1"/>
  <c r="H355" i="19" s="1"/>
  <c r="E555" i="19"/>
  <c r="G555" i="19" s="1"/>
  <c r="F272" i="19"/>
  <c r="G272" i="19" s="1"/>
  <c r="H272" i="19" s="1"/>
  <c r="E472" i="19"/>
  <c r="G472" i="19" s="1"/>
  <c r="F349" i="19"/>
  <c r="G349" i="19" s="1"/>
  <c r="H349" i="19" s="1"/>
  <c r="E549" i="19"/>
  <c r="G549" i="19" s="1"/>
  <c r="F350" i="19"/>
  <c r="G350" i="19" s="1"/>
  <c r="H350" i="19" s="1"/>
  <c r="E550" i="19"/>
  <c r="G550" i="19" s="1"/>
  <c r="F316" i="19"/>
  <c r="G316" i="19" s="1"/>
  <c r="H316" i="19" s="1"/>
  <c r="E516" i="19"/>
  <c r="G516" i="19" s="1"/>
  <c r="F363" i="19"/>
  <c r="G363" i="19" s="1"/>
  <c r="H363" i="19" s="1"/>
  <c r="E563" i="19"/>
  <c r="G563" i="19" s="1"/>
  <c r="F230" i="19"/>
  <c r="G230" i="19" s="1"/>
  <c r="H230" i="19" s="1"/>
  <c r="E430" i="19"/>
  <c r="G430" i="19" s="1"/>
  <c r="F266" i="19"/>
  <c r="G266" i="19" s="1"/>
  <c r="H266" i="19" s="1"/>
  <c r="E466" i="19"/>
  <c r="G466" i="19" s="1"/>
  <c r="F302" i="19"/>
  <c r="G302" i="19" s="1"/>
  <c r="H302" i="19" s="1"/>
  <c r="E502" i="19"/>
  <c r="G502" i="19" s="1"/>
  <c r="F251" i="19"/>
  <c r="G251" i="19" s="1"/>
  <c r="H251" i="19" s="1"/>
  <c r="E451" i="19"/>
  <c r="G451" i="19" s="1"/>
  <c r="F246" i="19"/>
  <c r="G246" i="19" s="1"/>
  <c r="H246" i="19" s="1"/>
  <c r="E446" i="19"/>
  <c r="G446" i="19" s="1"/>
  <c r="F348" i="19"/>
  <c r="G348" i="19" s="1"/>
  <c r="H348" i="19" s="1"/>
  <c r="E548" i="19"/>
  <c r="G548" i="19" s="1"/>
  <c r="F277" i="19"/>
  <c r="G277" i="19" s="1"/>
  <c r="H277" i="19" s="1"/>
  <c r="E477" i="19"/>
  <c r="G477" i="19" s="1"/>
  <c r="F308" i="19"/>
  <c r="G308" i="19" s="1"/>
  <c r="H308" i="19" s="1"/>
  <c r="E508" i="19"/>
  <c r="G508" i="19" s="1"/>
  <c r="F328" i="19"/>
  <c r="G328" i="19" s="1"/>
  <c r="H328" i="19" s="1"/>
  <c r="E528" i="19"/>
  <c r="G528" i="19" s="1"/>
  <c r="F321" i="19"/>
  <c r="G321" i="19" s="1"/>
  <c r="H321" i="19" s="1"/>
  <c r="E521" i="19"/>
  <c r="G521" i="19" s="1"/>
  <c r="F330" i="19"/>
  <c r="G330" i="19" s="1"/>
  <c r="H330" i="19" s="1"/>
  <c r="E530" i="19"/>
  <c r="G530" i="19" s="1"/>
  <c r="F352" i="19"/>
  <c r="G352" i="19" s="1"/>
  <c r="H352" i="19" s="1"/>
  <c r="E552" i="19"/>
  <c r="G552" i="19" s="1"/>
  <c r="F233" i="19"/>
  <c r="G233" i="19" s="1"/>
  <c r="H233" i="19" s="1"/>
  <c r="E433" i="19"/>
  <c r="G433" i="19" s="1"/>
  <c r="F289" i="19"/>
  <c r="G289" i="19" s="1"/>
  <c r="H289" i="19" s="1"/>
  <c r="E489" i="19"/>
  <c r="G489" i="19" s="1"/>
  <c r="F226" i="19"/>
  <c r="G226" i="19" s="1"/>
  <c r="H226" i="19" s="1"/>
  <c r="E426" i="19"/>
  <c r="G426" i="19" s="1"/>
  <c r="F223" i="19"/>
  <c r="G223" i="19" s="1"/>
  <c r="H223" i="19" s="1"/>
  <c r="E423" i="19"/>
  <c r="G423" i="19" s="1"/>
  <c r="F275" i="19"/>
  <c r="G275" i="19" s="1"/>
  <c r="H275" i="19" s="1"/>
  <c r="E475" i="19"/>
  <c r="G475" i="19" s="1"/>
  <c r="F208" i="19"/>
  <c r="G208" i="19" s="1"/>
  <c r="H208" i="19" s="1"/>
  <c r="E408" i="19"/>
  <c r="G408" i="19" s="1"/>
  <c r="F264" i="19"/>
  <c r="G264" i="19" s="1"/>
  <c r="H264" i="19" s="1"/>
  <c r="E464" i="19"/>
  <c r="G464" i="19" s="1"/>
  <c r="F312" i="19"/>
  <c r="G312" i="19" s="1"/>
  <c r="H312" i="19" s="1"/>
  <c r="E512" i="19"/>
  <c r="G512" i="19" s="1"/>
  <c r="F263" i="19"/>
  <c r="G263" i="19" s="1"/>
  <c r="H263" i="19" s="1"/>
  <c r="E463" i="19"/>
  <c r="G463" i="19" s="1"/>
  <c r="F243" i="19"/>
  <c r="G243" i="19" s="1"/>
  <c r="H243" i="19" s="1"/>
  <c r="E443" i="19"/>
  <c r="G443" i="19" s="1"/>
  <c r="F214" i="19"/>
  <c r="G214" i="19" s="1"/>
  <c r="H214" i="19" s="1"/>
  <c r="E414" i="19"/>
  <c r="G414" i="19" s="1"/>
  <c r="F362" i="19"/>
  <c r="G362" i="19" s="1"/>
  <c r="H362" i="19" s="1"/>
  <c r="E562" i="19"/>
  <c r="G562" i="19" s="1"/>
  <c r="F360" i="19"/>
  <c r="G360" i="19" s="1"/>
  <c r="H360" i="19" s="1"/>
  <c r="E560" i="19"/>
  <c r="G560" i="19" s="1"/>
  <c r="F358" i="19"/>
  <c r="G358" i="19" s="1"/>
  <c r="H358" i="19" s="1"/>
  <c r="E558" i="19"/>
  <c r="G558" i="19" s="1"/>
  <c r="AV88" i="20"/>
  <c r="AW88" i="20" a="1"/>
  <c r="AW88" i="20" s="1"/>
  <c r="F476" i="19" s="1"/>
  <c r="AV101" i="20"/>
  <c r="AW101" i="20" a="1"/>
  <c r="AW101" i="20" s="1"/>
  <c r="F489" i="19" s="1"/>
  <c r="AV68" i="20"/>
  <c r="AW68" i="20" a="1"/>
  <c r="AW68" i="20" s="1"/>
  <c r="F456" i="19" s="1"/>
  <c r="AV113" i="20"/>
  <c r="AW113" i="20" a="1"/>
  <c r="AW113" i="20" s="1"/>
  <c r="F501" i="19" s="1"/>
  <c r="AV158" i="20"/>
  <c r="AW158" i="20" a="1"/>
  <c r="AW158" i="20" s="1"/>
  <c r="AV197" i="20"/>
  <c r="AW197" i="20" a="1"/>
  <c r="AW197" i="20" s="1"/>
  <c r="AV147" i="20"/>
  <c r="AW147" i="20" a="1"/>
  <c r="AW147" i="20" s="1"/>
  <c r="F535" i="19" s="1"/>
  <c r="AV108" i="20"/>
  <c r="AW108" i="20" a="1"/>
  <c r="AW108" i="20" s="1"/>
  <c r="F496" i="19" s="1"/>
  <c r="AV169" i="20"/>
  <c r="AW169" i="20" a="1"/>
  <c r="AW169" i="20" s="1"/>
  <c r="AV109" i="20"/>
  <c r="AW109" i="20" a="1"/>
  <c r="AW109" i="20" s="1"/>
  <c r="F497" i="19" s="1"/>
  <c r="AV104" i="20"/>
  <c r="AW104" i="20" a="1"/>
  <c r="AW104" i="20" s="1"/>
  <c r="F492" i="19" s="1"/>
  <c r="AV167" i="20"/>
  <c r="AW167" i="20" a="1"/>
  <c r="AW167" i="20" s="1"/>
  <c r="AV28" i="20"/>
  <c r="L36" i="22" s="1"/>
  <c r="AW28" i="20" a="1"/>
  <c r="AW28" i="20" s="1"/>
  <c r="F416" i="19" s="1"/>
  <c r="AV67" i="20"/>
  <c r="AW67" i="20" a="1"/>
  <c r="AW67" i="20" s="1"/>
  <c r="F455" i="19" s="1"/>
  <c r="AV204" i="20"/>
  <c r="AW204" i="20" a="1"/>
  <c r="AW204" i="20" s="1"/>
  <c r="AW195" i="20" a="1"/>
  <c r="AW195" i="20" s="1"/>
  <c r="AV173" i="20"/>
  <c r="AW173" i="20" a="1"/>
  <c r="AW173" i="20" s="1"/>
  <c r="AV192" i="20"/>
  <c r="AW192" i="20" a="1"/>
  <c r="AW192" i="20" s="1"/>
  <c r="AV156" i="20"/>
  <c r="AW156" i="20" a="1"/>
  <c r="AW156" i="20" s="1"/>
  <c r="F544" i="19" s="1"/>
  <c r="AV194" i="20"/>
  <c r="AW194" i="20" a="1"/>
  <c r="AW194" i="20" s="1"/>
  <c r="AV60" i="20"/>
  <c r="AW60" i="20" a="1"/>
  <c r="AW60" i="20" s="1"/>
  <c r="F448" i="19" s="1"/>
  <c r="AV33" i="20"/>
  <c r="AW33" i="20" a="1"/>
  <c r="AW33" i="20" s="1"/>
  <c r="F421" i="19" s="1"/>
  <c r="AV202" i="20"/>
  <c r="AW202" i="20" a="1"/>
  <c r="AW202" i="20" s="1"/>
  <c r="AV121" i="20"/>
  <c r="AW121" i="20" a="1"/>
  <c r="AW121" i="20" s="1"/>
  <c r="F509" i="19" s="1"/>
  <c r="AV22" i="20"/>
  <c r="AW22" i="20" a="1"/>
  <c r="AW22" i="20" s="1"/>
  <c r="F410" i="19" s="1"/>
  <c r="AV37" i="20"/>
  <c r="AW37" i="20" a="1"/>
  <c r="AW37" i="20" s="1"/>
  <c r="F425" i="19" s="1"/>
  <c r="AV46" i="20"/>
  <c r="AW46" i="20" a="1"/>
  <c r="AW46" i="20" s="1"/>
  <c r="F434" i="19" s="1"/>
  <c r="AV118" i="20"/>
  <c r="AW118" i="20" a="1"/>
  <c r="AW118" i="20" s="1"/>
  <c r="F506" i="19" s="1"/>
  <c r="AV168" i="20"/>
  <c r="AW168" i="20" a="1"/>
  <c r="AW168" i="20" s="1"/>
  <c r="AV96" i="20"/>
  <c r="AW96" i="20" a="1"/>
  <c r="AW96" i="20" s="1"/>
  <c r="F484" i="19" s="1"/>
  <c r="AV32" i="20"/>
  <c r="AW32" i="20" a="1"/>
  <c r="AW32" i="20" s="1"/>
  <c r="F420" i="19" s="1"/>
  <c r="AV20" i="20"/>
  <c r="AW20" i="20" a="1"/>
  <c r="AW20" i="20" s="1"/>
  <c r="F408" i="19" s="1"/>
  <c r="AV18" i="20"/>
  <c r="AW18" i="20" a="1"/>
  <c r="AW18" i="20" s="1"/>
  <c r="F406" i="19" s="1"/>
  <c r="AV146" i="20"/>
  <c r="AW146" i="20" a="1"/>
  <c r="AW146" i="20" s="1"/>
  <c r="F534" i="19" s="1"/>
  <c r="AV64" i="20"/>
  <c r="AW64" i="20" a="1"/>
  <c r="AW64" i="20" s="1"/>
  <c r="F452" i="19" s="1"/>
  <c r="AV181" i="20"/>
  <c r="AW181" i="20" a="1"/>
  <c r="AW181" i="20" s="1"/>
  <c r="AV19" i="20"/>
  <c r="AW19" i="20" a="1"/>
  <c r="AW19" i="20" s="1"/>
  <c r="F407" i="19" s="1"/>
  <c r="AV63" i="20"/>
  <c r="AW63" i="20" a="1"/>
  <c r="AW63" i="20" s="1"/>
  <c r="F451" i="19" s="1"/>
  <c r="AV85" i="20"/>
  <c r="AW85" i="20" a="1"/>
  <c r="AW85" i="20" s="1"/>
  <c r="F473" i="19" s="1"/>
  <c r="AV154" i="20"/>
  <c r="AW154" i="20" a="1"/>
  <c r="AW154" i="20" s="1"/>
  <c r="F542" i="19" s="1"/>
  <c r="AW177" i="20" a="1"/>
  <c r="AW177" i="20" s="1"/>
  <c r="AV196" i="20"/>
  <c r="AW196" i="20" a="1"/>
  <c r="AW196" i="20" s="1"/>
  <c r="AV102" i="20"/>
  <c r="AW102" i="20" a="1"/>
  <c r="AW102" i="20" s="1"/>
  <c r="F490" i="19" s="1"/>
  <c r="AV174" i="20"/>
  <c r="AW174" i="20" a="1"/>
  <c r="AW174" i="20" s="1"/>
  <c r="AV74" i="20"/>
  <c r="AW74" i="20" a="1"/>
  <c r="AW74" i="20" s="1"/>
  <c r="F462" i="19" s="1"/>
  <c r="AV176" i="20"/>
  <c r="AW176" i="20" a="1"/>
  <c r="AW176" i="20" s="1"/>
  <c r="AV70" i="20"/>
  <c r="AW70" i="20" a="1"/>
  <c r="AW70" i="20" s="1"/>
  <c r="F458" i="19" s="1"/>
  <c r="AV66" i="20"/>
  <c r="AW66" i="20" a="1"/>
  <c r="AW66" i="20" s="1"/>
  <c r="F454" i="19" s="1"/>
  <c r="AV151" i="20"/>
  <c r="AW151" i="20" a="1"/>
  <c r="AW151" i="20" s="1"/>
  <c r="F539" i="19" s="1"/>
  <c r="AV44" i="20"/>
  <c r="AW44" i="20" a="1"/>
  <c r="AW44" i="20" s="1"/>
  <c r="F432" i="19" s="1"/>
  <c r="AV40" i="20"/>
  <c r="AW40" i="20" a="1"/>
  <c r="AW40" i="20" s="1"/>
  <c r="F428" i="19" s="1"/>
  <c r="AV190" i="20"/>
  <c r="AW190" i="20" a="1"/>
  <c r="AW190" i="20" s="1"/>
  <c r="AV179" i="20"/>
  <c r="AW179" i="20" a="1"/>
  <c r="AW179" i="20" s="1"/>
  <c r="AV62" i="20"/>
  <c r="AW62" i="20" a="1"/>
  <c r="AW62" i="20" s="1"/>
  <c r="F450" i="19" s="1"/>
  <c r="AV149" i="20"/>
  <c r="AW149" i="20" a="1"/>
  <c r="AW149" i="20" s="1"/>
  <c r="F537" i="19" s="1"/>
  <c r="AV161" i="20"/>
  <c r="AW161" i="20" a="1"/>
  <c r="AW161" i="20" s="1"/>
  <c r="AV191" i="20"/>
  <c r="AW191" i="20" a="1"/>
  <c r="AW191" i="20" s="1"/>
  <c r="AV150" i="20"/>
  <c r="AW150" i="20" a="1"/>
  <c r="AW150" i="20" s="1"/>
  <c r="F538" i="19" s="1"/>
  <c r="AV157" i="20"/>
  <c r="AW157" i="20" a="1"/>
  <c r="AW157" i="20" s="1"/>
  <c r="AV71" i="20"/>
  <c r="AW71" i="20" a="1"/>
  <c r="AW71" i="20" s="1"/>
  <c r="F459" i="19" s="1"/>
  <c r="AV180" i="20"/>
  <c r="AW180" i="20" a="1"/>
  <c r="AW180" i="20" s="1"/>
  <c r="AV193" i="20"/>
  <c r="AW193" i="20" a="1"/>
  <c r="AW193" i="20" s="1"/>
  <c r="AV136" i="20"/>
  <c r="AW136" i="20" a="1"/>
  <c r="AW136" i="20" s="1"/>
  <c r="F524" i="19" s="1"/>
  <c r="AV166" i="20"/>
  <c r="AW166" i="20" a="1"/>
  <c r="AW166" i="20" s="1"/>
  <c r="AV30" i="20"/>
  <c r="AW30" i="20" a="1"/>
  <c r="AW30" i="20" s="1"/>
  <c r="F418" i="19" s="1"/>
  <c r="AV122" i="20"/>
  <c r="AW122" i="20" a="1"/>
  <c r="AW122" i="20" s="1"/>
  <c r="F510" i="19" s="1"/>
  <c r="AV110" i="20"/>
  <c r="AW110" i="20" a="1"/>
  <c r="AW110" i="20" s="1"/>
  <c r="F498" i="19" s="1"/>
  <c r="AV95" i="20"/>
  <c r="AW95" i="20" a="1"/>
  <c r="AW95" i="20" s="1"/>
  <c r="F483" i="19" s="1"/>
  <c r="AV142" i="20"/>
  <c r="AW142" i="20" a="1"/>
  <c r="AW142" i="20" s="1"/>
  <c r="F530" i="19" s="1"/>
  <c r="AV94" i="20"/>
  <c r="AW94" i="20" a="1"/>
  <c r="AW94" i="20" s="1"/>
  <c r="F482" i="19" s="1"/>
  <c r="AV162" i="20"/>
  <c r="AW162" i="20" a="1"/>
  <c r="AW162" i="20" s="1"/>
  <c r="AV159" i="20"/>
  <c r="AW159" i="20" a="1"/>
  <c r="AW159" i="20" s="1"/>
  <c r="AV58" i="20"/>
  <c r="AW58" i="20" a="1"/>
  <c r="AW58" i="20" s="1"/>
  <c r="F446" i="19" s="1"/>
  <c r="AV130" i="20"/>
  <c r="AW130" i="20" a="1"/>
  <c r="AW130" i="20" s="1"/>
  <c r="F518" i="19" s="1"/>
  <c r="AW42" i="20" a="1"/>
  <c r="AW42" i="20" s="1"/>
  <c r="F430" i="19" s="1"/>
  <c r="AV145" i="20"/>
  <c r="AW145" i="20" a="1"/>
  <c r="AW145" i="20" s="1"/>
  <c r="F533" i="19" s="1"/>
  <c r="AW198" i="20" a="1"/>
  <c r="AW198" i="20" s="1"/>
  <c r="AV134" i="20"/>
  <c r="AW134" i="20" a="1"/>
  <c r="AW134" i="20" s="1"/>
  <c r="F522" i="19" s="1"/>
  <c r="AV89" i="20"/>
  <c r="AW89" i="20" a="1"/>
  <c r="AW89" i="20" s="1"/>
  <c r="F477" i="19" s="1"/>
  <c r="AV137" i="20"/>
  <c r="AW137" i="20" a="1"/>
  <c r="AW137" i="20" s="1"/>
  <c r="F525" i="19" s="1"/>
  <c r="AV185" i="20"/>
  <c r="AW185" i="20" a="1"/>
  <c r="AW185" i="20" s="1"/>
  <c r="AV114" i="20"/>
  <c r="AW114" i="20" a="1"/>
  <c r="AW114" i="20" s="1"/>
  <c r="F502" i="19" s="1"/>
  <c r="AV172" i="20"/>
  <c r="AW172" i="20" a="1"/>
  <c r="AW172" i="20" s="1"/>
  <c r="AW235" i="20" a="1"/>
  <c r="AW235" i="20" s="1"/>
  <c r="AV12" i="20"/>
  <c r="AW12" i="20" a="1"/>
  <c r="AW12" i="20" s="1"/>
  <c r="F400" i="19" s="1"/>
  <c r="AW230" i="20" a="1"/>
  <c r="AW230" i="20" s="1"/>
  <c r="AW241" i="20" a="1"/>
  <c r="AW241" i="20" s="1"/>
  <c r="AW250" i="20" a="1"/>
  <c r="AW250" i="20" s="1"/>
  <c r="AW254" i="20" a="1"/>
  <c r="AW254" i="20" s="1"/>
  <c r="AW248" i="20" a="1"/>
  <c r="AW248" i="20" s="1"/>
  <c r="F424" i="19"/>
  <c r="AV36" i="20"/>
  <c r="AV199" i="20"/>
  <c r="AW256" i="20" a="1"/>
  <c r="AW256" i="20" s="1"/>
  <c r="AV256" i="20"/>
  <c r="AV163" i="20"/>
  <c r="AW234" i="20" a="1"/>
  <c r="AW234" i="20" s="1"/>
  <c r="AV234" i="20"/>
  <c r="AW207" i="20" a="1"/>
  <c r="AW207" i="20" s="1"/>
  <c r="AV207" i="20"/>
  <c r="AW214" i="20" a="1"/>
  <c r="AW214" i="20" s="1"/>
  <c r="AV214" i="20"/>
  <c r="AW220" i="20" a="1"/>
  <c r="AW220" i="20" s="1"/>
  <c r="F523" i="19"/>
  <c r="AV135" i="20"/>
  <c r="AV200" i="20"/>
  <c r="AV189" i="20"/>
  <c r="AV165" i="20"/>
  <c r="AV15" i="20"/>
  <c r="AW219" i="20" a="1"/>
  <c r="AW219" i="20" s="1"/>
  <c r="AV219" i="20"/>
  <c r="AV138" i="20"/>
  <c r="AV21" i="20"/>
  <c r="AW222" i="20" a="1"/>
  <c r="AW222" i="20" s="1"/>
  <c r="AV222" i="20"/>
  <c r="AV160" i="20"/>
  <c r="F427" i="19"/>
  <c r="AV39" i="20"/>
  <c r="AV175" i="20"/>
  <c r="AW223" i="20" a="1"/>
  <c r="AW223" i="20" s="1"/>
  <c r="AV223" i="20"/>
  <c r="F493" i="19"/>
  <c r="AV105" i="20"/>
  <c r="AW232" i="20" a="1"/>
  <c r="AW232" i="20" s="1"/>
  <c r="AV232" i="20"/>
  <c r="AV93" i="20"/>
  <c r="AV45" i="20"/>
  <c r="F469" i="19"/>
  <c r="AV81" i="20"/>
  <c r="AV78" i="20"/>
  <c r="F491" i="19"/>
  <c r="AV103" i="20"/>
  <c r="F527" i="19"/>
  <c r="AV139" i="20"/>
  <c r="AW231" i="20" a="1"/>
  <c r="AW231" i="20" s="1"/>
  <c r="AW252" i="20" a="1"/>
  <c r="AW252" i="20" s="1"/>
  <c r="AV252" i="20"/>
  <c r="F423" i="19"/>
  <c r="AV35" i="20"/>
  <c r="AV170" i="20"/>
  <c r="AV129" i="20"/>
  <c r="F440" i="19"/>
  <c r="AV52" i="20"/>
  <c r="F521" i="19"/>
  <c r="AV133" i="20"/>
  <c r="AV27" i="20"/>
  <c r="F488" i="19"/>
  <c r="AV100" i="20"/>
  <c r="AW213" i="20" a="1"/>
  <c r="AW213" i="20" s="1"/>
  <c r="AW205" i="20" a="1"/>
  <c r="AW205" i="20" s="1"/>
  <c r="AW225" i="20" a="1"/>
  <c r="AW225" i="20" s="1"/>
  <c r="AW226" i="20" a="1"/>
  <c r="AW226" i="20" s="1"/>
  <c r="AW218" i="20" a="1"/>
  <c r="AW218" i="20" s="1"/>
  <c r="AW208" i="20" a="1"/>
  <c r="AW208" i="20" s="1"/>
  <c r="AW229" i="20" a="1"/>
  <c r="AW229" i="20" s="1"/>
  <c r="AW239" i="20" a="1"/>
  <c r="AW239" i="20" s="1"/>
  <c r="AW261" i="20" a="1"/>
  <c r="AW261" i="20" s="1"/>
  <c r="AW240" i="20" a="1"/>
  <c r="AW240" i="20" s="1"/>
  <c r="AW209" i="20" a="1"/>
  <c r="AW209" i="20" s="1"/>
  <c r="AW215" i="20" a="1"/>
  <c r="AW215" i="20" s="1"/>
  <c r="AW255" i="20" a="1"/>
  <c r="AW255" i="20" s="1"/>
  <c r="AW221" i="20" a="1"/>
  <c r="AW221" i="20" s="1"/>
  <c r="AW257" i="20" a="1"/>
  <c r="AW257" i="20" s="1"/>
  <c r="AW243" i="20" a="1"/>
  <c r="AW243" i="20" s="1"/>
  <c r="AW216" i="20" a="1"/>
  <c r="AW216" i="20" s="1"/>
  <c r="AW211" i="20" a="1"/>
  <c r="AW211" i="20" s="1"/>
  <c r="AW253" i="20" a="1"/>
  <c r="AW253" i="20" s="1"/>
  <c r="AW236" i="20" a="1"/>
  <c r="AW236" i="20" s="1"/>
  <c r="AW251" i="20" a="1"/>
  <c r="AW251" i="20" s="1"/>
  <c r="AT108" i="20"/>
  <c r="P132" i="20"/>
  <c r="AU132" i="20" s="1"/>
  <c r="F66" i="22"/>
  <c r="N66" i="22" s="1"/>
  <c r="AT44" i="20"/>
  <c r="P182" i="20"/>
  <c r="AU182" i="20" s="1"/>
  <c r="AW182" i="20" s="1" a="1"/>
  <c r="AW182" i="20" s="1"/>
  <c r="P244" i="20"/>
  <c r="AU244" i="20" s="1"/>
  <c r="AT70" i="20"/>
  <c r="P83" i="20"/>
  <c r="AU83" i="20" s="1"/>
  <c r="AW83" i="20" s="1" a="1"/>
  <c r="AW83" i="20" s="1"/>
  <c r="AT225" i="20"/>
  <c r="AT186" i="20"/>
  <c r="P124" i="20"/>
  <c r="AU124" i="20" s="1"/>
  <c r="AW124" i="20" s="1" a="1"/>
  <c r="AW124" i="20" s="1"/>
  <c r="AT93" i="20"/>
  <c r="AT183" i="20"/>
  <c r="P69" i="20"/>
  <c r="AU69" i="20" s="1"/>
  <c r="AW69" i="20" s="1" a="1"/>
  <c r="AW69" i="20" s="1"/>
  <c r="AT181" i="20"/>
  <c r="P24" i="20"/>
  <c r="AU24" i="20" s="1"/>
  <c r="AW24" i="20" s="1" a="1"/>
  <c r="AW24" i="20" s="1"/>
  <c r="C55" i="22"/>
  <c r="F55" i="22"/>
  <c r="N55" i="22" s="1"/>
  <c r="C84" i="22"/>
  <c r="F84" i="22"/>
  <c r="I84" i="22" s="1"/>
  <c r="F77" i="22"/>
  <c r="I77" i="22" s="1"/>
  <c r="C77" i="22"/>
  <c r="C31" i="22"/>
  <c r="F31" i="22"/>
  <c r="I31" i="22" s="1"/>
  <c r="B27" i="22"/>
  <c r="C33" i="22"/>
  <c r="F33" i="22"/>
  <c r="N33" i="22" s="1"/>
  <c r="C48" i="22"/>
  <c r="F48" i="22"/>
  <c r="I48" i="22" s="1"/>
  <c r="C56" i="22"/>
  <c r="F56" i="22"/>
  <c r="I56" i="22" s="1"/>
  <c r="C73" i="22"/>
  <c r="F73" i="22"/>
  <c r="N73" i="22" s="1"/>
  <c r="C75" i="22"/>
  <c r="F75" i="22"/>
  <c r="I75" i="22" s="1"/>
  <c r="F41" i="22"/>
  <c r="I41" i="22" s="1"/>
  <c r="C41" i="22"/>
  <c r="C61" i="22"/>
  <c r="F61" i="22"/>
  <c r="I61" i="22" s="1"/>
  <c r="F80" i="22"/>
  <c r="N80" i="22" s="1"/>
  <c r="C80" i="22"/>
  <c r="F59" i="22"/>
  <c r="N59" i="22" s="1"/>
  <c r="C59" i="22"/>
  <c r="F49" i="22"/>
  <c r="N49" i="22" s="1"/>
  <c r="C49" i="22"/>
  <c r="F39" i="22"/>
  <c r="N39" i="22" s="1"/>
  <c r="C39" i="22"/>
  <c r="F57" i="22"/>
  <c r="I57" i="22" s="1"/>
  <c r="C57" i="22"/>
  <c r="F72" i="22"/>
  <c r="I72" i="22" s="1"/>
  <c r="C72" i="22"/>
  <c r="F82" i="22"/>
  <c r="I82" i="22" s="1"/>
  <c r="C82" i="22"/>
  <c r="C35" i="22"/>
  <c r="F35" i="22"/>
  <c r="I35" i="22" s="1"/>
  <c r="C40" i="22"/>
  <c r="F40" i="22"/>
  <c r="I40" i="22" s="1"/>
  <c r="C43" i="22"/>
  <c r="F43" i="22"/>
  <c r="N43" i="22" s="1"/>
  <c r="F50" i="22"/>
  <c r="I50" i="22" s="1"/>
  <c r="C50" i="22"/>
  <c r="F64" i="22"/>
  <c r="I64" i="22" s="1"/>
  <c r="C64" i="22"/>
  <c r="C44" i="22"/>
  <c r="F44" i="22"/>
  <c r="I44" i="22" s="1"/>
  <c r="C60" i="22"/>
  <c r="F60" i="22"/>
  <c r="I60" i="22" s="1"/>
  <c r="F83" i="22"/>
  <c r="I83" i="22" s="1"/>
  <c r="C83" i="22"/>
  <c r="A65" i="22"/>
  <c r="E65" i="22" s="1"/>
  <c r="J65" i="22" s="1"/>
  <c r="A66" i="22"/>
  <c r="E66" i="22" s="1"/>
  <c r="J66" i="22" s="1"/>
  <c r="L66" i="22" s="1"/>
  <c r="F36" i="22"/>
  <c r="N36" i="22" s="1"/>
  <c r="C42" i="22"/>
  <c r="F42" i="22"/>
  <c r="I42" i="22" s="1"/>
  <c r="C47" i="22"/>
  <c r="F47" i="22"/>
  <c r="N47" i="22" s="1"/>
  <c r="C63" i="22"/>
  <c r="F63" i="22"/>
  <c r="I63" i="22" s="1"/>
  <c r="F71" i="22"/>
  <c r="I71" i="22" s="1"/>
  <c r="C71" i="22"/>
  <c r="C53" i="22"/>
  <c r="F53" i="22"/>
  <c r="I53" i="22" s="1"/>
  <c r="C62" i="22"/>
  <c r="F62" i="22"/>
  <c r="N62" i="22" s="1"/>
  <c r="F85" i="22"/>
  <c r="N85" i="22" s="1"/>
  <c r="C85" i="22"/>
  <c r="F65" i="22"/>
  <c r="I65" i="22" s="1"/>
  <c r="F37" i="22"/>
  <c r="I37" i="22" s="1"/>
  <c r="C58" i="22"/>
  <c r="F58" i="22"/>
  <c r="I58" i="22" s="1"/>
  <c r="F45" i="22"/>
  <c r="I45" i="22" s="1"/>
  <c r="C45" i="22"/>
  <c r="C70" i="22"/>
  <c r="F70" i="22"/>
  <c r="N70" i="22" s="1"/>
  <c r="C78" i="22"/>
  <c r="F78" i="22"/>
  <c r="I78" i="22" s="1"/>
  <c r="F34" i="22"/>
  <c r="I34" i="22" s="1"/>
  <c r="C34" i="22"/>
  <c r="C69" i="22"/>
  <c r="F69" i="22"/>
  <c r="I69" i="22" s="1"/>
  <c r="F52" i="22"/>
  <c r="N52" i="22" s="1"/>
  <c r="C52" i="22"/>
  <c r="F54" i="22"/>
  <c r="N54" i="22" s="1"/>
  <c r="C54" i="22"/>
  <c r="F81" i="22"/>
  <c r="I81" i="22" s="1"/>
  <c r="C76" i="22"/>
  <c r="F76" i="22"/>
  <c r="I76" i="22" s="1"/>
  <c r="A37" i="22"/>
  <c r="E37" i="22" s="1"/>
  <c r="J37" i="22" s="1"/>
  <c r="C67" i="22"/>
  <c r="F67" i="22"/>
  <c r="I67" i="22" s="1"/>
  <c r="C38" i="22"/>
  <c r="F38" i="22"/>
  <c r="I38" i="22" s="1"/>
  <c r="F74" i="22"/>
  <c r="I74" i="22" s="1"/>
  <c r="C74" i="22"/>
  <c r="C51" i="22"/>
  <c r="F51" i="22"/>
  <c r="I51" i="22" s="1"/>
  <c r="F46" i="22"/>
  <c r="I46" i="22" s="1"/>
  <c r="C46" i="22"/>
  <c r="F68" i="22"/>
  <c r="N68" i="22" s="1"/>
  <c r="C68" i="22"/>
  <c r="F79" i="22"/>
  <c r="N79" i="22" s="1"/>
  <c r="C79" i="22"/>
  <c r="C32" i="22"/>
  <c r="F32" i="22"/>
  <c r="I32" i="22" s="1"/>
  <c r="A81" i="22"/>
  <c r="E81" i="22" s="1"/>
  <c r="J81" i="22" s="1"/>
  <c r="P14" i="20"/>
  <c r="AU14" i="20" s="1"/>
  <c r="AW14" i="20" s="1" a="1"/>
  <c r="AW14" i="20" s="1"/>
  <c r="AT161" i="20"/>
  <c r="P237" i="20"/>
  <c r="AU237" i="20" s="1"/>
  <c r="BD67" i="20"/>
  <c r="BD217" i="20"/>
  <c r="BD27" i="20"/>
  <c r="BD219" i="20"/>
  <c r="BD63" i="20"/>
  <c r="BD183" i="20"/>
  <c r="BD60" i="20"/>
  <c r="BD199" i="20"/>
  <c r="BD147" i="20"/>
  <c r="BD82" i="20"/>
  <c r="BD211" i="20"/>
  <c r="BD172" i="20"/>
  <c r="BD51" i="20"/>
  <c r="BD23" i="20"/>
  <c r="AT157" i="20"/>
  <c r="AT189" i="20"/>
  <c r="AT15" i="20"/>
  <c r="P84" i="20"/>
  <c r="AU84" i="20" s="1"/>
  <c r="AW84" i="20" s="1" a="1"/>
  <c r="AW84" i="20" s="1"/>
  <c r="AT60" i="20"/>
  <c r="AT114" i="20"/>
  <c r="AT27" i="20"/>
  <c r="AT239" i="20"/>
  <c r="P201" i="20"/>
  <c r="AU201" i="20" s="1"/>
  <c r="AW201" i="20" s="1" a="1"/>
  <c r="AW201" i="20" s="1"/>
  <c r="P76" i="20"/>
  <c r="AU76" i="20" s="1"/>
  <c r="AW76" i="20" s="1" a="1"/>
  <c r="AW76" i="20" s="1"/>
  <c r="AT66" i="20"/>
  <c r="P116" i="20"/>
  <c r="AU116" i="20" s="1"/>
  <c r="AW116" i="20" s="1" a="1"/>
  <c r="AW116" i="20" s="1"/>
  <c r="AT30" i="20"/>
  <c r="AT222" i="20"/>
  <c r="AT45" i="20"/>
  <c r="AT100" i="20"/>
  <c r="AT172" i="20"/>
  <c r="AT213" i="20"/>
  <c r="P51" i="20"/>
  <c r="AU51" i="20" s="1"/>
  <c r="AW51" i="20" s="1" a="1"/>
  <c r="AW51" i="20" s="1"/>
  <c r="BD94" i="20"/>
  <c r="BD212" i="20"/>
  <c r="BD176" i="20"/>
  <c r="BD205" i="20"/>
  <c r="BD252" i="20"/>
  <c r="BD168" i="20"/>
  <c r="BD18" i="20"/>
  <c r="BD163" i="20"/>
  <c r="BD122" i="20"/>
  <c r="BD56" i="20"/>
  <c r="BD162" i="20"/>
  <c r="BD133" i="20"/>
  <c r="BD193" i="20"/>
  <c r="BD86" i="20"/>
  <c r="BD239" i="20"/>
  <c r="BD149" i="20"/>
  <c r="AT18" i="20"/>
  <c r="AT133" i="20"/>
  <c r="P54" i="20"/>
  <c r="AU54" i="20" s="1"/>
  <c r="AW54" i="20" s="1" a="1"/>
  <c r="AW54" i="20" s="1"/>
  <c r="AT33" i="20"/>
  <c r="AT147" i="20"/>
  <c r="AT36" i="20"/>
  <c r="P249" i="20"/>
  <c r="AU249" i="20" s="1"/>
  <c r="AT234" i="20"/>
  <c r="AT240" i="20"/>
  <c r="P227" i="20"/>
  <c r="AU227" i="20" s="1"/>
  <c r="AV227" i="20" s="1"/>
  <c r="P126" i="20"/>
  <c r="AU126" i="20" s="1"/>
  <c r="AW126" i="20" s="1" a="1"/>
  <c r="AW126" i="20" s="1"/>
  <c r="AT48" i="20"/>
  <c r="P72" i="20"/>
  <c r="AU72" i="20" s="1"/>
  <c r="AW72" i="20" s="1" a="1"/>
  <c r="AW72" i="20" s="1"/>
  <c r="AT207" i="20"/>
  <c r="AT120" i="20"/>
  <c r="AT52" i="20"/>
  <c r="BD248" i="20"/>
  <c r="BD29" i="20"/>
  <c r="BD84" i="20"/>
  <c r="BD247" i="20"/>
  <c r="BD114" i="20"/>
  <c r="BD26" i="20"/>
  <c r="BD256" i="20"/>
  <c r="BD164" i="20"/>
  <c r="BD159" i="20"/>
  <c r="BD226" i="20"/>
  <c r="BD32" i="20"/>
  <c r="AT254" i="20"/>
  <c r="BD201" i="20"/>
  <c r="BD187" i="20"/>
  <c r="P148" i="20"/>
  <c r="AU148" i="20" s="1"/>
  <c r="AW148" i="20" s="1" a="1"/>
  <c r="AW148" i="20" s="1"/>
  <c r="BD119" i="20"/>
  <c r="P164" i="20"/>
  <c r="AU164" i="20" s="1"/>
  <c r="AW164" i="20" s="1" a="1"/>
  <c r="AW164" i="20" s="1"/>
  <c r="BD206" i="20"/>
  <c r="BD191" i="20"/>
  <c r="AT142" i="20"/>
  <c r="BD17" i="20"/>
  <c r="BD238" i="20"/>
  <c r="BD155" i="20"/>
  <c r="BD232" i="20"/>
  <c r="BD130" i="20"/>
  <c r="BD46" i="20"/>
  <c r="BD228" i="20"/>
  <c r="BD31" i="20"/>
  <c r="P53" i="20"/>
  <c r="AU53" i="20" s="1"/>
  <c r="AW53" i="20" s="1" a="1"/>
  <c r="AW53" i="20" s="1"/>
  <c r="BD121" i="20"/>
  <c r="BD158" i="20"/>
  <c r="BD189" i="20"/>
  <c r="BD87" i="20"/>
  <c r="BD35" i="20"/>
  <c r="AT215" i="20"/>
  <c r="BD112" i="20"/>
  <c r="BD180" i="20"/>
  <c r="BD108" i="20"/>
  <c r="BD175" i="20"/>
  <c r="BD34" i="20"/>
  <c r="BD115" i="20"/>
  <c r="BD61" i="20"/>
  <c r="BD194" i="20"/>
  <c r="BD152" i="20"/>
  <c r="BD129" i="20"/>
  <c r="BD89" i="20"/>
  <c r="BD53" i="20"/>
  <c r="BD173" i="20"/>
  <c r="BD166" i="20"/>
  <c r="BD251" i="20"/>
  <c r="BD12" i="20"/>
  <c r="BD234" i="20"/>
  <c r="BD170" i="20"/>
  <c r="BD124" i="20"/>
  <c r="BD42" i="20"/>
  <c r="BD258" i="20"/>
  <c r="BD174" i="20"/>
  <c r="BD138" i="20"/>
  <c r="BD102" i="20"/>
  <c r="BD169" i="20"/>
  <c r="BD28" i="20"/>
  <c r="BD55" i="20"/>
  <c r="BD20" i="20"/>
  <c r="BD85" i="20"/>
  <c r="BD260" i="20"/>
  <c r="BD188" i="20"/>
  <c r="BD50" i="20"/>
  <c r="BD75" i="20"/>
  <c r="BD213" i="20"/>
  <c r="BD231" i="20"/>
  <c r="BD195" i="20"/>
  <c r="BD125" i="20"/>
  <c r="BD83" i="20"/>
  <c r="AT176" i="20"/>
  <c r="P260" i="20"/>
  <c r="AU260" i="20" s="1"/>
  <c r="AT32" i="20"/>
  <c r="AT230" i="20"/>
  <c r="AT194" i="20"/>
  <c r="P26" i="20"/>
  <c r="AU26" i="20" s="1"/>
  <c r="AW26" i="20" s="1" a="1"/>
  <c r="AW26" i="20" s="1"/>
  <c r="AT39" i="20"/>
  <c r="P86" i="20"/>
  <c r="AU86" i="20" s="1"/>
  <c r="AW86" i="20" s="1" a="1"/>
  <c r="AW86" i="20" s="1"/>
  <c r="AT35" i="20"/>
  <c r="AT149" i="20"/>
  <c r="AT134" i="20"/>
  <c r="AT21" i="20"/>
  <c r="P41" i="20"/>
  <c r="AU41" i="20" s="1"/>
  <c r="AW41" i="20" s="1" a="1"/>
  <c r="AW41" i="20" s="1"/>
  <c r="AT200" i="20"/>
  <c r="P59" i="20"/>
  <c r="AU59" i="20" s="1"/>
  <c r="AW59" i="20" s="1" a="1"/>
  <c r="AW59" i="20" s="1"/>
  <c r="AT236" i="20"/>
  <c r="AT138" i="20"/>
  <c r="P80" i="20"/>
  <c r="AU80" i="20" s="1"/>
  <c r="AW80" i="20" s="1" a="1"/>
  <c r="AW80" i="20" s="1"/>
  <c r="P140" i="20"/>
  <c r="AU140" i="20" s="1"/>
  <c r="AW140" i="20" s="1" a="1"/>
  <c r="AW140" i="20" s="1"/>
  <c r="P155" i="20"/>
  <c r="AU155" i="20" s="1"/>
  <c r="AW155" i="20" s="1" a="1"/>
  <c r="AW155" i="20" s="1"/>
  <c r="P245" i="20"/>
  <c r="AU245" i="20" s="1"/>
  <c r="P98" i="20"/>
  <c r="AU98" i="20" s="1"/>
  <c r="AW98" i="20" s="1" a="1"/>
  <c r="AW98" i="20" s="1"/>
  <c r="P38" i="20"/>
  <c r="AU38" i="20" s="1"/>
  <c r="AW38" i="20" s="1" a="1"/>
  <c r="AW38" i="20" s="1"/>
  <c r="P47" i="20"/>
  <c r="AU47" i="20" s="1"/>
  <c r="AW47" i="20" s="1" a="1"/>
  <c r="AW47" i="20" s="1"/>
  <c r="P188" i="20"/>
  <c r="AU188" i="20" s="1"/>
  <c r="AW188" i="20" s="1" a="1"/>
  <c r="AW188" i="20" s="1"/>
  <c r="AT68" i="20"/>
  <c r="AT20" i="20"/>
  <c r="P143" i="20"/>
  <c r="AU143" i="20" s="1"/>
  <c r="AW143" i="20" s="1" a="1"/>
  <c r="AW143" i="20" s="1"/>
  <c r="P92" i="20"/>
  <c r="AU92" i="20" s="1"/>
  <c r="AW92" i="20" s="1" a="1"/>
  <c r="AW92" i="20" s="1"/>
  <c r="AT110" i="20"/>
  <c r="AT251" i="20"/>
  <c r="AT62" i="20"/>
  <c r="P77" i="20"/>
  <c r="AU77" i="20" s="1"/>
  <c r="AW77" i="20" s="1" a="1"/>
  <c r="AW77" i="20" s="1"/>
  <c r="AT101" i="20"/>
  <c r="AT89" i="20"/>
  <c r="P23" i="20"/>
  <c r="AU23" i="20" s="1"/>
  <c r="AW23" i="20" s="1" a="1"/>
  <c r="AW23" i="20" s="1"/>
  <c r="AT74" i="20"/>
  <c r="AT167" i="20"/>
  <c r="P65" i="20"/>
  <c r="AU65" i="20" s="1"/>
  <c r="P125" i="20"/>
  <c r="AU125" i="20" s="1"/>
  <c r="AT191" i="20"/>
  <c r="P152" i="20"/>
  <c r="AU152" i="20" s="1"/>
  <c r="AW152" i="20" s="1" a="1"/>
  <c r="AW152" i="20" s="1"/>
  <c r="AT129" i="20"/>
  <c r="P57" i="20"/>
  <c r="AU57" i="20" s="1"/>
  <c r="AW57" i="20" s="1" a="1"/>
  <c r="AW57" i="20" s="1"/>
  <c r="AT197" i="20"/>
  <c r="AT95" i="20"/>
  <c r="AT107" i="20"/>
  <c r="AT104" i="20"/>
  <c r="P242" i="20"/>
  <c r="AU242" i="20" s="1"/>
  <c r="P56" i="20"/>
  <c r="AU56" i="20" s="1"/>
  <c r="AW56" i="20" s="1" a="1"/>
  <c r="AW56" i="20" s="1"/>
  <c r="BD48" i="20"/>
  <c r="AT122" i="20"/>
  <c r="BD216" i="20"/>
  <c r="BD24" i="20"/>
  <c r="BD200" i="20"/>
  <c r="BD203" i="20"/>
  <c r="BD161" i="20"/>
  <c r="P212" i="20"/>
  <c r="AU212" i="20" s="1"/>
  <c r="P206" i="20"/>
  <c r="AU206" i="20" s="1"/>
  <c r="BD210" i="20"/>
  <c r="BD13" i="20"/>
  <c r="BD57" i="20"/>
  <c r="BD145" i="20"/>
  <c r="BD93" i="20"/>
  <c r="BD227" i="20"/>
  <c r="BD143" i="20"/>
  <c r="AT131" i="20"/>
  <c r="P29" i="20"/>
  <c r="AU29" i="20" s="1"/>
  <c r="AW29" i="20" s="1" a="1"/>
  <c r="AW29" i="20" s="1"/>
  <c r="BD126" i="20"/>
  <c r="BD90" i="20"/>
  <c r="BD64" i="20"/>
  <c r="BD237" i="20"/>
  <c r="BD59" i="20"/>
  <c r="AT248" i="20"/>
  <c r="AT185" i="20"/>
  <c r="BD39" i="20"/>
  <c r="BD192" i="20"/>
  <c r="BD253" i="20"/>
  <c r="BD127" i="20"/>
  <c r="BD40" i="20"/>
  <c r="BD220" i="20"/>
  <c r="P50" i="20"/>
  <c r="AU50" i="20" s="1"/>
  <c r="P128" i="20"/>
  <c r="AU128" i="20" s="1"/>
  <c r="AW128" i="20" s="1" a="1"/>
  <c r="AW128" i="20" s="1"/>
  <c r="BD88" i="20"/>
  <c r="BD68" i="20"/>
  <c r="BD225" i="20"/>
  <c r="BD165" i="20"/>
  <c r="BD106" i="20"/>
  <c r="P233" i="20"/>
  <c r="AU233" i="20" s="1"/>
  <c r="AV233" i="20" s="1"/>
  <c r="BD246" i="20"/>
  <c r="BD43" i="20"/>
  <c r="BD104" i="20"/>
  <c r="BD80" i="20"/>
  <c r="BD111" i="20"/>
  <c r="BD190" i="20"/>
  <c r="AT137" i="20"/>
  <c r="BD139" i="20"/>
  <c r="BD153" i="20"/>
  <c r="BD136" i="20"/>
  <c r="BD36" i="20"/>
  <c r="BD255" i="20"/>
  <c r="BD197" i="20"/>
  <c r="BD107" i="20"/>
  <c r="AT170" i="20"/>
  <c r="BD208" i="20"/>
  <c r="P224" i="20"/>
  <c r="AU224" i="20" s="1"/>
  <c r="AT158" i="20"/>
  <c r="BD144" i="20"/>
  <c r="AT113" i="20"/>
  <c r="BD240" i="20"/>
  <c r="BD254" i="20"/>
  <c r="BD66" i="20"/>
  <c r="BD157" i="20"/>
  <c r="BD81" i="20"/>
  <c r="BD134" i="20"/>
  <c r="BD218" i="20"/>
  <c r="BD182" i="20"/>
  <c r="BD131" i="20"/>
  <c r="BD154" i="20"/>
  <c r="BD196" i="20"/>
  <c r="BD54" i="20"/>
  <c r="BD21" i="20"/>
  <c r="BD259" i="20"/>
  <c r="BD209" i="20"/>
  <c r="BD167" i="20"/>
  <c r="AT154" i="20"/>
  <c r="AU144" i="20"/>
  <c r="AW144" i="20" s="1" a="1"/>
  <c r="AW144" i="20" s="1"/>
  <c r="AT64" i="20"/>
  <c r="AT46" i="20"/>
  <c r="AT145" i="20"/>
  <c r="P115" i="20"/>
  <c r="AU115" i="20" s="1"/>
  <c r="AW115" i="20" s="1" a="1"/>
  <c r="AW115" i="20" s="1"/>
  <c r="AT190" i="20"/>
  <c r="P79" i="20"/>
  <c r="AU79" i="20" s="1"/>
  <c r="AW79" i="20" s="1" a="1"/>
  <c r="AW79" i="20" s="1"/>
  <c r="AT223" i="20"/>
  <c r="P106" i="20"/>
  <c r="AU106" i="20" s="1"/>
  <c r="AW106" i="20" s="1" a="1"/>
  <c r="AW106" i="20" s="1"/>
  <c r="AT250" i="20"/>
  <c r="P97" i="20"/>
  <c r="AU97" i="20" s="1"/>
  <c r="AW97" i="20" s="1" a="1"/>
  <c r="AW97" i="20" s="1"/>
  <c r="BD62" i="20"/>
  <c r="BD215" i="20"/>
  <c r="BD101" i="20"/>
  <c r="BD141" i="20"/>
  <c r="BD204" i="20"/>
  <c r="BD91" i="20"/>
  <c r="BD178" i="20"/>
  <c r="BD19" i="20"/>
  <c r="BD242" i="20"/>
  <c r="BD98" i="20"/>
  <c r="BD249" i="20"/>
  <c r="BD207" i="20"/>
  <c r="BD171" i="20"/>
  <c r="BD243" i="20"/>
  <c r="BD47" i="20"/>
  <c r="BD222" i="20"/>
  <c r="BD198" i="20"/>
  <c r="BD49" i="20"/>
  <c r="BD97" i="20"/>
  <c r="BD99" i="20"/>
  <c r="BD45" i="20"/>
  <c r="BD117" i="20"/>
  <c r="BD65" i="20"/>
  <c r="BD41" i="20"/>
  <c r="BD71" i="20"/>
  <c r="BD38" i="20"/>
  <c r="AK8" i="14"/>
  <c r="AT214" i="20"/>
  <c r="P259" i="20"/>
  <c r="AU259" i="20" s="1"/>
  <c r="AT208" i="20"/>
  <c r="P178" i="20"/>
  <c r="AU178" i="20" s="1"/>
  <c r="P91" i="20"/>
  <c r="AU91" i="20" s="1"/>
  <c r="AW91" i="20" s="1" a="1"/>
  <c r="AW91" i="20" s="1"/>
  <c r="AT136" i="20"/>
  <c r="AT109" i="20"/>
  <c r="P25" i="20"/>
  <c r="AU25" i="20" s="1"/>
  <c r="AW25" i="20" s="1" a="1"/>
  <c r="AW25" i="20" s="1"/>
  <c r="AT232" i="20"/>
  <c r="AT235" i="20"/>
  <c r="P247" i="20"/>
  <c r="AU247" i="20" s="1"/>
  <c r="AT118" i="20"/>
  <c r="P43" i="20"/>
  <c r="AU43" i="20" s="1"/>
  <c r="AW43" i="20" s="1" a="1"/>
  <c r="AW43" i="20" s="1"/>
  <c r="P31" i="20"/>
  <c r="AU31" i="20" s="1"/>
  <c r="AW31" i="20" s="1" a="1"/>
  <c r="AW31" i="20" s="1"/>
  <c r="AT199" i="20"/>
  <c r="P73" i="20"/>
  <c r="AU73" i="20" s="1"/>
  <c r="AW73" i="20" s="1" a="1"/>
  <c r="AW73" i="20" s="1"/>
  <c r="AT241" i="20"/>
  <c r="AT139" i="20"/>
  <c r="P184" i="20"/>
  <c r="AU184" i="20" s="1"/>
  <c r="AW184" i="20" s="1" a="1"/>
  <c r="AW184" i="20" s="1"/>
  <c r="L65" i="22"/>
  <c r="P217" i="20"/>
  <c r="AU217" i="20" s="1"/>
  <c r="P61" i="20"/>
  <c r="AU61" i="20" s="1"/>
  <c r="AT94" i="20"/>
  <c r="AT253" i="20"/>
  <c r="AT37" i="20"/>
  <c r="AT166" i="20"/>
  <c r="AT12" i="20"/>
  <c r="AT22" i="20"/>
  <c r="AT256" i="20"/>
  <c r="P34" i="20"/>
  <c r="AU34" i="20" s="1"/>
  <c r="P187" i="20"/>
  <c r="AU187" i="20" s="1"/>
  <c r="AW187" i="20" s="1" a="1"/>
  <c r="AW187" i="20" s="1"/>
  <c r="P127" i="20"/>
  <c r="AU127" i="20" s="1"/>
  <c r="AW127" i="20" s="1" a="1"/>
  <c r="AW127" i="20" s="1"/>
  <c r="P16" i="20"/>
  <c r="AU16" i="20" s="1"/>
  <c r="AW16" i="20" s="1" a="1"/>
  <c r="AW16" i="20" s="1"/>
  <c r="AT211" i="20"/>
  <c r="P55" i="20"/>
  <c r="AU55" i="20" s="1"/>
  <c r="AW55" i="20" s="1" a="1"/>
  <c r="AW55" i="20" s="1"/>
  <c r="P49" i="20"/>
  <c r="AU49" i="20" s="1"/>
  <c r="AW49" i="20" s="1" a="1"/>
  <c r="AW49" i="20" s="1"/>
  <c r="AT175" i="20"/>
  <c r="AT88" i="20"/>
  <c r="P82" i="20"/>
  <c r="AU82" i="20" s="1"/>
  <c r="AW82" i="20" s="1" a="1"/>
  <c r="AW82" i="20" s="1"/>
  <c r="AT160" i="20"/>
  <c r="AT103" i="20"/>
  <c r="P13" i="20"/>
  <c r="AU13" i="20" s="1"/>
  <c r="P112" i="20"/>
  <c r="AU112" i="20" s="1"/>
  <c r="AW112" i="20" s="1" a="1"/>
  <c r="AW112" i="20" s="1"/>
  <c r="AT40" i="20"/>
  <c r="BD233" i="20"/>
  <c r="AU186" i="20"/>
  <c r="AW186" i="20" s="1" a="1"/>
  <c r="AW186" i="20" s="1"/>
  <c r="AU238" i="20"/>
  <c r="AN48" i="20"/>
  <c r="AU48" i="20"/>
  <c r="AW48" i="20" s="1" a="1"/>
  <c r="AW48" i="20" s="1"/>
  <c r="AN228" i="20"/>
  <c r="AU228" i="20"/>
  <c r="AN90" i="20"/>
  <c r="AU90" i="20"/>
  <c r="AW90" i="20" s="1" a="1"/>
  <c r="AW90" i="20" s="1"/>
  <c r="AN238" i="20"/>
  <c r="AU131" i="20"/>
  <c r="AW131" i="20" s="1" a="1"/>
  <c r="AW131" i="20" s="1"/>
  <c r="AN183" i="20"/>
  <c r="AU183" i="20"/>
  <c r="AW183" i="20" s="1" a="1"/>
  <c r="AW183" i="20" s="1"/>
  <c r="AN84" i="20"/>
  <c r="AU107" i="20"/>
  <c r="AW107" i="20" s="1" a="1"/>
  <c r="AW107" i="20" s="1"/>
  <c r="AN203" i="20"/>
  <c r="AU203" i="20"/>
  <c r="AN246" i="20"/>
  <c r="AN186" i="20"/>
  <c r="AN120" i="20"/>
  <c r="AU120" i="20"/>
  <c r="AW120" i="20" s="1" a="1"/>
  <c r="AW120" i="20" s="1"/>
  <c r="AN258" i="20"/>
  <c r="AN144" i="20"/>
  <c r="AN210" i="20"/>
  <c r="AU210" i="20"/>
  <c r="AJ8" i="20"/>
  <c r="A16" i="14" l="1"/>
  <c r="A15" i="20"/>
  <c r="D203" i="19"/>
  <c r="AV99" i="20"/>
  <c r="AV75" i="20"/>
  <c r="AV17" i="20"/>
  <c r="AV87" i="20"/>
  <c r="AV119" i="20"/>
  <c r="AV171" i="20"/>
  <c r="AV111" i="20"/>
  <c r="AV123" i="20"/>
  <c r="AV141" i="20"/>
  <c r="K419" i="19"/>
  <c r="I419" i="19" s="1"/>
  <c r="AV34" i="20"/>
  <c r="AW34" i="20" a="1"/>
  <c r="AW34" i="20" s="1"/>
  <c r="F422" i="19" s="1"/>
  <c r="AV61" i="20"/>
  <c r="AW61" i="20" a="1"/>
  <c r="AW61" i="20" s="1"/>
  <c r="F449" i="19" s="1"/>
  <c r="AV50" i="20"/>
  <c r="AW50" i="20" a="1"/>
  <c r="AW50" i="20" s="1"/>
  <c r="F438" i="19" s="1"/>
  <c r="AV178" i="20"/>
  <c r="AW178" i="20" a="1"/>
  <c r="AW178" i="20" s="1"/>
  <c r="AV125" i="20"/>
  <c r="AW125" i="20" a="1"/>
  <c r="AW125" i="20" s="1"/>
  <c r="F513" i="19" s="1"/>
  <c r="AV203" i="20"/>
  <c r="AW203" i="20" a="1"/>
  <c r="AW203" i="20" s="1"/>
  <c r="AV65" i="20"/>
  <c r="AW65" i="20" a="1"/>
  <c r="AW65" i="20" s="1"/>
  <c r="F453" i="19" s="1"/>
  <c r="AV132" i="20"/>
  <c r="AW132" i="20" a="1"/>
  <c r="AW132" i="20" s="1"/>
  <c r="F520" i="19" s="1"/>
  <c r="AV13" i="20"/>
  <c r="AW13" i="20" a="1"/>
  <c r="AW13" i="20" s="1"/>
  <c r="F401" i="19" s="1"/>
  <c r="K418" i="19"/>
  <c r="I418" i="19" s="1"/>
  <c r="AW258" i="20" a="1"/>
  <c r="AW258" i="20" s="1"/>
  <c r="AV258" i="20"/>
  <c r="F435" i="19"/>
  <c r="AV47" i="20"/>
  <c r="AV164" i="20"/>
  <c r="F500" i="19"/>
  <c r="AV112" i="20"/>
  <c r="F532" i="19"/>
  <c r="AV144" i="20"/>
  <c r="F447" i="19"/>
  <c r="AV59" i="20"/>
  <c r="AW210" i="20" a="1"/>
  <c r="AW210" i="20" s="1"/>
  <c r="AV210" i="20"/>
  <c r="F508" i="19"/>
  <c r="K415" i="19" s="1"/>
  <c r="I415" i="19" s="1"/>
  <c r="AV120" i="20"/>
  <c r="F519" i="19"/>
  <c r="AV131" i="20"/>
  <c r="AW238" i="20" a="1"/>
  <c r="AW238" i="20" s="1"/>
  <c r="AV238" i="20"/>
  <c r="AW259" i="20" a="1"/>
  <c r="AW259" i="20" s="1"/>
  <c r="AV259" i="20"/>
  <c r="F486" i="19"/>
  <c r="K413" i="19" s="1"/>
  <c r="I413" i="19" s="1"/>
  <c r="AV98" i="20"/>
  <c r="F414" i="19"/>
  <c r="AV26" i="20"/>
  <c r="F536" i="19"/>
  <c r="AV148" i="20"/>
  <c r="L79" i="22" s="1"/>
  <c r="AW249" i="20" a="1"/>
  <c r="AW249" i="20" s="1"/>
  <c r="AV249" i="20"/>
  <c r="F464" i="19"/>
  <c r="AV76" i="20"/>
  <c r="AW237" i="20" a="1"/>
  <c r="AW237" i="20" s="1"/>
  <c r="AV237" i="20"/>
  <c r="F412" i="19"/>
  <c r="AV24" i="20"/>
  <c r="F471" i="19"/>
  <c r="AV83" i="20"/>
  <c r="AV183" i="20"/>
  <c r="F436" i="19"/>
  <c r="AV48" i="20"/>
  <c r="F437" i="19"/>
  <c r="AV49" i="20"/>
  <c r="F504" i="19"/>
  <c r="AV116" i="20"/>
  <c r="F494" i="19"/>
  <c r="AV106" i="20"/>
  <c r="AV186" i="20"/>
  <c r="F480" i="19"/>
  <c r="AV92" i="20"/>
  <c r="AW245" i="20" a="1"/>
  <c r="AW245" i="20" s="1"/>
  <c r="AV245" i="20"/>
  <c r="F429" i="19"/>
  <c r="AV41" i="20"/>
  <c r="AV201" i="20"/>
  <c r="F443" i="19"/>
  <c r="AV55" i="20"/>
  <c r="F467" i="19"/>
  <c r="AV79" i="20"/>
  <c r="F478" i="19"/>
  <c r="AV90" i="20"/>
  <c r="F515" i="19"/>
  <c r="AV127" i="20"/>
  <c r="F461" i="19"/>
  <c r="AV73" i="20"/>
  <c r="F413" i="19"/>
  <c r="AV25" i="20"/>
  <c r="F417" i="19"/>
  <c r="AV29" i="20"/>
  <c r="F445" i="19"/>
  <c r="AV57" i="20"/>
  <c r="F411" i="19"/>
  <c r="AV23" i="20"/>
  <c r="F531" i="19"/>
  <c r="AV143" i="20"/>
  <c r="F543" i="19"/>
  <c r="K422" i="19" s="1"/>
  <c r="I422" i="19" s="1"/>
  <c r="AV155" i="20"/>
  <c r="F441" i="19"/>
  <c r="AV53" i="20"/>
  <c r="F460" i="19"/>
  <c r="AV72" i="20"/>
  <c r="F402" i="19"/>
  <c r="AV14" i="20"/>
  <c r="F457" i="19"/>
  <c r="AV69" i="20"/>
  <c r="AW244" i="20" a="1"/>
  <c r="AW244" i="20" s="1"/>
  <c r="AV244" i="20"/>
  <c r="AV187" i="20"/>
  <c r="F503" i="19"/>
  <c r="AV115" i="20"/>
  <c r="F516" i="19"/>
  <c r="AV128" i="20"/>
  <c r="AW206" i="20" a="1"/>
  <c r="AW206" i="20" s="1"/>
  <c r="AV206" i="20"/>
  <c r="F528" i="19"/>
  <c r="AV140" i="20"/>
  <c r="AV182" i="20"/>
  <c r="F474" i="19"/>
  <c r="AV86" i="20"/>
  <c r="F472" i="19"/>
  <c r="AV84" i="20"/>
  <c r="AV184" i="20"/>
  <c r="AW247" i="20" a="1"/>
  <c r="AW247" i="20" s="1"/>
  <c r="AV247" i="20"/>
  <c r="F426" i="19"/>
  <c r="AV38" i="20"/>
  <c r="L42" i="22" s="1"/>
  <c r="F439" i="19"/>
  <c r="AV51" i="20"/>
  <c r="F404" i="19"/>
  <c r="AV16" i="20"/>
  <c r="F495" i="19"/>
  <c r="AV107" i="20"/>
  <c r="F470" i="19"/>
  <c r="AV82" i="20"/>
  <c r="AW228" i="20" a="1"/>
  <c r="AW228" i="20" s="1"/>
  <c r="AV228" i="20"/>
  <c r="F419" i="19"/>
  <c r="AV31" i="20"/>
  <c r="AW224" i="20" a="1"/>
  <c r="AW224" i="20" s="1"/>
  <c r="AV224" i="20"/>
  <c r="AW212" i="20" a="1"/>
  <c r="AW212" i="20" s="1"/>
  <c r="AV212" i="20"/>
  <c r="F444" i="19"/>
  <c r="AV56" i="20"/>
  <c r="F540" i="19"/>
  <c r="K421" i="19" s="1"/>
  <c r="I421" i="19" s="1"/>
  <c r="AV152" i="20"/>
  <c r="F468" i="19"/>
  <c r="AV80" i="20"/>
  <c r="AW260" i="20" a="1"/>
  <c r="AW260" i="20" s="1"/>
  <c r="AV260" i="20"/>
  <c r="F514" i="19"/>
  <c r="AV126" i="20"/>
  <c r="F442" i="19"/>
  <c r="AV54" i="20"/>
  <c r="AW233" i="20" a="1"/>
  <c r="AW233" i="20" s="1"/>
  <c r="AW227" i="20" a="1"/>
  <c r="AW227" i="20" s="1"/>
  <c r="AW246" i="20" a="1"/>
  <c r="AW246" i="20" s="1"/>
  <c r="AV246" i="20"/>
  <c r="AW217" i="20" a="1"/>
  <c r="AW217" i="20" s="1"/>
  <c r="AV217" i="20"/>
  <c r="F431" i="19"/>
  <c r="AV43" i="20"/>
  <c r="F479" i="19"/>
  <c r="AV91" i="20"/>
  <c r="F485" i="19"/>
  <c r="K412" i="19" s="1"/>
  <c r="I412" i="19" s="1"/>
  <c r="AV97" i="20"/>
  <c r="AW242" i="20" a="1"/>
  <c r="AW242" i="20" s="1"/>
  <c r="AV242" i="20"/>
  <c r="F465" i="19"/>
  <c r="AV77" i="20"/>
  <c r="AV188" i="20"/>
  <c r="F512" i="19"/>
  <c r="AV124" i="20"/>
  <c r="L81" i="22"/>
  <c r="B81" i="22"/>
  <c r="D81" i="22" s="1"/>
  <c r="B37" i="22"/>
  <c r="D37" i="22" s="1"/>
  <c r="B66" i="22"/>
  <c r="B68" i="22"/>
  <c r="D68" i="22" s="1"/>
  <c r="A68" i="22"/>
  <c r="E68" i="22" s="1"/>
  <c r="J68" i="22" s="1"/>
  <c r="B74" i="22"/>
  <c r="D74" i="22" s="1"/>
  <c r="A74" i="22"/>
  <c r="E74" i="22" s="1"/>
  <c r="J74" i="22" s="1"/>
  <c r="N34" i="22"/>
  <c r="N45" i="22"/>
  <c r="N71" i="22"/>
  <c r="B42" i="22"/>
  <c r="D42" i="22" s="1"/>
  <c r="A42" i="22"/>
  <c r="E42" i="22" s="1"/>
  <c r="J42" i="22" s="1"/>
  <c r="B83" i="22"/>
  <c r="D83" i="22" s="1"/>
  <c r="A83" i="22"/>
  <c r="E83" i="22" s="1"/>
  <c r="J83" i="22" s="1"/>
  <c r="L83" i="22" s="1"/>
  <c r="B64" i="22"/>
  <c r="D64" i="22" s="1"/>
  <c r="A64" i="22"/>
  <c r="E64" i="22" s="1"/>
  <c r="J64" i="22" s="1"/>
  <c r="N40" i="22"/>
  <c r="B72" i="22"/>
  <c r="D72" i="22" s="1"/>
  <c r="A72" i="22"/>
  <c r="E72" i="22" s="1"/>
  <c r="J72" i="22" s="1"/>
  <c r="L72" i="22" s="1"/>
  <c r="B49" i="22"/>
  <c r="D49" i="22" s="1"/>
  <c r="A49" i="22"/>
  <c r="E49" i="22" s="1"/>
  <c r="J49" i="22" s="1"/>
  <c r="N61" i="22"/>
  <c r="N77" i="22"/>
  <c r="N74" i="22"/>
  <c r="B52" i="22"/>
  <c r="D52" i="22" s="1"/>
  <c r="A52" i="22"/>
  <c r="E52" i="22" s="1"/>
  <c r="J52" i="22" s="1"/>
  <c r="N78" i="22"/>
  <c r="N58" i="22"/>
  <c r="N63" i="22"/>
  <c r="N83" i="22"/>
  <c r="N64" i="22"/>
  <c r="A40" i="22"/>
  <c r="E40" i="22" s="1"/>
  <c r="J40" i="22" s="1"/>
  <c r="L40" i="22" s="1"/>
  <c r="B40" i="22"/>
  <c r="D40" i="22" s="1"/>
  <c r="N72" i="22"/>
  <c r="B61" i="22"/>
  <c r="D61" i="22" s="1"/>
  <c r="A61" i="22"/>
  <c r="E61" i="22" s="1"/>
  <c r="J61" i="22" s="1"/>
  <c r="B73" i="22"/>
  <c r="A73" i="22"/>
  <c r="E73" i="22" s="1"/>
  <c r="J73" i="22" s="1"/>
  <c r="L73" i="22" s="1"/>
  <c r="B33" i="22"/>
  <c r="D33" i="22" s="1"/>
  <c r="A33" i="22"/>
  <c r="E33" i="22" s="1"/>
  <c r="J33" i="22" s="1"/>
  <c r="N84" i="22"/>
  <c r="N32" i="22"/>
  <c r="A46" i="22"/>
  <c r="E46" i="22" s="1"/>
  <c r="J46" i="22" s="1"/>
  <c r="B46" i="22"/>
  <c r="D46" i="22" s="1"/>
  <c r="N38" i="22"/>
  <c r="N76" i="22"/>
  <c r="B78" i="22"/>
  <c r="D78" i="22" s="1"/>
  <c r="A78" i="22"/>
  <c r="E78" i="22" s="1"/>
  <c r="J78" i="22" s="1"/>
  <c r="L78" i="22" s="1"/>
  <c r="A58" i="22"/>
  <c r="E58" i="22" s="1"/>
  <c r="J58" i="22" s="1"/>
  <c r="B58" i="22"/>
  <c r="D58" i="22" s="1"/>
  <c r="A62" i="22"/>
  <c r="E62" i="22" s="1"/>
  <c r="J62" i="22" s="1"/>
  <c r="B62" i="22"/>
  <c r="D62" i="22" s="1"/>
  <c r="A63" i="22"/>
  <c r="E63" i="22" s="1"/>
  <c r="J63" i="22" s="1"/>
  <c r="B63" i="22"/>
  <c r="D63" i="22" s="1"/>
  <c r="N60" i="22"/>
  <c r="A50" i="22"/>
  <c r="E50" i="22" s="1"/>
  <c r="J50" i="22" s="1"/>
  <c r="B50" i="22"/>
  <c r="D50" i="22" s="1"/>
  <c r="N35" i="22"/>
  <c r="A57" i="22"/>
  <c r="E57" i="22" s="1"/>
  <c r="J57" i="22" s="1"/>
  <c r="B57" i="22"/>
  <c r="D57" i="22" s="1"/>
  <c r="A59" i="22"/>
  <c r="E59" i="22" s="1"/>
  <c r="J59" i="22" s="1"/>
  <c r="B59" i="22"/>
  <c r="D59" i="22" s="1"/>
  <c r="A41" i="22"/>
  <c r="E41" i="22" s="1"/>
  <c r="J41" i="22" s="1"/>
  <c r="L41" i="22" s="1"/>
  <c r="B41" i="22"/>
  <c r="D41" i="22" s="1"/>
  <c r="N56" i="22"/>
  <c r="B84" i="22"/>
  <c r="D84" i="22" s="1"/>
  <c r="A84" i="22"/>
  <c r="E84" i="22" s="1"/>
  <c r="J84" i="22" s="1"/>
  <c r="L84" i="22" s="1"/>
  <c r="A32" i="22"/>
  <c r="E32" i="22" s="1"/>
  <c r="J32" i="22" s="1"/>
  <c r="B32" i="22"/>
  <c r="D32" i="22" s="1"/>
  <c r="N46" i="22"/>
  <c r="A38" i="22"/>
  <c r="E38" i="22" s="1"/>
  <c r="J38" i="22" s="1"/>
  <c r="L38" i="22" s="1"/>
  <c r="B38" i="22"/>
  <c r="D38" i="22" s="1"/>
  <c r="A76" i="22"/>
  <c r="E76" i="22" s="1"/>
  <c r="J76" i="22" s="1"/>
  <c r="B76" i="22"/>
  <c r="D76" i="22" s="1"/>
  <c r="N69" i="22"/>
  <c r="N37" i="22"/>
  <c r="N53" i="22"/>
  <c r="B60" i="22"/>
  <c r="D60" i="22" s="1"/>
  <c r="A60" i="22"/>
  <c r="E60" i="22" s="1"/>
  <c r="J60" i="22" s="1"/>
  <c r="N50" i="22"/>
  <c r="A35" i="22"/>
  <c r="E35" i="22" s="1"/>
  <c r="J35" i="22" s="1"/>
  <c r="B35" i="22"/>
  <c r="D35" i="22" s="1"/>
  <c r="N57" i="22"/>
  <c r="N41" i="22"/>
  <c r="A56" i="22"/>
  <c r="E56" i="22" s="1"/>
  <c r="J56" i="22" s="1"/>
  <c r="B56" i="22"/>
  <c r="D56" i="22" s="1"/>
  <c r="N31" i="22"/>
  <c r="A79" i="22"/>
  <c r="E79" i="22" s="1"/>
  <c r="J79" i="22" s="1"/>
  <c r="B79" i="22"/>
  <c r="D79" i="22" s="1"/>
  <c r="N51" i="22"/>
  <c r="N67" i="22"/>
  <c r="N81" i="22"/>
  <c r="B69" i="22"/>
  <c r="D69" i="22" s="1"/>
  <c r="A69" i="22"/>
  <c r="E69" i="22" s="1"/>
  <c r="J69" i="22" s="1"/>
  <c r="L69" i="22" s="1"/>
  <c r="A70" i="22"/>
  <c r="E70" i="22" s="1"/>
  <c r="J70" i="22" s="1"/>
  <c r="L70" i="22" s="1"/>
  <c r="B70" i="22"/>
  <c r="D70" i="22" s="1"/>
  <c r="N65" i="22"/>
  <c r="B53" i="22"/>
  <c r="D53" i="22" s="1"/>
  <c r="A53" i="22"/>
  <c r="E53" i="22" s="1"/>
  <c r="J53" i="22" s="1"/>
  <c r="L53" i="22" s="1"/>
  <c r="A47" i="22"/>
  <c r="E47" i="22" s="1"/>
  <c r="J47" i="22" s="1"/>
  <c r="B47" i="22"/>
  <c r="N44" i="22"/>
  <c r="B82" i="22"/>
  <c r="D82" i="22" s="1"/>
  <c r="A82" i="22"/>
  <c r="E82" i="22" s="1"/>
  <c r="J82" i="22" s="1"/>
  <c r="A39" i="22"/>
  <c r="E39" i="22" s="1"/>
  <c r="J39" i="22" s="1"/>
  <c r="B39" i="22"/>
  <c r="D39" i="22" s="1"/>
  <c r="B80" i="22"/>
  <c r="D80" i="22" s="1"/>
  <c r="A80" i="22"/>
  <c r="E80" i="22" s="1"/>
  <c r="J80" i="22" s="1"/>
  <c r="N75" i="22"/>
  <c r="N48" i="22"/>
  <c r="A31" i="22"/>
  <c r="E31" i="22" s="1"/>
  <c r="J31" i="22" s="1"/>
  <c r="B31" i="22"/>
  <c r="D31" i="22" s="1"/>
  <c r="A55" i="22"/>
  <c r="E55" i="22" s="1"/>
  <c r="J55" i="22" s="1"/>
  <c r="B55" i="22"/>
  <c r="D55" i="22" s="1"/>
  <c r="B51" i="22"/>
  <c r="D51" i="22" s="1"/>
  <c r="A51" i="22"/>
  <c r="E51" i="22" s="1"/>
  <c r="J51" i="22" s="1"/>
  <c r="L51" i="22" s="1"/>
  <c r="B67" i="22"/>
  <c r="D67" i="22" s="1"/>
  <c r="A67" i="22"/>
  <c r="E67" i="22" s="1"/>
  <c r="J67" i="22" s="1"/>
  <c r="A54" i="22"/>
  <c r="E54" i="22" s="1"/>
  <c r="J54" i="22" s="1"/>
  <c r="B54" i="22"/>
  <c r="B34" i="22"/>
  <c r="D34" i="22" s="1"/>
  <c r="A34" i="22"/>
  <c r="E34" i="22" s="1"/>
  <c r="J34" i="22" s="1"/>
  <c r="B45" i="22"/>
  <c r="D45" i="22" s="1"/>
  <c r="A45" i="22"/>
  <c r="E45" i="22" s="1"/>
  <c r="J45" i="22" s="1"/>
  <c r="A85" i="22"/>
  <c r="E85" i="22" s="1"/>
  <c r="J85" i="22" s="1"/>
  <c r="L85" i="22" s="1"/>
  <c r="B85" i="22"/>
  <c r="A71" i="22"/>
  <c r="E71" i="22" s="1"/>
  <c r="J71" i="22" s="1"/>
  <c r="L71" i="22" s="1"/>
  <c r="B71" i="22"/>
  <c r="D71" i="22" s="1"/>
  <c r="N42" i="22"/>
  <c r="B65" i="22"/>
  <c r="D65" i="22" s="1"/>
  <c r="B44" i="22"/>
  <c r="D44" i="22" s="1"/>
  <c r="A44" i="22"/>
  <c r="E44" i="22" s="1"/>
  <c r="J44" i="22" s="1"/>
  <c r="A43" i="22"/>
  <c r="E43" i="22" s="1"/>
  <c r="J43" i="22" s="1"/>
  <c r="B43" i="22"/>
  <c r="D43" i="22" s="1"/>
  <c r="N82" i="22"/>
  <c r="A75" i="22"/>
  <c r="E75" i="22" s="1"/>
  <c r="J75" i="22" s="1"/>
  <c r="B75" i="22"/>
  <c r="D75" i="22" s="1"/>
  <c r="B48" i="22"/>
  <c r="D48" i="22" s="1"/>
  <c r="A48" i="22"/>
  <c r="E48" i="22" s="1"/>
  <c r="J48" i="22" s="1"/>
  <c r="A77" i="22"/>
  <c r="E77" i="22" s="1"/>
  <c r="J77" i="22" s="1"/>
  <c r="L77" i="22" s="1"/>
  <c r="B77" i="22"/>
  <c r="D77" i="22" s="1"/>
  <c r="B36" i="22"/>
  <c r="D36" i="22" s="1"/>
  <c r="A17" i="14" l="1"/>
  <c r="A16" i="20"/>
  <c r="D204" i="19"/>
  <c r="L60" i="22"/>
  <c r="L62" i="22"/>
  <c r="K417" i="19"/>
  <c r="I417" i="19" s="1"/>
  <c r="L67" i="22"/>
  <c r="K407" i="19"/>
  <c r="I407" i="19" s="1"/>
  <c r="L33" i="22"/>
  <c r="K410" i="19"/>
  <c r="I410" i="19" s="1"/>
  <c r="L43" i="22"/>
  <c r="I43" i="22" s="1"/>
  <c r="L68" i="22"/>
  <c r="K408" i="19"/>
  <c r="I408" i="19" s="1"/>
  <c r="K420" i="19"/>
  <c r="I420" i="19" s="1"/>
  <c r="K416" i="19"/>
  <c r="I416" i="19" s="1"/>
  <c r="K414" i="19"/>
  <c r="I414" i="19" s="1"/>
  <c r="K405" i="19"/>
  <c r="I405" i="19" s="1"/>
  <c r="K409" i="19"/>
  <c r="I409" i="19" s="1"/>
  <c r="K411" i="19"/>
  <c r="I411" i="19" s="1"/>
  <c r="K406" i="19"/>
  <c r="I406" i="19" s="1"/>
  <c r="L55" i="22"/>
  <c r="I55" i="22" s="1"/>
  <c r="L54" i="22"/>
  <c r="I54" i="22" s="1"/>
  <c r="L74" i="22"/>
  <c r="L58" i="22"/>
  <c r="L61" i="22"/>
  <c r="L82" i="22"/>
  <c r="I85" i="22" s="1"/>
  <c r="L32" i="22"/>
  <c r="L80" i="22"/>
  <c r="I80" i="22" s="1"/>
  <c r="L34" i="22"/>
  <c r="L75" i="22"/>
  <c r="L76" i="22"/>
  <c r="L37" i="22"/>
  <c r="L44" i="22"/>
  <c r="L45" i="22"/>
  <c r="L63" i="22"/>
  <c r="L50" i="22"/>
  <c r="L31" i="22"/>
  <c r="L52" i="22"/>
  <c r="L48" i="22"/>
  <c r="L47" i="22"/>
  <c r="L59" i="22"/>
  <c r="L57" i="22"/>
  <c r="L64" i="22"/>
  <c r="L56" i="22"/>
  <c r="L49" i="22"/>
  <c r="I73" i="22"/>
  <c r="L39" i="22"/>
  <c r="L35" i="22"/>
  <c r="L46" i="22"/>
  <c r="J201" i="19"/>
  <c r="I70" i="22"/>
  <c r="A18" i="14" l="1"/>
  <c r="A17" i="20"/>
  <c r="D205" i="19"/>
  <c r="I401" i="19"/>
  <c r="I62" i="22"/>
  <c r="I68" i="22"/>
  <c r="D73" i="22" s="1"/>
  <c r="I402" i="19"/>
  <c r="I400" i="19"/>
  <c r="I398" i="19"/>
  <c r="I404" i="19"/>
  <c r="I399" i="19"/>
  <c r="I66" i="22"/>
  <c r="I33" i="22"/>
  <c r="I79" i="22"/>
  <c r="D85" i="22" s="1"/>
  <c r="I36" i="22"/>
  <c r="I39" i="22"/>
  <c r="I52" i="22"/>
  <c r="I59" i="22"/>
  <c r="I47" i="22"/>
  <c r="I49" i="22"/>
  <c r="L86" i="22"/>
  <c r="A19" i="14" l="1"/>
  <c r="A18" i="20"/>
  <c r="D206" i="19"/>
  <c r="Q13" i="23" a="1"/>
  <c r="D66" i="22"/>
  <c r="D47" i="22"/>
  <c r="D54" i="22"/>
  <c r="Q13" i="23" l="1"/>
  <c r="R17" i="23"/>
  <c r="R14" i="23"/>
  <c r="R15" i="23"/>
  <c r="R16" i="23"/>
  <c r="A19" i="20"/>
  <c r="D207" i="19"/>
  <c r="A20" i="14"/>
  <c r="P14" i="23"/>
  <c r="P17" i="23"/>
  <c r="P15" i="23"/>
  <c r="P16" i="23"/>
  <c r="D87" i="22"/>
  <c r="P13" i="23" l="1"/>
  <c r="P18" i="23" s="1"/>
  <c r="Q18" i="23"/>
  <c r="R13" i="23"/>
  <c r="R18" i="23" s="1"/>
  <c r="A20" i="20"/>
  <c r="D208" i="19"/>
  <c r="A21" i="14"/>
  <c r="A21" i="20" l="1"/>
  <c r="D209" i="19"/>
  <c r="A22" i="14"/>
  <c r="A22" i="20" l="1"/>
  <c r="A23" i="14"/>
  <c r="D210" i="19"/>
  <c r="A23" i="20" l="1"/>
  <c r="D211" i="19"/>
  <c r="A24" i="14"/>
  <c r="A24" i="20" l="1"/>
  <c r="A25" i="14"/>
  <c r="D212" i="19"/>
  <c r="A25" i="20" l="1"/>
  <c r="A26" i="14"/>
  <c r="D213" i="19"/>
  <c r="A26" i="20" l="1"/>
  <c r="D214" i="19"/>
  <c r="A27" i="14"/>
  <c r="A27" i="20" l="1"/>
  <c r="A28" i="14"/>
  <c r="D215" i="19"/>
  <c r="A28" i="20" l="1"/>
  <c r="A29" i="14"/>
  <c r="D216" i="19"/>
  <c r="A29" i="20" l="1"/>
  <c r="D217" i="19"/>
  <c r="A30" i="14"/>
  <c r="A30" i="20" l="1"/>
  <c r="D218" i="19"/>
  <c r="A31" i="14"/>
  <c r="A31" i="20" l="1"/>
  <c r="D219" i="19"/>
  <c r="A32" i="14"/>
  <c r="A32" i="20" l="1"/>
  <c r="A33" i="14"/>
  <c r="D220" i="19"/>
  <c r="A33" i="20" l="1"/>
  <c r="A34" i="14"/>
  <c r="D221" i="19"/>
  <c r="A34" i="20" l="1"/>
  <c r="D222" i="19"/>
  <c r="A35" i="14"/>
  <c r="A35" i="20" l="1"/>
  <c r="A36" i="14"/>
  <c r="D223" i="19"/>
  <c r="A36" i="20" l="1"/>
  <c r="A37" i="14"/>
  <c r="D224" i="19"/>
  <c r="A37" i="20" l="1"/>
  <c r="A38" i="14"/>
  <c r="D225" i="19"/>
  <c r="A38" i="20" l="1"/>
  <c r="D226" i="19"/>
  <c r="A39" i="14"/>
  <c r="A39" i="20" l="1"/>
  <c r="A40" i="14"/>
  <c r="D227" i="19"/>
  <c r="A40" i="20" l="1"/>
  <c r="D228" i="19"/>
  <c r="A41" i="14"/>
  <c r="A41" i="20" l="1"/>
  <c r="A42" i="14"/>
  <c r="D229" i="19"/>
  <c r="A42" i="20" l="1"/>
  <c r="D230" i="19"/>
  <c r="A43" i="14"/>
  <c r="A43" i="20" l="1"/>
  <c r="A44" i="14"/>
  <c r="D231" i="19"/>
  <c r="A44" i="20" l="1"/>
  <c r="A45" i="14"/>
  <c r="D232" i="19"/>
  <c r="A45" i="20" l="1"/>
  <c r="A46" i="14"/>
  <c r="D233" i="19"/>
  <c r="A46" i="20" l="1"/>
  <c r="D234" i="19"/>
  <c r="A47" i="14"/>
  <c r="A47" i="20" l="1"/>
  <c r="D235" i="19"/>
  <c r="A48" i="14"/>
  <c r="A48" i="20" l="1"/>
  <c r="D236" i="19"/>
  <c r="A49" i="14"/>
  <c r="A49" i="20" l="1"/>
  <c r="A50" i="14"/>
  <c r="D237" i="19"/>
  <c r="A50" i="20" l="1"/>
  <c r="D238" i="19"/>
  <c r="A51" i="14"/>
  <c r="A51" i="20" l="1"/>
  <c r="A52" i="14"/>
  <c r="D239" i="19"/>
  <c r="A52" i="20" l="1"/>
  <c r="D240" i="19"/>
  <c r="A53" i="14"/>
  <c r="A53" i="20" l="1"/>
  <c r="A54" i="14"/>
  <c r="D241" i="19"/>
  <c r="A54" i="20" l="1"/>
  <c r="A55" i="14"/>
  <c r="D242" i="19"/>
  <c r="A55" i="20" l="1"/>
  <c r="D243" i="19"/>
  <c r="A56" i="14"/>
  <c r="A56" i="20" l="1"/>
  <c r="D244" i="19"/>
  <c r="A57" i="14"/>
  <c r="A57" i="20" l="1"/>
  <c r="A58" i="14"/>
  <c r="D245" i="19"/>
  <c r="A58" i="20" l="1"/>
  <c r="A59" i="14"/>
  <c r="D246" i="19"/>
  <c r="A59" i="20" l="1"/>
  <c r="D247" i="19"/>
  <c r="A60" i="14"/>
  <c r="A60" i="20" l="1"/>
  <c r="A61" i="14"/>
  <c r="D248" i="19"/>
  <c r="A61" i="20" l="1"/>
  <c r="D249" i="19"/>
  <c r="A62" i="14"/>
  <c r="A62" i="20" l="1"/>
  <c r="D250" i="19"/>
  <c r="A63" i="14"/>
  <c r="A63" i="20" l="1"/>
  <c r="D251" i="19"/>
  <c r="A64" i="14"/>
  <c r="A64" i="20" l="1"/>
  <c r="A65" i="14"/>
  <c r="D252" i="19"/>
  <c r="A65" i="20" l="1"/>
  <c r="D253" i="19"/>
  <c r="A66" i="14"/>
  <c r="A66" i="20" l="1"/>
  <c r="D254" i="19"/>
  <c r="A67" i="14"/>
  <c r="A67" i="20" l="1"/>
  <c r="A68" i="14"/>
  <c r="D255" i="19"/>
  <c r="A68" i="20" l="1"/>
  <c r="A69" i="14"/>
  <c r="D256" i="19"/>
  <c r="A69" i="20" l="1"/>
  <c r="A70" i="14"/>
  <c r="D257" i="19"/>
  <c r="A70" i="20" l="1"/>
  <c r="D258" i="19"/>
  <c r="A71" i="14"/>
  <c r="A71" i="20" l="1"/>
  <c r="D259" i="19"/>
  <c r="A72" i="14"/>
  <c r="A72" i="20" l="1"/>
  <c r="A73" i="14"/>
  <c r="D260" i="19"/>
  <c r="A73" i="20" l="1"/>
  <c r="D261" i="19"/>
  <c r="A74" i="14"/>
  <c r="A74" i="20" l="1"/>
  <c r="A75" i="14"/>
  <c r="D262" i="19"/>
  <c r="A75" i="20" l="1"/>
  <c r="A76" i="14"/>
  <c r="D263" i="19"/>
  <c r="A76" i="20" l="1"/>
  <c r="D264" i="19"/>
  <c r="A77" i="14"/>
  <c r="A77" i="20" l="1"/>
  <c r="A78" i="14"/>
  <c r="D265" i="19"/>
  <c r="A78" i="20" l="1"/>
  <c r="A79" i="14"/>
  <c r="D266" i="19"/>
  <c r="A79" i="20" l="1"/>
  <c r="D267" i="19"/>
  <c r="A80" i="14"/>
  <c r="A80" i="20" l="1"/>
  <c r="A81" i="14"/>
  <c r="D268" i="19"/>
  <c r="A81" i="20" l="1"/>
  <c r="D269" i="19"/>
  <c r="A82" i="14"/>
  <c r="A82" i="20" l="1"/>
  <c r="D270" i="19"/>
  <c r="A83" i="14"/>
  <c r="A83" i="20" l="1"/>
  <c r="D271" i="19"/>
  <c r="A84" i="14"/>
  <c r="A84" i="20" l="1"/>
  <c r="A85" i="14"/>
  <c r="D272" i="19"/>
  <c r="A85" i="20" l="1"/>
  <c r="D273" i="19"/>
  <c r="A86" i="14"/>
  <c r="A86" i="20" l="1"/>
  <c r="D274" i="19"/>
  <c r="A87" i="14"/>
  <c r="A87" i="20" l="1"/>
  <c r="D275" i="19"/>
  <c r="A88" i="14"/>
  <c r="A88" i="20" l="1"/>
  <c r="A89" i="14"/>
  <c r="D276" i="19"/>
  <c r="A89" i="20" l="1"/>
  <c r="A90" i="14"/>
  <c r="D277" i="19"/>
  <c r="A90" i="20" l="1"/>
  <c r="A91" i="14"/>
  <c r="D278" i="19"/>
  <c r="A91" i="20" l="1"/>
  <c r="D279" i="19"/>
  <c r="A92" i="14"/>
  <c r="A92" i="20" l="1"/>
  <c r="D280" i="19"/>
  <c r="A93" i="14"/>
  <c r="A93" i="20" l="1"/>
  <c r="A94" i="14"/>
  <c r="D281" i="19"/>
  <c r="A94" i="20" l="1"/>
  <c r="A95" i="14"/>
  <c r="D282" i="19"/>
  <c r="A95" i="20" l="1"/>
  <c r="D283" i="19"/>
  <c r="A96" i="14"/>
  <c r="A96" i="20" l="1"/>
  <c r="D284" i="19"/>
  <c r="A97" i="14"/>
  <c r="A97" i="20" l="1"/>
  <c r="A98" i="14"/>
  <c r="D285" i="19"/>
  <c r="A98" i="20" l="1"/>
  <c r="A99" i="14"/>
  <c r="D286" i="19"/>
  <c r="A99" i="20" l="1"/>
  <c r="D287" i="19"/>
  <c r="A100" i="14"/>
  <c r="A100" i="20" l="1"/>
  <c r="A101" i="14"/>
  <c r="D288" i="19"/>
  <c r="A101" i="20" l="1"/>
  <c r="A102" i="14"/>
  <c r="D289" i="19"/>
  <c r="A102" i="20" l="1"/>
  <c r="D290" i="19"/>
  <c r="A103" i="14"/>
  <c r="A103" i="20" l="1"/>
  <c r="A104" i="14"/>
  <c r="D291" i="19"/>
  <c r="A104" i="20" l="1"/>
  <c r="A105" i="14"/>
  <c r="D292" i="19"/>
  <c r="A105" i="20" l="1"/>
  <c r="A106" i="14"/>
  <c r="D293" i="19"/>
  <c r="A106" i="20" l="1"/>
  <c r="A107" i="14"/>
  <c r="D294" i="19"/>
  <c r="A107" i="20" l="1"/>
  <c r="D295" i="19"/>
  <c r="A108" i="14"/>
  <c r="A108" i="20" l="1"/>
  <c r="D296" i="19"/>
  <c r="A109" i="14"/>
  <c r="A109" i="20" l="1"/>
  <c r="A110" i="14"/>
  <c r="D297" i="19"/>
  <c r="A110" i="20" l="1"/>
  <c r="A111" i="14"/>
  <c r="D298" i="19"/>
  <c r="A111" i="20" l="1"/>
  <c r="D299" i="19"/>
  <c r="A112" i="14"/>
  <c r="A112" i="20" l="1"/>
  <c r="D300" i="19"/>
  <c r="A113" i="14"/>
  <c r="A113" i="20" l="1"/>
  <c r="A114" i="14"/>
  <c r="D301" i="19"/>
  <c r="A114" i="20" l="1"/>
  <c r="A115" i="14"/>
  <c r="D302" i="19"/>
  <c r="A115" i="20" l="1"/>
  <c r="A116" i="14"/>
  <c r="D303" i="19"/>
  <c r="A116" i="20" l="1"/>
  <c r="D304" i="19"/>
  <c r="A117" i="14"/>
  <c r="A117" i="20" l="1"/>
  <c r="A118" i="14"/>
  <c r="D305" i="19"/>
  <c r="A118" i="20" l="1"/>
  <c r="A119" i="14"/>
  <c r="D306" i="19"/>
  <c r="A119" i="20" l="1"/>
  <c r="D307" i="19"/>
  <c r="A120" i="14"/>
  <c r="A120" i="20" l="1"/>
  <c r="A121" i="14"/>
  <c r="D308" i="19"/>
  <c r="A121" i="20" l="1"/>
  <c r="D309" i="19"/>
  <c r="A122" i="14"/>
  <c r="A122" i="20" l="1"/>
  <c r="A123" i="14"/>
  <c r="D310" i="19"/>
  <c r="A123" i="20" l="1"/>
  <c r="D311" i="19"/>
  <c r="A124" i="14"/>
  <c r="A124" i="20" l="1"/>
  <c r="A125" i="14"/>
  <c r="D312" i="19"/>
  <c r="A125" i="20" l="1"/>
  <c r="D313" i="19"/>
  <c r="A126" i="14"/>
  <c r="A126" i="20" l="1"/>
  <c r="A127" i="14"/>
  <c r="D314" i="19"/>
  <c r="A127" i="20" l="1"/>
  <c r="A128" i="14"/>
  <c r="D315" i="19"/>
  <c r="A128" i="20" l="1"/>
  <c r="D316" i="19"/>
  <c r="A129" i="14"/>
  <c r="A129" i="20" l="1"/>
  <c r="D317" i="19"/>
  <c r="A130" i="14"/>
  <c r="A130" i="20" l="1"/>
  <c r="D318" i="19"/>
  <c r="A131" i="14"/>
  <c r="A131" i="20" l="1"/>
  <c r="A132" i="14"/>
  <c r="D319" i="19"/>
  <c r="A132" i="20" l="1"/>
  <c r="A133" i="14"/>
  <c r="D320" i="19"/>
  <c r="A133" i="20" l="1"/>
  <c r="D321" i="19"/>
  <c r="A134" i="14"/>
  <c r="A134" i="20" l="1"/>
  <c r="A135" i="14"/>
  <c r="D322" i="19"/>
  <c r="A135" i="20" l="1"/>
  <c r="A136" i="14"/>
  <c r="D323" i="19"/>
  <c r="A136" i="20" l="1"/>
  <c r="A137" i="14"/>
  <c r="D324" i="19"/>
  <c r="A137" i="20" l="1"/>
  <c r="D325" i="19"/>
  <c r="A138" i="14"/>
  <c r="A138" i="20" l="1"/>
  <c r="D326" i="19"/>
  <c r="A139" i="14"/>
  <c r="A139" i="20" l="1"/>
  <c r="A140" i="14"/>
  <c r="D327" i="19"/>
  <c r="A140" i="20" l="1"/>
  <c r="D328" i="19"/>
  <c r="A141" i="14"/>
  <c r="A141" i="20" l="1"/>
  <c r="D329" i="19"/>
  <c r="A142" i="14"/>
  <c r="A142" i="20" l="1"/>
  <c r="A143" i="14"/>
  <c r="D330" i="19"/>
  <c r="A143" i="20" l="1"/>
  <c r="D331" i="19"/>
  <c r="A144" i="14"/>
  <c r="A144" i="20" l="1"/>
  <c r="D332" i="19"/>
  <c r="A145" i="14"/>
  <c r="A145" i="20" l="1"/>
  <c r="A146" i="14"/>
  <c r="D333" i="19"/>
  <c r="A146" i="20" l="1"/>
  <c r="A147" i="14"/>
  <c r="D334" i="19"/>
  <c r="A147" i="20" l="1"/>
  <c r="A148" i="14"/>
  <c r="D335" i="19"/>
  <c r="A148" i="20" l="1"/>
  <c r="D336" i="19"/>
  <c r="A149" i="14"/>
  <c r="A149" i="20" l="1"/>
  <c r="A150" i="14"/>
  <c r="D337" i="19"/>
  <c r="J200" i="19"/>
  <c r="K200" i="19"/>
  <c r="I200" i="19"/>
  <c r="A150" i="20" l="1"/>
  <c r="D338" i="19"/>
  <c r="A151" i="14"/>
  <c r="L200" i="19"/>
  <c r="J283" i="19"/>
  <c r="J340" i="19"/>
  <c r="J352" i="19"/>
  <c r="J343" i="19"/>
  <c r="J274" i="19"/>
  <c r="J223" i="19"/>
  <c r="J206" i="19"/>
  <c r="J321" i="19"/>
  <c r="J327" i="19"/>
  <c r="J228" i="19"/>
  <c r="J240" i="19"/>
  <c r="J272" i="19"/>
  <c r="J216" i="19"/>
  <c r="J337" i="19"/>
  <c r="J306" i="19"/>
  <c r="K283" i="19"/>
  <c r="I283" i="19"/>
  <c r="J229" i="19"/>
  <c r="J336" i="19"/>
  <c r="K356" i="19"/>
  <c r="I356" i="19"/>
  <c r="J316" i="19"/>
  <c r="J304" i="19"/>
  <c r="J214" i="19"/>
  <c r="J225" i="19"/>
  <c r="J331" i="19"/>
  <c r="J256" i="19"/>
  <c r="J314" i="19"/>
  <c r="J218" i="19"/>
  <c r="J348" i="19"/>
  <c r="J234" i="19"/>
  <c r="J260" i="19"/>
  <c r="J254" i="19"/>
  <c r="I236" i="19"/>
  <c r="K236" i="19"/>
  <c r="K352" i="19"/>
  <c r="I352" i="19"/>
  <c r="J302" i="19"/>
  <c r="J335" i="19"/>
  <c r="I316" i="19"/>
  <c r="K316" i="19"/>
  <c r="J204" i="19"/>
  <c r="J207" i="19"/>
  <c r="J360" i="19"/>
  <c r="J294" i="19"/>
  <c r="J365" i="19"/>
  <c r="J231" i="19"/>
  <c r="K270" i="19"/>
  <c r="I270" i="19"/>
  <c r="I266" i="19"/>
  <c r="K266" i="19"/>
  <c r="J300" i="19"/>
  <c r="I362" i="19"/>
  <c r="K362" i="19"/>
  <c r="K254" i="19"/>
  <c r="I254" i="19"/>
  <c r="I340" i="19"/>
  <c r="K340" i="19"/>
  <c r="J236" i="19"/>
  <c r="J305" i="19"/>
  <c r="K358" i="19"/>
  <c r="I358" i="19"/>
  <c r="J227" i="19"/>
  <c r="J334" i="19"/>
  <c r="J212" i="19"/>
  <c r="J265" i="19"/>
  <c r="J226" i="19"/>
  <c r="J356" i="19"/>
  <c r="J301" i="19"/>
  <c r="J341" i="19"/>
  <c r="K212" i="19"/>
  <c r="I212" i="19"/>
  <c r="J222" i="19"/>
  <c r="K306" i="19"/>
  <c r="I306" i="19"/>
  <c r="K261" i="19"/>
  <c r="I261" i="19"/>
  <c r="I231" i="19"/>
  <c r="K231" i="19"/>
  <c r="K342" i="19"/>
  <c r="I342" i="19"/>
  <c r="I260" i="19"/>
  <c r="K260" i="19"/>
  <c r="J262" i="19"/>
  <c r="J255" i="19"/>
  <c r="J315" i="19"/>
  <c r="I300" i="19"/>
  <c r="K300" i="19"/>
  <c r="J362" i="19"/>
  <c r="K341" i="19"/>
  <c r="J268" i="19"/>
  <c r="I321" i="19"/>
  <c r="K321" i="19"/>
  <c r="K334" i="19"/>
  <c r="I334" i="19"/>
  <c r="K326" i="19"/>
  <c r="I326" i="19"/>
  <c r="J308" i="19"/>
  <c r="J293" i="19"/>
  <c r="J219" i="19"/>
  <c r="J364" i="19"/>
  <c r="I309" i="19"/>
  <c r="K309" i="19"/>
  <c r="J247" i="19"/>
  <c r="I297" i="19"/>
  <c r="K297" i="19"/>
  <c r="I285" i="19"/>
  <c r="K285" i="19"/>
  <c r="J253" i="19"/>
  <c r="K230" i="19"/>
  <c r="I230" i="19"/>
  <c r="J210" i="19"/>
  <c r="K264" i="19"/>
  <c r="I264" i="19"/>
  <c r="K255" i="19"/>
  <c r="I255" i="19"/>
  <c r="J298" i="19"/>
  <c r="J358" i="19"/>
  <c r="J230" i="19"/>
  <c r="K301" i="19"/>
  <c r="I301" i="19"/>
  <c r="J326" i="19"/>
  <c r="I298" i="19"/>
  <c r="K298" i="19"/>
  <c r="K240" i="19"/>
  <c r="I240" i="19"/>
  <c r="K305" i="19"/>
  <c r="I305" i="19"/>
  <c r="I274" i="19"/>
  <c r="K274" i="19"/>
  <c r="J208" i="19"/>
  <c r="J220" i="19"/>
  <c r="K336" i="19"/>
  <c r="I336" i="19"/>
  <c r="J211" i="19"/>
  <c r="J349" i="19"/>
  <c r="J242" i="19"/>
  <c r="K343" i="19"/>
  <c r="I222" i="19"/>
  <c r="K222" i="19"/>
  <c r="J233" i="19"/>
  <c r="J246" i="19"/>
  <c r="K251" i="19"/>
  <c r="I251" i="19"/>
  <c r="K290" i="19"/>
  <c r="I290" i="19"/>
  <c r="J320" i="19"/>
  <c r="J363" i="19"/>
  <c r="I248" i="19"/>
  <c r="K248" i="19"/>
  <c r="I346" i="19"/>
  <c r="K346" i="19"/>
  <c r="J232" i="19"/>
  <c r="J238" i="19"/>
  <c r="K286" i="19"/>
  <c r="I286" i="19"/>
  <c r="K246" i="19"/>
  <c r="I246" i="19"/>
  <c r="K337" i="19"/>
  <c r="I337" i="19"/>
  <c r="K242" i="19"/>
  <c r="I242" i="19"/>
  <c r="K208" i="19"/>
  <c r="I208" i="19"/>
  <c r="J322" i="19"/>
  <c r="I220" i="19"/>
  <c r="K220" i="19"/>
  <c r="I207" i="19"/>
  <c r="K207" i="19"/>
  <c r="J309" i="19"/>
  <c r="J243" i="19"/>
  <c r="J270" i="19"/>
  <c r="I320" i="19"/>
  <c r="K320" i="19"/>
  <c r="J282" i="19"/>
  <c r="J324" i="19"/>
  <c r="K328" i="19"/>
  <c r="I328" i="19"/>
  <c r="J292" i="19"/>
  <c r="K347" i="19"/>
  <c r="I347" i="19"/>
  <c r="K213" i="19"/>
  <c r="I213" i="19"/>
  <c r="J299" i="19"/>
  <c r="J297" i="19"/>
  <c r="J248" i="19"/>
  <c r="J266" i="19"/>
  <c r="I262" i="19"/>
  <c r="K262" i="19"/>
  <c r="J285" i="19"/>
  <c r="J346" i="19"/>
  <c r="J261" i="19"/>
  <c r="J278" i="19"/>
  <c r="K282" i="19"/>
  <c r="I282" i="19"/>
  <c r="I238" i="19"/>
  <c r="K238" i="19"/>
  <c r="J328" i="19"/>
  <c r="J271" i="19"/>
  <c r="J319" i="19"/>
  <c r="J330" i="19"/>
  <c r="J347" i="19"/>
  <c r="I322" i="19"/>
  <c r="K322" i="19"/>
  <c r="J213" i="19"/>
  <c r="I202" i="19"/>
  <c r="K202" i="19"/>
  <c r="I275" i="19"/>
  <c r="K275" i="19"/>
  <c r="I303" i="19"/>
  <c r="K303" i="19"/>
  <c r="I313" i="19"/>
  <c r="K313" i="19"/>
  <c r="K280" i="19"/>
  <c r="I280" i="19"/>
  <c r="J257" i="19"/>
  <c r="J291" i="19"/>
  <c r="J202" i="19"/>
  <c r="J235" i="19"/>
  <c r="J318" i="19"/>
  <c r="J357" i="19"/>
  <c r="I267" i="19"/>
  <c r="K267" i="19"/>
  <c r="K329" i="19"/>
  <c r="I329" i="19"/>
  <c r="I335" i="19"/>
  <c r="K335" i="19"/>
  <c r="I233" i="19"/>
  <c r="K233" i="19"/>
  <c r="K338" i="19"/>
  <c r="I338" i="19"/>
  <c r="I258" i="19"/>
  <c r="K258" i="19"/>
  <c r="I252" i="19"/>
  <c r="K252" i="19"/>
  <c r="K289" i="19"/>
  <c r="I289" i="19"/>
  <c r="J251" i="19"/>
  <c r="J290" i="19"/>
  <c r="J342" i="19"/>
  <c r="J317" i="19"/>
  <c r="K299" i="19"/>
  <c r="I299" i="19"/>
  <c r="I318" i="19"/>
  <c r="K318" i="19"/>
  <c r="I357" i="19"/>
  <c r="K357" i="19"/>
  <c r="K209" i="19"/>
  <c r="I209" i="19"/>
  <c r="I203" i="19"/>
  <c r="K203" i="19"/>
  <c r="K319" i="19"/>
  <c r="I319" i="19"/>
  <c r="K205" i="19"/>
  <c r="I205" i="19"/>
  <c r="J277" i="19"/>
  <c r="K218" i="19"/>
  <c r="I218" i="19"/>
  <c r="K361" i="19"/>
  <c r="I361" i="19"/>
  <c r="K244" i="19"/>
  <c r="I244" i="19"/>
  <c r="K344" i="19"/>
  <c r="J311" i="19"/>
  <c r="J312" i="19"/>
  <c r="J275" i="19"/>
  <c r="J267" i="19"/>
  <c r="J303" i="19"/>
  <c r="J355" i="19"/>
  <c r="J359" i="19"/>
  <c r="J313" i="19"/>
  <c r="J280" i="19"/>
  <c r="J332" i="19"/>
  <c r="I310" i="19"/>
  <c r="K310" i="19"/>
  <c r="I296" i="19"/>
  <c r="K296" i="19"/>
  <c r="I241" i="19"/>
  <c r="K241" i="19"/>
  <c r="K243" i="19"/>
  <c r="I243" i="19"/>
  <c r="I311" i="19"/>
  <c r="K311" i="19"/>
  <c r="I317" i="19"/>
  <c r="K317" i="19"/>
  <c r="I291" i="19"/>
  <c r="K291" i="19"/>
  <c r="I307" i="19"/>
  <c r="K307" i="19"/>
  <c r="J329" i="19"/>
  <c r="I351" i="19"/>
  <c r="K351" i="19"/>
  <c r="I214" i="19"/>
  <c r="K214" i="19"/>
  <c r="I276" i="19"/>
  <c r="K276" i="19"/>
  <c r="I227" i="19"/>
  <c r="K227" i="19"/>
  <c r="J353" i="19"/>
  <c r="I223" i="19"/>
  <c r="K223" i="19"/>
  <c r="K302" i="19"/>
  <c r="I302" i="19"/>
  <c r="J281" i="19"/>
  <c r="J249" i="19"/>
  <c r="I350" i="19"/>
  <c r="K350" i="19"/>
  <c r="J217" i="19"/>
  <c r="J263" i="19"/>
  <c r="J323" i="19"/>
  <c r="J288" i="19"/>
  <c r="K211" i="19"/>
  <c r="I211" i="19"/>
  <c r="J338" i="19"/>
  <c r="J258" i="19"/>
  <c r="J252" i="19"/>
  <c r="J289" i="19"/>
  <c r="I345" i="19"/>
  <c r="K345" i="19"/>
  <c r="I239" i="19"/>
  <c r="K239" i="19"/>
  <c r="K284" i="19"/>
  <c r="I284" i="19"/>
  <c r="J259" i="19"/>
  <c r="K235" i="19"/>
  <c r="I235" i="19"/>
  <c r="J273" i="19"/>
  <c r="J237" i="19"/>
  <c r="J276" i="19"/>
  <c r="I330" i="19"/>
  <c r="K330" i="19"/>
  <c r="I292" i="19"/>
  <c r="K292" i="19"/>
  <c r="K324" i="19"/>
  <c r="I324" i="19"/>
  <c r="J209" i="19"/>
  <c r="J203" i="19"/>
  <c r="I257" i="19"/>
  <c r="K257" i="19"/>
  <c r="J205" i="19"/>
  <c r="I277" i="19"/>
  <c r="K277" i="19"/>
  <c r="I312" i="19"/>
  <c r="K312" i="19"/>
  <c r="J361" i="19"/>
  <c r="J244" i="19"/>
  <c r="J344" i="19"/>
  <c r="I295" i="19"/>
  <c r="K295" i="19"/>
  <c r="K224" i="19"/>
  <c r="I224" i="19"/>
  <c r="K287" i="19"/>
  <c r="I287" i="19"/>
  <c r="K269" i="19"/>
  <c r="I269" i="19"/>
  <c r="I279" i="19"/>
  <c r="K279" i="19"/>
  <c r="I250" i="19"/>
  <c r="K250" i="19"/>
  <c r="K333" i="19"/>
  <c r="I333" i="19"/>
  <c r="K245" i="19"/>
  <c r="I245" i="19"/>
  <c r="J325" i="19"/>
  <c r="J310" i="19"/>
  <c r="J296" i="19"/>
  <c r="J241" i="19"/>
  <c r="J284" i="19"/>
  <c r="J264" i="19"/>
  <c r="K249" i="19"/>
  <c r="I249" i="19"/>
  <c r="I217" i="19"/>
  <c r="K217" i="19"/>
  <c r="I323" i="19"/>
  <c r="K323" i="19"/>
  <c r="I272" i="19"/>
  <c r="K272" i="19"/>
  <c r="K215" i="19"/>
  <c r="I215" i="19"/>
  <c r="I304" i="19"/>
  <c r="K304" i="19"/>
  <c r="J307" i="19"/>
  <c r="I271" i="19"/>
  <c r="K271" i="19"/>
  <c r="K278" i="19"/>
  <c r="I278" i="19"/>
  <c r="I308" i="19"/>
  <c r="K308" i="19"/>
  <c r="J351" i="19"/>
  <c r="I268" i="19"/>
  <c r="K268" i="19"/>
  <c r="I327" i="19"/>
  <c r="K327" i="19"/>
  <c r="I353" i="19"/>
  <c r="K353" i="19"/>
  <c r="I293" i="19"/>
  <c r="K293" i="19"/>
  <c r="J354" i="19"/>
  <c r="I281" i="19"/>
  <c r="K281" i="19"/>
  <c r="I331" i="19"/>
  <c r="K331" i="19"/>
  <c r="J350" i="19"/>
  <c r="I256" i="19"/>
  <c r="K256" i="19"/>
  <c r="J215" i="19"/>
  <c r="J286" i="19"/>
  <c r="K263" i="19"/>
  <c r="I263" i="19"/>
  <c r="I225" i="19"/>
  <c r="K225" i="19"/>
  <c r="K349" i="19"/>
  <c r="I349" i="19"/>
  <c r="I360" i="19"/>
  <c r="K360" i="19"/>
  <c r="I364" i="19"/>
  <c r="K364" i="19"/>
  <c r="K354" i="19"/>
  <c r="I354" i="19"/>
  <c r="K206" i="19"/>
  <c r="I206" i="19"/>
  <c r="K204" i="19"/>
  <c r="I204" i="19"/>
  <c r="K219" i="19"/>
  <c r="I219" i="19"/>
  <c r="K314" i="19"/>
  <c r="I314" i="19"/>
  <c r="I259" i="19"/>
  <c r="K259" i="19"/>
  <c r="J345" i="19"/>
  <c r="J239" i="19"/>
  <c r="I339" i="19"/>
  <c r="K339" i="19"/>
  <c r="I315" i="19"/>
  <c r="K315" i="19"/>
  <c r="K273" i="19"/>
  <c r="I273" i="19"/>
  <c r="K237" i="19"/>
  <c r="I237" i="19"/>
  <c r="I332" i="19"/>
  <c r="K332" i="19"/>
  <c r="I288" i="19"/>
  <c r="K288" i="19"/>
  <c r="K348" i="19"/>
  <c r="I348" i="19"/>
  <c r="I294" i="19"/>
  <c r="K294" i="19"/>
  <c r="I359" i="19"/>
  <c r="K359" i="19"/>
  <c r="I355" i="19"/>
  <c r="K355" i="19"/>
  <c r="I210" i="19"/>
  <c r="K210" i="19"/>
  <c r="I228" i="19"/>
  <c r="K228" i="19"/>
  <c r="K201" i="19"/>
  <c r="L201" i="19" s="1"/>
  <c r="I201" i="19"/>
  <c r="K265" i="19"/>
  <c r="I265" i="19"/>
  <c r="I247" i="19"/>
  <c r="K247" i="19"/>
  <c r="I363" i="19"/>
  <c r="K363" i="19"/>
  <c r="I221" i="19"/>
  <c r="K221" i="19"/>
  <c r="J339" i="19"/>
  <c r="I325" i="19"/>
  <c r="K325" i="19"/>
  <c r="J295" i="19"/>
  <c r="J224" i="19"/>
  <c r="J287" i="19"/>
  <c r="J269" i="19"/>
  <c r="J279" i="19"/>
  <c r="J250" i="19"/>
  <c r="I229" i="19"/>
  <c r="K229" i="19"/>
  <c r="J333" i="19"/>
  <c r="J245" i="19"/>
  <c r="J221" i="19"/>
  <c r="I226" i="19"/>
  <c r="K226" i="19"/>
  <c r="I253" i="19"/>
  <c r="K253" i="19"/>
  <c r="I232" i="19"/>
  <c r="K232" i="19"/>
  <c r="K216" i="19"/>
  <c r="I216" i="19"/>
  <c r="K234" i="19"/>
  <c r="I234" i="19"/>
  <c r="K365" i="19"/>
  <c r="I365" i="19"/>
  <c r="L295" i="19" l="1"/>
  <c r="L356" i="19"/>
  <c r="L342" i="19"/>
  <c r="L270" i="19"/>
  <c r="L266" i="19"/>
  <c r="A151" i="20"/>
  <c r="D339" i="19"/>
  <c r="A152" i="14"/>
  <c r="L264" i="19"/>
  <c r="L286" i="19"/>
  <c r="L329" i="19"/>
  <c r="L358" i="19"/>
  <c r="L252" i="19"/>
  <c r="L203" i="19"/>
  <c r="L241" i="19"/>
  <c r="L357" i="19"/>
  <c r="L298" i="19"/>
  <c r="L326" i="19"/>
  <c r="L351" i="19"/>
  <c r="L344" i="19"/>
  <c r="L261" i="19"/>
  <c r="L345" i="19"/>
  <c r="L361" i="19"/>
  <c r="L251" i="19"/>
  <c r="L285" i="19"/>
  <c r="L258" i="19"/>
  <c r="L328" i="19"/>
  <c r="L244" i="19"/>
  <c r="L338" i="19"/>
  <c r="L275" i="19"/>
  <c r="L276" i="19"/>
  <c r="L341" i="19"/>
  <c r="L269" i="19"/>
  <c r="L284" i="19"/>
  <c r="L209" i="19"/>
  <c r="L289" i="19"/>
  <c r="L350" i="19"/>
  <c r="L287" i="19"/>
  <c r="L245" i="19"/>
  <c r="L215" i="19"/>
  <c r="L280" i="19"/>
  <c r="L347" i="19"/>
  <c r="L248" i="19"/>
  <c r="L319" i="19"/>
  <c r="L290" i="19"/>
  <c r="L313" i="19"/>
  <c r="L213" i="19"/>
  <c r="L310" i="19"/>
  <c r="L231" i="19"/>
  <c r="L304" i="19"/>
  <c r="L205" i="19"/>
  <c r="L202" i="19"/>
  <c r="L292" i="19"/>
  <c r="L277" i="19"/>
  <c r="L291" i="19"/>
  <c r="L218" i="19"/>
  <c r="L274" i="19"/>
  <c r="L308" i="19"/>
  <c r="L240" i="19"/>
  <c r="L267" i="19"/>
  <c r="L247" i="19"/>
  <c r="L362" i="19"/>
  <c r="L212" i="19"/>
  <c r="L333" i="19"/>
  <c r="L246" i="19"/>
  <c r="L334" i="19"/>
  <c r="L224" i="19"/>
  <c r="L237" i="19"/>
  <c r="L257" i="19"/>
  <c r="L271" i="19"/>
  <c r="L278" i="19"/>
  <c r="L299" i="19"/>
  <c r="L220" i="19"/>
  <c r="L253" i="19"/>
  <c r="L268" i="19"/>
  <c r="L301" i="19"/>
  <c r="L300" i="19"/>
  <c r="L365" i="19"/>
  <c r="L314" i="19"/>
  <c r="L316" i="19"/>
  <c r="L228" i="19"/>
  <c r="L343" i="19"/>
  <c r="L307" i="19"/>
  <c r="L296" i="19"/>
  <c r="L273" i="19"/>
  <c r="L239" i="19"/>
  <c r="L288" i="19"/>
  <c r="L249" i="19"/>
  <c r="L353" i="19"/>
  <c r="L359" i="19"/>
  <c r="L312" i="19"/>
  <c r="L318" i="19"/>
  <c r="L238" i="19"/>
  <c r="L363" i="19"/>
  <c r="L242" i="19"/>
  <c r="L208" i="19"/>
  <c r="L230" i="19"/>
  <c r="L315" i="19"/>
  <c r="L227" i="19"/>
  <c r="L294" i="19"/>
  <c r="L335" i="19"/>
  <c r="L254" i="19"/>
  <c r="L256" i="19"/>
  <c r="L306" i="19"/>
  <c r="L327" i="19"/>
  <c r="L352" i="19"/>
  <c r="L339" i="19"/>
  <c r="L354" i="19"/>
  <c r="L250" i="19"/>
  <c r="L323" i="19"/>
  <c r="L281" i="19"/>
  <c r="L355" i="19"/>
  <c r="L311" i="19"/>
  <c r="L317" i="19"/>
  <c r="L235" i="19"/>
  <c r="L324" i="19"/>
  <c r="L243" i="19"/>
  <c r="L322" i="19"/>
  <c r="L232" i="19"/>
  <c r="L320" i="19"/>
  <c r="L233" i="19"/>
  <c r="L349" i="19"/>
  <c r="L364" i="19"/>
  <c r="L255" i="19"/>
  <c r="L222" i="19"/>
  <c r="L360" i="19"/>
  <c r="L302" i="19"/>
  <c r="L260" i="19"/>
  <c r="L331" i="19"/>
  <c r="L337" i="19"/>
  <c r="L321" i="19"/>
  <c r="L340" i="19"/>
  <c r="L325" i="19"/>
  <c r="L263" i="19"/>
  <c r="L332" i="19"/>
  <c r="L282" i="19"/>
  <c r="L309" i="19"/>
  <c r="L346" i="19"/>
  <c r="L211" i="19"/>
  <c r="L210" i="19"/>
  <c r="L297" i="19"/>
  <c r="L219" i="19"/>
  <c r="L262" i="19"/>
  <c r="L226" i="19"/>
  <c r="L207" i="19"/>
  <c r="L234" i="19"/>
  <c r="L225" i="19"/>
  <c r="L336" i="19"/>
  <c r="L216" i="19"/>
  <c r="L206" i="19"/>
  <c r="L283" i="19"/>
  <c r="L279" i="19"/>
  <c r="L259" i="19"/>
  <c r="L217" i="19"/>
  <c r="L330" i="19"/>
  <c r="L293" i="19"/>
  <c r="L265" i="19"/>
  <c r="L305" i="19"/>
  <c r="L204" i="19"/>
  <c r="L348" i="19"/>
  <c r="L214" i="19"/>
  <c r="L229" i="19"/>
  <c r="L272" i="19"/>
  <c r="L223" i="19"/>
  <c r="L221" i="19"/>
  <c r="L236" i="19"/>
  <c r="L303" i="19"/>
  <c r="A152" i="20" l="1"/>
  <c r="A153" i="14"/>
  <c r="D340" i="19"/>
  <c r="A153" i="20" l="1"/>
  <c r="A154" i="14"/>
  <c r="D341" i="19"/>
  <c r="I341" i="19" s="1"/>
  <c r="A154" i="20" l="1"/>
  <c r="A155" i="14"/>
  <c r="D342" i="19"/>
  <c r="A155" i="20" l="1"/>
  <c r="A156" i="14"/>
  <c r="D343" i="19"/>
  <c r="I343" i="19" s="1"/>
  <c r="A156" i="20" l="1"/>
  <c r="D344" i="19"/>
  <c r="I344"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uthor>
  </authors>
  <commentList>
    <comment ref="J10" authorId="0" shapeId="0" xr:uid="{D162C90B-71FE-49A7-B3F1-7CD0F50AF8AE}">
      <text>
        <r>
          <rPr>
            <b/>
            <sz val="9"/>
            <color indexed="81"/>
            <rFont val="Arial"/>
            <family val="2"/>
          </rPr>
          <t xml:space="preserve">OPCIONES:
ACUMULADO: </t>
        </r>
        <r>
          <rPr>
            <sz val="9"/>
            <color indexed="81"/>
            <rFont val="Arial"/>
            <family val="2"/>
          </rPr>
          <t>Sumatoria de valores (incluye la línea base).</t>
        </r>
        <r>
          <rPr>
            <b/>
            <sz val="9"/>
            <color indexed="81"/>
            <rFont val="Arial"/>
            <family val="2"/>
          </rPr>
          <t xml:space="preserve">
NUEVO GESTIONADO DURANTE LA VIGENCIA: </t>
        </r>
        <r>
          <rPr>
            <sz val="9"/>
            <color indexed="81"/>
            <rFont val="Arial"/>
            <family val="2"/>
          </rPr>
          <t>Corresponde a lo realizado durante la vigencia, parte de 0.</t>
        </r>
        <r>
          <rPr>
            <b/>
            <sz val="9"/>
            <color indexed="81"/>
            <rFont val="Arial"/>
            <family val="2"/>
          </rPr>
          <t xml:space="preserve">
PROMEDIO: </t>
        </r>
        <r>
          <rPr>
            <sz val="9"/>
            <color indexed="81"/>
            <rFont val="Arial"/>
            <family val="2"/>
          </rPr>
          <t xml:space="preserve">Sumatoria de ítems/número de ítems.
</t>
        </r>
        <r>
          <rPr>
            <b/>
            <sz val="9"/>
            <color indexed="81"/>
            <rFont val="Arial"/>
            <family val="2"/>
          </rPr>
          <t xml:space="preserve">ÚLTIMO VALOR REPORTADO: </t>
        </r>
        <r>
          <rPr>
            <sz val="9"/>
            <color indexed="81"/>
            <rFont val="Arial"/>
            <family val="2"/>
          </rPr>
          <t>Corresponde al último registro.</t>
        </r>
        <r>
          <rPr>
            <b/>
            <sz val="9"/>
            <color indexed="81"/>
            <rFont val="Arial"/>
            <family val="2"/>
          </rPr>
          <t xml:space="preserve">
LÍMITE: </t>
        </r>
        <r>
          <rPr>
            <sz val="9"/>
            <color indexed="81"/>
            <rFont val="Arial"/>
            <family val="2"/>
          </rPr>
          <t xml:space="preserve">Valor que no debe superarse (Evaluación dicotómica del cumplimiento).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Julio Alberto Muriel Taibel</author>
    <author>tc={671F8B88-6F67-4D4F-9957-094985609CB5}</author>
  </authors>
  <commentList>
    <comment ref="K26" authorId="0" shapeId="0" xr:uid="{A3ADF8A2-86DB-47EA-BE81-90B2A622FAC8}">
      <text>
        <r>
          <rPr>
            <b/>
            <sz val="9"/>
            <color indexed="81"/>
            <rFont val="Tahoma"/>
            <family val="2"/>
          </rPr>
          <t>Julio Alberto Muriel Taibel:</t>
        </r>
        <r>
          <rPr>
            <sz val="9"/>
            <color indexed="81"/>
            <rFont val="Tahoma"/>
            <family val="2"/>
          </rPr>
          <t xml:space="preserve">
Validar Información</t>
        </r>
      </text>
    </comment>
    <comment ref="K59" authorId="1" shapeId="0" xr:uid="{671F8B88-6F67-4D4F-9957-094985609CB5}">
      <text>
        <t>[Comentario encadenado]
Su versión de Excel le permite leer este comentario encadenado; sin embargo, las ediciones que se apliquen se quitarán si el archivo se abre en una versión más reciente de Excel. Más información: https://go.microsoft.com/fwlink/?linkid=870924
Comentario:
    El cumplimiento del 2023 fue del 60% al igual que la línea del 2021, la meta es estar por encima del 60% hasta llegar al 80%</t>
      </text>
    </comment>
    <comment ref="K60" authorId="0" shapeId="0" xr:uid="{07E10A41-657A-4561-95C7-A7FDB2A9C389}">
      <text>
        <r>
          <rPr>
            <b/>
            <sz val="9"/>
            <color indexed="81"/>
            <rFont val="Tahoma"/>
            <family val="2"/>
          </rPr>
          <t>Julio Alberto Muriel Taibel:</t>
        </r>
        <r>
          <rPr>
            <sz val="9"/>
            <color indexed="81"/>
            <rFont val="Tahoma"/>
            <family val="2"/>
          </rPr>
          <t xml:space="preserve">
Validar información y tipo de medición, teniendo en cuenta que disminuyo a 150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for.&amp;seg.-PD&amp;PIv3.xlsx!Tabla1" type="102" refreshedVersion="7" minRefreshableVersion="5">
    <extLst>
      <ext xmlns:x15="http://schemas.microsoft.com/office/spreadsheetml/2010/11/main" uri="{DE250136-89BD-433C-8126-D09CA5730AF9}">
        <x15:connection id="Tabla1">
          <x15:rangePr sourceName="_xlcn.WorksheetConnection_for.seg.PDPIv3.xlsxTabla1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<sst xmlns="http://schemas.openxmlformats.org/spreadsheetml/2006/main" count="2248" uniqueCount="810">
  <si>
    <t>INSTRUCTIVO PARA EL DILIGENCIAMIENTO DEL FORMATO</t>
  </si>
  <si>
    <r>
      <t xml:space="preserve">Este formato está formulado sobre una matriz de búsqueda, por lo cual </t>
    </r>
    <r>
      <rPr>
        <b/>
        <sz val="10"/>
        <rFont val="Arial"/>
        <family val="2"/>
      </rPr>
      <t>NO SE DEBE</t>
    </r>
    <r>
      <rPr>
        <sz val="10"/>
        <rFont val="Arial"/>
        <family val="2"/>
      </rPr>
      <t xml:space="preserve">  insertar, eliminar o combinar celdas. Las columnas resaltadas en azul no deben ser diligenciadas, ya que contienen cálculos o datos asociados.</t>
    </r>
  </si>
  <si>
    <t>HOJA DE CÁLCULO:  FORMULACIÓN</t>
  </si>
  <si>
    <t>Esta hoja de cálculo aplica para la Oficina de Planeación como herramienta para la planificación, seguimiento y evaluación del Plan de Desarrollo (PDI) y Planes indicativos (PI)
Los campos del formato están identificados por números consecutivos, a continuación se indica la manera de diligenciar cada uno de ellos:</t>
  </si>
  <si>
    <t>1. DEPENDENCIA QUE CONSOLIDA:</t>
  </si>
  <si>
    <t>Seleccione de la lista desplegable la dependencia que consolida, "Oficina de Planeación".</t>
  </si>
  <si>
    <t>2. AÑO DE INICIO:</t>
  </si>
  <si>
    <t>Seleccione de la lista desplegable el año de inicio del Plan de Desarrollo.</t>
  </si>
  <si>
    <t>3. AÑO DE FINALIZACIÓN:</t>
  </si>
  <si>
    <t>Seleccione de la lista desplegable el año de finalización del Plan de Desarrollo.</t>
  </si>
  <si>
    <t>4. PERÍODO DEL PLAN DE DESARROLLO(PDI):</t>
  </si>
  <si>
    <t>Celda formulada, no diligenciar.</t>
  </si>
  <si>
    <t>5. LÍNEA ESTRATÉGICA:</t>
  </si>
  <si>
    <t xml:space="preserve">Seleccione de la lista desplegable la línea estratégica. </t>
  </si>
  <si>
    <t>6. OBJETIVO:</t>
  </si>
  <si>
    <t xml:space="preserve">Celda formulada, se autorrellena de acuerdo con la línea estratégica seleccionada. </t>
  </si>
  <si>
    <t>7. ESTRATEGIA:</t>
  </si>
  <si>
    <t>Seleccione de la lista desplegable la estrategia a aplicar.</t>
  </si>
  <si>
    <t>8. MOTOR DE DESARROLLO:</t>
  </si>
  <si>
    <t>Seleccione de la lista desplegable el motor correspondiente.</t>
  </si>
  <si>
    <t>9.  META DE RESULTADO:</t>
  </si>
  <si>
    <t>Digite la meta de resultado asociada al PDI.</t>
  </si>
  <si>
    <t>10. INDICADOR DE RESULTADO:</t>
  </si>
  <si>
    <t xml:space="preserve">10.1 NOMBRE DEL INDICADOR: </t>
  </si>
  <si>
    <t>Establezca el nombre del indicador propuesto para el control y seguimiento de la actividad.</t>
  </si>
  <si>
    <t>10.2  FÓRMULA DE LA MEDICIÓN:</t>
  </si>
  <si>
    <t>Establezca la fórmula con la cual medirá el indicador.</t>
  </si>
  <si>
    <t>10.3 UNIDAD DE MEDIDA:</t>
  </si>
  <si>
    <t>Seleccione de la lista desplegable el formato asociado para la medición del indicador.</t>
  </si>
  <si>
    <t>10.4 TIPO DE MEDICIÓN:</t>
  </si>
  <si>
    <t>Seleccione de la lista desplegable el formato de cálculo para la evaluación del cumplimiento del  indicador durante el seguimiento, de acuerdo a las siguientes consideraciones:</t>
  </si>
  <si>
    <r>
      <rPr>
        <b/>
        <sz val="10"/>
        <rFont val="Arial"/>
        <family val="2"/>
      </rPr>
      <t>ACUMULADO:</t>
    </r>
    <r>
      <rPr>
        <sz val="10"/>
        <rFont val="Arial"/>
        <family val="2"/>
      </rPr>
      <t xml:space="preserve"> sumatoria de valores (incluye la línea base)</t>
    </r>
  </si>
  <si>
    <r>
      <rPr>
        <b/>
        <sz val="10"/>
        <rFont val="Arial"/>
        <family val="2"/>
      </rPr>
      <t>NUEVO GESTIONADO DURANTE LA VIGENCIA:</t>
    </r>
    <r>
      <rPr>
        <sz val="10"/>
        <rFont val="Arial"/>
        <family val="2"/>
      </rPr>
      <t xml:space="preserve"> corresponde a lo realizado durante la vigencia, parte de 0.</t>
    </r>
  </si>
  <si>
    <r>
      <rPr>
        <b/>
        <sz val="10"/>
        <rFont val="Arial"/>
        <family val="2"/>
      </rPr>
      <t>PROMEDIO:</t>
    </r>
    <r>
      <rPr>
        <sz val="10"/>
        <rFont val="Arial"/>
        <family val="2"/>
      </rPr>
      <t xml:space="preserve"> sumatoria de ítems/número de ítems.</t>
    </r>
  </si>
  <si>
    <r>
      <rPr>
        <b/>
        <sz val="10"/>
        <rFont val="Arial"/>
        <family val="2"/>
      </rPr>
      <t>ÚLTIMO VALOR REPORTADO:</t>
    </r>
    <r>
      <rPr>
        <sz val="10"/>
        <rFont val="Arial"/>
        <family val="2"/>
      </rPr>
      <t xml:space="preserve"> corresponde al último registro.</t>
    </r>
  </si>
  <si>
    <r>
      <rPr>
        <b/>
        <sz val="10"/>
        <rFont val="Arial"/>
        <family val="2"/>
      </rPr>
      <t>LÍMITE:</t>
    </r>
    <r>
      <rPr>
        <sz val="10"/>
        <rFont val="Arial"/>
        <family val="2"/>
      </rPr>
      <t xml:space="preserve"> valor que no debe superarse (Evaluación dicotómica del cumplimiento)</t>
    </r>
  </si>
  <si>
    <t>11. META PROPUESTA</t>
  </si>
  <si>
    <t>11.1 LÍNEA BASE:</t>
  </si>
  <si>
    <t xml:space="preserve">Relacione de acuerdo al tipo de medición (acumulado, último valor, promedio,etc) el valor alcanzado a corte del año anterior. </t>
  </si>
  <si>
    <t>11.2 TRIENIO 1:</t>
  </si>
  <si>
    <t>Describa la meta individual propuesta para el tercer trienio de acuerdo a la meta global del PDI, es decir cuánto estima alcanzar durante el tercer trienio del total proyectado para la vigencia PDI. Tenga en cuenta el tipo de medición.</t>
  </si>
  <si>
    <t>11.3 TRIENIO 2:</t>
  </si>
  <si>
    <t>11.4 TRIENIO 3:</t>
  </si>
  <si>
    <t>11.5 AÑO FINAL:</t>
  </si>
  <si>
    <t>Describa la meta individual propuesta para el año final de acuerdo a la meta global del PDI, es decir cuánto estima alcanzar durante el año final del total proyectado para la vigencia PDI. Tenga en cuenta el tipo de medición.</t>
  </si>
  <si>
    <t>11.6 META PDI :</t>
  </si>
  <si>
    <t>Celda formulada, no diligenciar.
De acuerdo al tipo de medición seleccionada, se autorrellena el valor correspondiente que totaliza los valores de los trienios y año final como meta global de la vigencia del PDI</t>
  </si>
  <si>
    <t>12. PROYECTO:</t>
  </si>
  <si>
    <t xml:space="preserve">Seleccione de la lista desplegable el proyecto vinculado al motor de desarrollo. Tenga en cuenta que los proyectos se encuentran alineados al presupuesto de la vigencia. </t>
  </si>
  <si>
    <t>13. PONDERACIÓN DE LOS PROYECTOS DEL PDI:</t>
  </si>
  <si>
    <t>Establezca el peso o ponderación de cada uno de los proyectos para el plan, cuya sumatoria debe ser igual a 100%. De manera que la mayor ponderación indique mayor prioridad. Cada vez que relacione ese proyecto debe repetirse la ponderación ya definida. Es de aclarar que cada motor tiene asociados sus proyectos, pero para la ponderación debe tenerse en cuenta el total de proyectos del plan.</t>
  </si>
  <si>
    <t>Ejemplo:</t>
  </si>
  <si>
    <t>Digite en el formato de acuerdo con la ponderación asignada</t>
  </si>
  <si>
    <t>Asignación del peso/ponderación</t>
  </si>
  <si>
    <t>M1 P1</t>
  </si>
  <si>
    <t>M1 P2</t>
  </si>
  <si>
    <t>M2 P1</t>
  </si>
  <si>
    <t>M2 P2</t>
  </si>
  <si>
    <t>total PA</t>
  </si>
  <si>
    <t>14. RESPONSABLE:</t>
  </si>
  <si>
    <t>Seleccione de la lista desplegable el responsable del proyecto</t>
  </si>
  <si>
    <t>15. VALOR TOTAL Y FINANCIACIÓN DEL TRIENIO 1:</t>
  </si>
  <si>
    <t>15.1 NIVEL CENTRAL:</t>
  </si>
  <si>
    <t>Si los recursos del proyecto provienen del nivel central(recursos asignados para el funcionamiento o que procesada de leyes, decretos, acuerdos, resoluciones, o cualquier otra fuentes asignada por la nación o gobernación sobre la cual la Universidad no tiene potestad para establecer valor a girársele sus cuentas) indique el valor en pesos para el proyecto. Tenga en cuenta que se está cuantificando el proyecto no las actividades.</t>
  </si>
  <si>
    <t>15.2 AUTOGESTIÓN:</t>
  </si>
  <si>
    <t>Si los recursos del proyecto provienen de autogestión(recusos de procedan de postgrados, venta de servicios o gestion que procedan del Departamento de Extensión) indique el valor en pesos para el proyecto. Tenga en cuenta que se está cuantificando el proyecto no las actividades.</t>
  </si>
  <si>
    <t>15.3 CONVENIOS:</t>
  </si>
  <si>
    <t>Si los recursos del proyecto provienen de convenios(recursos provenientes de Minciencias, Sistema General de Regalías, contratos o convenios gestionadas a través del Departamento de Investigación) indique el valor en pesos para el proyecto según el tipo de convenio. Tenga en cuenta que se está cuantificando el proyecto no las actividades.</t>
  </si>
  <si>
    <t>15.4 TOTAL DE RECURSOS TRIENIO 1:</t>
  </si>
  <si>
    <t>Celda formulada, no diligenciar.
Se autorrellena el valor correspondiente a la sumatoria de los recursos.</t>
  </si>
  <si>
    <t>16. VALOR TOTAL Y FINANCIACIÓN DELTRIENIO 2:</t>
  </si>
  <si>
    <t>16.1 NIVEL CENTRAL:</t>
  </si>
  <si>
    <t>16.2 AUTOGESTIÓN:</t>
  </si>
  <si>
    <t>16.3 CONVENIOS:</t>
  </si>
  <si>
    <t>16.4 TOTAL DE RECURSOS TRIENIO 2:</t>
  </si>
  <si>
    <t>17. VALOR TOTAL Y FINANCIACIÓN DEL TRIENIO 3:</t>
  </si>
  <si>
    <t>17.1 NIVEL CENTRAL:</t>
  </si>
  <si>
    <t>17.2 AUTOGESTIÓN:</t>
  </si>
  <si>
    <t>17.3 CONVENIOS:</t>
  </si>
  <si>
    <t>17.4 TOTAL DE RECURSOS TRIENIO 3:</t>
  </si>
  <si>
    <t>18. VALOR TOTAL Y FINANCIACIÓN DEL AÑO FINAL:</t>
  </si>
  <si>
    <t>18.1 NIVEL CENTRAL:</t>
  </si>
  <si>
    <t>18.2 AUTOGESTIÓN:</t>
  </si>
  <si>
    <t>18.3 CONVENIOS:</t>
  </si>
  <si>
    <t>18.4 TOTAL DE RECURSOS AÑO FINAL:</t>
  </si>
  <si>
    <t>19. TOTAL DE RECURSOS VIGENCIA PDI</t>
  </si>
  <si>
    <t>Celda formulada. Sumatoria del total de los recursos, la sumatoria de estos corresponde al valor del PDI</t>
  </si>
  <si>
    <t>HOJA DE  CÁLCULO: SEGUIMIENTO Y EVALUACIÓN</t>
  </si>
  <si>
    <r>
      <t xml:space="preserve">
El formato está formulado (celdas azules)  para traer la información diligenciada en la hoja de Formulación, por lo tanto </t>
    </r>
    <r>
      <rPr>
        <b/>
        <sz val="10"/>
        <rFont val="Arial"/>
        <family val="2"/>
      </rPr>
      <t>SÓLO</t>
    </r>
    <r>
      <rPr>
        <sz val="10"/>
        <rFont val="Arial"/>
        <family val="2"/>
      </rPr>
      <t xml:space="preserve"> debe diligenciarse las celdas sin relleno que se indican a continuación:</t>
    </r>
  </si>
  <si>
    <t>SEGUIMIENTO  PLAN INDICATIVO</t>
  </si>
  <si>
    <t>TRIENIO 1:</t>
  </si>
  <si>
    <t>Indique el cumplimiento del primer trienio, de acuerdo a la gestión realizada, no debe incluirse el valor de la LÍNEA BASE.</t>
  </si>
  <si>
    <t>TRIENIO 2:</t>
  </si>
  <si>
    <t>Indique el cumplimiento del segundo trienio, de acuerdo a la gestión realizada, no debe incluirse el valor de la LÍNEA BASE.</t>
  </si>
  <si>
    <t>TRIENIO 3:</t>
  </si>
  <si>
    <t>Indique el cumplimiento del tercer trienio, de acuerdo a la gestión realizada, no debe incluirse el valor de la LÍNEA BASE.</t>
  </si>
  <si>
    <t>AÑO FINAL:</t>
  </si>
  <si>
    <t>VALOR TOTAL Y FINANCIACIÓN DEL TRIENIO 1:</t>
  </si>
  <si>
    <t>NIVEL CENTRAL:</t>
  </si>
  <si>
    <t>Indique el valor ejecutado en pesos para el proyecto de acuerdo a lo planificado. Tenga en cuenta que se está cuantificando el proyecto no las actividades.</t>
  </si>
  <si>
    <t>AUTOGESTIÓN:</t>
  </si>
  <si>
    <t>CONVENIOS:</t>
  </si>
  <si>
    <t>VALOR TOTAL Y FINANCIACIÓN DEL TRIENIO 2:</t>
  </si>
  <si>
    <t>VALOR TOTAL Y FINANCIACIÓN DEL TRIENIO 3:</t>
  </si>
  <si>
    <t>VALOR TOTAL Y FINANCIACIÓN DEL AÑO FINAL:</t>
  </si>
  <si>
    <t>HOJA DE  CÁLCULO: CUMPLIMIENTO METAS Y LÍNEAS</t>
  </si>
  <si>
    <t xml:space="preserve">En esta hoja  de cálculo se podrán consultar los cumplimientos por Proyectos, Metas, Motores de desarrollo  y Líneas estratégicas en las  tablas dinámicas, posterior al registro de información en la hoja de SEGUIMIENTO Y EVALUACIÓN, para ello deberá ubicar el mouse sobre cualquiera de las celdas "Metas" o "Línea"  y dar clic para visualizar la pestaña "Analizar tabla dinámica" en la cinta de opciones, como se indica en la siguiente ilustración.
</t>
  </si>
  <si>
    <t>Diríjase a la  cinta de opciones en la pestaña "Analizar tabla dinámica"  y en la opción actualizar, haga clic en  "Actualizar todo"</t>
  </si>
  <si>
    <r>
      <t xml:space="preserve">CÓDIGO: </t>
    </r>
    <r>
      <rPr>
        <sz val="10"/>
        <rFont val="Arial"/>
        <family val="2"/>
      </rPr>
      <t>FOR-DE-143</t>
    </r>
  </si>
  <si>
    <t>X</t>
  </si>
  <si>
    <r>
      <t xml:space="preserve">VERSIÓN: </t>
    </r>
    <r>
      <rPr>
        <sz val="10"/>
        <rFont val="Arial"/>
        <family val="2"/>
      </rPr>
      <t>0</t>
    </r>
  </si>
  <si>
    <r>
      <t xml:space="preserve">FECHA: </t>
    </r>
    <r>
      <rPr>
        <sz val="10"/>
        <rFont val="Arial"/>
        <family val="2"/>
      </rPr>
      <t>11/02/2022</t>
    </r>
  </si>
  <si>
    <t xml:space="preserve">                                                                                               FORMULACIÓN, SEGUIMIENTO Y EVALUACIÓN DE PLAN DE DESARROLLO INSTITUCIONAL Y PLANES INDICATIVOS</t>
  </si>
  <si>
    <t>OFICINA DE PLANEACIÓN</t>
  </si>
  <si>
    <t>N°</t>
  </si>
  <si>
    <t>5. LÍNEA ESTRATÉGICA</t>
  </si>
  <si>
    <t>6. OBJETIVO</t>
  </si>
  <si>
    <t>7. ESTRATEGIA</t>
  </si>
  <si>
    <t>8.  MOTOR DE DESARROLLO</t>
  </si>
  <si>
    <t>9. META DE RESULTADO</t>
  </si>
  <si>
    <t>10. INDICADOR DE RESULTADO</t>
  </si>
  <si>
    <t>13. PONDERACIÓN DE LOS PROYECTOS DEL PDI</t>
  </si>
  <si>
    <t xml:space="preserve">14. RESPONSABLE </t>
  </si>
  <si>
    <t>15. VALOR TOTAL Y FINANCIACIÓN DEL TRIENIO 1</t>
  </si>
  <si>
    <t>15.4 TOTAL TRIENIO 1</t>
  </si>
  <si>
    <t>16.VALOR TOTAL Y FINANCIACIÓN DEL TRIENIO 2</t>
  </si>
  <si>
    <t>16.4 TOTAL TRIENIO 2</t>
  </si>
  <si>
    <t>17. VALOR TOTAL Y FINANCIACIÓN DEL TRIENIO 3</t>
  </si>
  <si>
    <t>17.4 TOTAL TRIENIO 3</t>
  </si>
  <si>
    <t xml:space="preserve">18. VALOR TOTAL Y FINANCIACIÓN DEL AÑO FINAL </t>
  </si>
  <si>
    <t>18.4 TOTAL AÑO FINAL</t>
  </si>
  <si>
    <t>FUENTES DE FINANCIACIÓN</t>
  </si>
  <si>
    <t>10.1  NOMBRE DEL INDICADOR</t>
  </si>
  <si>
    <t xml:space="preserve"> 10.2 FÓRMULA DE LA MEDICIÓN</t>
  </si>
  <si>
    <t>10.3 UNIDAD DE MEDIDA</t>
  </si>
  <si>
    <t xml:space="preserve">10.4 TIPO DE MEDICIÓN </t>
  </si>
  <si>
    <t>11.1 LÍNEA BASE</t>
  </si>
  <si>
    <t>11.2 TRIENIO 1</t>
  </si>
  <si>
    <t>11.3 TRIENIO 2</t>
  </si>
  <si>
    <t>11.4 TRIENIO 3</t>
  </si>
  <si>
    <t>11.5 AÑO FINAL</t>
  </si>
  <si>
    <t xml:space="preserve">11.6 META PDI </t>
  </si>
  <si>
    <t>15.1 NIVEL CENTRAL</t>
  </si>
  <si>
    <t>15.2 AUTOGESTIÓN</t>
  </si>
  <si>
    <t>15.3 CONVENIOS</t>
  </si>
  <si>
    <t>16.1 NIVEL CENTRAL</t>
  </si>
  <si>
    <t>16.2 AUTOGESTIÓN</t>
  </si>
  <si>
    <t>16.3 CONVENIOS</t>
  </si>
  <si>
    <t>17.1 NIVEL CENTRAL</t>
  </si>
  <si>
    <t>17.2 AUTOGESTIÓN</t>
  </si>
  <si>
    <t>17.3 CONVENIOS</t>
  </si>
  <si>
    <t>18.1 NIVEL CENTRAL</t>
  </si>
  <si>
    <t>18.2 AUTOGESTIÓN</t>
  </si>
  <si>
    <t>18.3 CONVENIOS</t>
  </si>
  <si>
    <t>L1 - Formación Académica Integral</t>
  </si>
  <si>
    <t xml:space="preserve">3. Fortalecer los procesos de internacionalización, movilidad, multilingüismo e interculturalidad que visibilicen la Universidad a nivel nacional e internacional, y alcanzar un posicionamiento académico. </t>
  </si>
  <si>
    <t>M1 - Internacionalización y multilingüismo.</t>
  </si>
  <si>
    <t>Lograr por lo menos el 65% de los docentes de carrera profesoral certificados en nivel B2 según el marco común europeo</t>
  </si>
  <si>
    <t>Nivel de inglés de los docentes de carrera profesoral</t>
  </si>
  <si>
    <t>N° de docentes de carrera profesoral certificados con nivel de inglés B2 / total de docentes de carrera profesoral * 100</t>
  </si>
  <si>
    <t>Porcentaje</t>
  </si>
  <si>
    <t>Acumulado</t>
  </si>
  <si>
    <t>P1 - Multilingüismo e interculturalidad</t>
  </si>
  <si>
    <t>Vicerrector de Docencia</t>
  </si>
  <si>
    <t>4. Asegurar la sostenibilidad de la Política de Enseñanza, Aprendizaje y Evaluación de Lenguas Extranjeras de la Universidad del Atlántico.</t>
  </si>
  <si>
    <t xml:space="preserve">Garantizar la Política de Enseñanza aprendizaje y evaluación de Lenguas Extranjeras para que mínimo 7000 estudiantes logren culminar los cursos de inglés establecidos, asimismo que 300 estudiantes de Licenciatura en Lenguas Extranjeras se formen mediante el Programa de Inmersión en inglés </t>
  </si>
  <si>
    <t>Estudiantes formados mediante la Política de Enseñanza aprendizaje y evaluación de Lenguas Extranjeras</t>
  </si>
  <si>
    <t>N° de estudiantes que culminaron los cursos de inglés establecidos en la Política de Enseñanza aprendizaje y evaluación de Lenguas Extranjeras</t>
  </si>
  <si>
    <t>Unidad</t>
  </si>
  <si>
    <t>Nuevo gestionado durante la vigencia</t>
  </si>
  <si>
    <t>N° de estudiantes formados mediante el Programa de Inmersión en inglés para Estudiantes de Licenciatura en Lenguas Extranjeras</t>
  </si>
  <si>
    <t xml:space="preserve">Propender por la movilidad de al menos 400 estudiantes desde y 
hacia la Universidad del Atlántico </t>
  </si>
  <si>
    <t>Movilidad estudiantil nacional entrante</t>
  </si>
  <si>
    <t>N° de estudiantes nacionales entrantes a la Universidad del Atlántico</t>
  </si>
  <si>
    <t>P2 - Movilidad académica estudiantil y docente</t>
  </si>
  <si>
    <t>Movilidad estudiantil nacional saliente</t>
  </si>
  <si>
    <t>N° de estudiantes de la Universidad del Atlántico que realizaron movilidad saliente nacional</t>
  </si>
  <si>
    <t>Movilidad estudiantil internacional entrante</t>
  </si>
  <si>
    <t>N° de estudiantes extranjeros que realizaron movilidad a la Universidad del Atlántico</t>
  </si>
  <si>
    <t>Movilidad estudiantil internacional saliente</t>
  </si>
  <si>
    <t>N° de estudiantes de la Universidad del Atlántico que realizaron movilidad saliente internacional</t>
  </si>
  <si>
    <t>Fortalecer la movilidad docente, desde las funciones sustantivas de docencia, extensión, proyección social e internacionalización, con un mínimo de 250 registros de movilidad saliente internacional y 200 de movilidad saliente nacional</t>
  </si>
  <si>
    <t>Movilidad docente internacional saliente, desde las funciones sustantivas docencia, extensión, proyección social e internacionalización</t>
  </si>
  <si>
    <t>N° de docentes que realizaron movilidad saliente internacional, desde las funciones sustantivas docencia, extensión, proyección social e internacionalización</t>
  </si>
  <si>
    <t>Movilidad docente nacional saliente, desde las funciones sustantivas docencia, extensión, proyección social e internacionalización</t>
  </si>
  <si>
    <t>N° de docentes que realizaron movilidad saliente nacional, desde las funciones sustantivas docencia, extensión, proyección social e internacionalización</t>
  </si>
  <si>
    <t>Fomentar la internacionalización en curricular garantizando el 40% de los programas académicos con componente internacional. Asimismo, propender para que el 60% de los programas desarrollen actividades con componente internacional desde el aula y de manera extracurricular.</t>
  </si>
  <si>
    <t xml:space="preserve">Porcentaje de programas académicos con componente internacional (clases en inglés, análisis disciplinar comparado; entre otros).  </t>
  </si>
  <si>
    <t>N° de programas académicos con componente internacional / Total de programas académicos * 100</t>
  </si>
  <si>
    <t>P3 - Internacionalización en casa y curricular</t>
  </si>
  <si>
    <t>8. Implementar didácticas fortalecidas por las TIC que fomenten las competencias globales, interculturales y disciplinares de docentes y estudiantes a través de metodologías innovadoras, en el marco del proyecto de internacionalización en casa y curricular</t>
  </si>
  <si>
    <t>Porcentaje de programas académicos que desarrollan actividades con componente internacional en el aula (clases espejo, proyectos de aprendizaje colaborativo, actividades con comunidades académicas homólogas; entre otros) y extracurricular (seminarios, talleres, ferias, encuentros; entre otros).</t>
  </si>
  <si>
    <t>N° de programas académicos que realizan actividades con componente internacional en el aula de clases / total de programas académicos *100</t>
  </si>
  <si>
    <t>N° de programas académicos que realizan actividades extracurriculares con componente internacional / total de programas académicos *100</t>
  </si>
  <si>
    <t>5. Fortalecer Políticas curriculares con pedagogías adecuadas que atiendan al principio de calidad académica con enfoque inclusivo a través del desarrollo de las disciplinas y las profesiones, la integración de saberes, el fortalecimiento de competencias digitales, la solución de problemas y la inserción de los egresados al mercado laboral.</t>
  </si>
  <si>
    <t>M2 - Transformación digital</t>
  </si>
  <si>
    <t>Implementar la Política de uso y apropiación de las TIC en la Universidad del Atlántico</t>
  </si>
  <si>
    <t>Diseño e implementación de la Política de uso y apropiación de las TIC en la Universidad del Atlántico</t>
  </si>
  <si>
    <t>N° de lineamientos implementados de la Política / total de lineamientos de la Política de uso y apropiación de las TIC en la Universidad del Atlántico * 100</t>
  </si>
  <si>
    <t>P1 - Competencias digitales</t>
  </si>
  <si>
    <t>9. Fomentar el uso y apropiación de las tecnologías de información y comunicación (TIC) integrada a los procesos misionales, fortaleciendo las competencias digitales de la comunidad universitaria, la oferta académica de excelencia, la innovación pedagógica y la interacción con diferentes actores a nivel global, nacional y local.</t>
  </si>
  <si>
    <t xml:space="preserve">Lograr que al menos el 50% de los programas académicos apliquen prácticas de innovación educativa y crear al menos 800 recursos digitales para la docencia con impacto positivo en la población.
(Ejemplos: aplica aprendizaje inverso, automatización de las prácticas de laboratorio, simuladores, plataformas, construcción de ebook)  </t>
  </si>
  <si>
    <t>N° de prácticas de innovación educativa con TIC por programa académico</t>
  </si>
  <si>
    <t xml:space="preserve">N° de programas académicos que ha implementado prácticas de innovación educativa mediadas por TIC   / total de programas académicos * 100  </t>
  </si>
  <si>
    <t>Disponibilidad de recursos digitales para apoyo a la docencia (plataformas que ofrece la UA)</t>
  </si>
  <si>
    <t>N° de recursos digitales educativos habilitados por la UA para el desarrollo de la docencia</t>
  </si>
  <si>
    <t>P2 - Fortalecimiento de recursos digitales para la docencia</t>
  </si>
  <si>
    <t>Creación de recursos digitales por docentes</t>
  </si>
  <si>
    <t>N° de recursos digitales creados por los docentes con disponibilidad en el Repositorio Institucional de la Biblioteca Digital</t>
  </si>
  <si>
    <t>Incluir mínimo 30 cursos en línea masivos y abiertos MOOC, como electivas de contexto con temáticas relacionadas con economía de bienestar, valores ético-morales, emprendimiento social y desarrollo endógeno.</t>
  </si>
  <si>
    <t>Electivas de contexto bajo la modalidad MOOC, con temáticas relacionadas con economía de bienestar, valores ético-morales, emprendimiento social y desarrollo endógeno.</t>
  </si>
  <si>
    <t>N° de electivas de contexto bajo la modalidad MOOC, con temáticas relacionadas con economía de bienestar, valores ético-morales, emprendimiento social y desarrollo endógeno.</t>
  </si>
  <si>
    <t>P3 - Ampliación de la educación digital</t>
  </si>
  <si>
    <t>11. Desarrollar programas académicos con calidad y pertinencia para contribuir a las necesidades del contexto y la región Caribe.</t>
  </si>
  <si>
    <t>M3 - Regionalización en contexto</t>
  </si>
  <si>
    <t>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t>
  </si>
  <si>
    <t>Estudios de pertinencia y factibilidad con enfoque prospectivo para cada sede regional de la Universidad</t>
  </si>
  <si>
    <t>Número de estudios pertinencia y factibilidad realizados</t>
  </si>
  <si>
    <t>P1 - Programas académicos con calidad y pertinencia regional</t>
  </si>
  <si>
    <t>Programas académicos en pregrado y postgrado diseñados según la pertinencia para la región con apoyo del sector productivo y/o otros actores regionales</t>
  </si>
  <si>
    <t>Número de programas pregrado y postgrado académicos diseñados a partir de necesidades identificadas con entes territoriales, nodos de desarrollo regionales y/o empresas del sector privado para la región</t>
  </si>
  <si>
    <t xml:space="preserve">13.  Aumentar la formación de la población rural en programas académicos de la Universidad para cerrar la brecha urbano – rural                                                                                                           </t>
  </si>
  <si>
    <t>Egresados graduados en región</t>
  </si>
  <si>
    <t xml:space="preserve">Cantidad de estudiantes graduados en los programas en las sedes regionales </t>
  </si>
  <si>
    <t xml:space="preserve">Número de egresados graduados en región activos en el mercado laboral y/o con emprendimientos </t>
  </si>
  <si>
    <t>12. Articular la investigación y la extensión a la docencia para la formación integral de estudiantes de programas académico especialmente de las sedes regionales.</t>
  </si>
  <si>
    <t>Impulsar el desarrollo regional a través de mínimo 40 convenios y/o venta de servicio,  que propendan entre otros aspectos a la formación académica en región y al mejoramiento de los resultados de las pruebas Saber 11 de las instituciones educativas de la región.</t>
  </si>
  <si>
    <t>Programa de Mejoramiento de los resultados de las pruebas Saber 11 de las instituciones educativas en la región con apoyo de entes territoriales</t>
  </si>
  <si>
    <t>Implementación de programa "Mejor es Saber" para mejoramiento de competencias genéricas de estudiantes de la educación media en región</t>
  </si>
  <si>
    <t>Último valor reportado</t>
  </si>
  <si>
    <t>P2 - Acceso de población rural a programas académicos</t>
  </si>
  <si>
    <t>Convenios para apoyar la formación académica en región</t>
  </si>
  <si>
    <t xml:space="preserve">Número de convenios desarrollados con los entes territoriales y/o empresas para apoyar la formación académica en región (pasantías, prácticas académicas, movilidad, laboratorios prestados o en comodato) </t>
  </si>
  <si>
    <t>P3 - Articulación de la docencia con la investigación y extensión en región</t>
  </si>
  <si>
    <t>M4 - Procesos académicos inclusivos e interculturales</t>
  </si>
  <si>
    <t>Diseñar, aprobar e implementar la Política de Educación inclusiva e intercultural.</t>
  </si>
  <si>
    <t>Porcentaje de implementación de la Política de Educación inclusiva e intercultural</t>
  </si>
  <si>
    <t>N° de lineamientos de la Política implementados / total de lineamientos incluidos en la Política de Educación Inclusiva e intercultural *100</t>
  </si>
  <si>
    <t>P1 - Política de Educación Inclusiva e Intercultural</t>
  </si>
  <si>
    <t>Creación y operacionalización del Comité de Planeación Lingüística en lenguas nativas.</t>
  </si>
  <si>
    <t>Creación del Comité de planeación lingüística en lenguas nativas</t>
  </si>
  <si>
    <t>Acto administrativo de creación del Comité de planeación lingüística en lenguas nativas</t>
  </si>
  <si>
    <t>Lograr 10 convenios con las Secretarías de Educación y/u organizaciones públicas o privadas de la región para beneficiar a la población diversa de la educación media y fomentar el acceso a la educación superior.</t>
  </si>
  <si>
    <t>Número de convenios y/o alianzas operando con Secretarías de Educación y/u organizaciones públicas o privadas en beneficio de la educación media</t>
  </si>
  <si>
    <t>N° de convenios y/o alianzas activas con Secretarías de Educación y/u organizaciones públicas o privadas</t>
  </si>
  <si>
    <t>P2 - Articulación con la educación básica y media para el fortalecimiento de los procesos de educación inclusiva</t>
  </si>
  <si>
    <t>14. Fortalecer la vinculación del sector productivo y/o otros actores regionales para el fortalecimiento de oferta académica en región.</t>
  </si>
  <si>
    <t>Implementar un centro de documentación de materiales educativos accesibles para la población diversa con 2000 productos catalogados por área de conocimiento.</t>
  </si>
  <si>
    <t>Centro de documentación de materiales educativos accesibles para población diversa</t>
  </si>
  <si>
    <t xml:space="preserve">Centro de documentación (virtual y presencial) de materiales educativos accesibles para población diversa </t>
  </si>
  <si>
    <t>P3 - Materiales accesibles diseñados, creados y adaptados para población diversa</t>
  </si>
  <si>
    <t>Materiales educativos accesibles catalogados por área de conocimiento</t>
  </si>
  <si>
    <t xml:space="preserve">Lograr el 100% de los programas académicos resignificados con base en la Política de Educación inclusiva e intercultural. </t>
  </si>
  <si>
    <t xml:space="preserve">Porcentaje de programas académicos resignificados bajo un enfoque inclusivo e intercultural.  </t>
  </si>
  <si>
    <t>N° de programas académicos resignificados /Total de programas académicos de la institución *100</t>
  </si>
  <si>
    <t>P4 - Formación para la transformación institucional basado en educación inclusiva, intercultural y pluridiversa</t>
  </si>
  <si>
    <t>Diseñar e implementar un programa de capacitación en lenguas indígenas y/o lengua de señas colombiana.</t>
  </si>
  <si>
    <t xml:space="preserve">Diseño e implementación del programa de formación en lenguas indígenas y/o lengua de señas colombiana </t>
  </si>
  <si>
    <t xml:space="preserve">Puesta en marcha del programa de formación en educación continua en lenguas indígenas y/o lengua de señas colombiana </t>
  </si>
  <si>
    <t>2. Consolidar la estructura y el funcionamiento del Sistema de Aseguramiento Interno de la Calidad, de acuerdo a la normatividad y lineamientos vigentes del Ministerio de Educación Nacional.</t>
  </si>
  <si>
    <t>M5 - Autoevaluación y acreditación Institucional y de programas académicos en el contexto nacional e internacional</t>
  </si>
  <si>
    <t>Diseñar e implementar el Sistema Interno Integrado para la excelencia institucional.</t>
  </si>
  <si>
    <t>Documento de diseño de Sistema Interno Integrado aprobado</t>
  </si>
  <si>
    <t>Acto administrativo de aprobación del diseño del Sistema Interno Integrado</t>
  </si>
  <si>
    <t>P1 - Excelencia académica</t>
  </si>
  <si>
    <t>Fortalecimiento de las Capacidades Técnicas para Sistema Interno Integrado</t>
  </si>
  <si>
    <t>N° de capacidades técnicas y de infraestructura de apoyo implementadas / capacidades técnicas y de infraestructura de apoyo requeridas * 100</t>
  </si>
  <si>
    <t xml:space="preserve">Implementación del Sistema Interno Integrado </t>
  </si>
  <si>
    <t>N° de componentes del Sistema Interno Integrado implementados / N° de componentes del Sistema Interno Integrado aprobados * 100</t>
  </si>
  <si>
    <t>7. Fortalecer académica y administrativamente los programas para lograr un mayor reconocimiento regional y la acreditación nacional e internacional.</t>
  </si>
  <si>
    <t>Lograr el reconocimiento nacional e internacional de los procesos misionales y de apoyo a la gestión, con el sostenimiento de la acreditación institucional, el 70% de programas académicos acreditados a nivel nacional y al menos 5 a nivel internacional.</t>
  </si>
  <si>
    <t>Sostenimiento de la Acreditación Institucional</t>
  </si>
  <si>
    <t>Resolución de renovación de acreditación institucional otorgada por el MEN por un período superior a 4 años</t>
  </si>
  <si>
    <t>Porcentaje de programas académicos acreditados respecto a los acreditables</t>
  </si>
  <si>
    <t>N° programas académicos acreditados / total de programas académicos acreditables * 100</t>
  </si>
  <si>
    <t>Programas académicos acreditados internacionalmente</t>
  </si>
  <si>
    <t>N° de programas acreditados internacionalmente</t>
  </si>
  <si>
    <t xml:space="preserve">1. Fortalecer la oferta académica de manera flexible e interdisciplinar con diversas modalidades, articulada a procesos de enseñanza y aprendizaje innovadores en sus diferentes niveles y campos de formación. </t>
  </si>
  <si>
    <t>Fortalecer la oferta académica pertinente con 55 programas de pregrado, 25 especializaciones, 30 maestrías, 10 doctorados, de los cuales 15 tengan modalidad virtual o mixta.</t>
  </si>
  <si>
    <t>Número de programas académicos de pregrado activos</t>
  </si>
  <si>
    <t>N° de programas académicos de pregrado activos</t>
  </si>
  <si>
    <t>P2 - Ampliación y diversificación de la oferta académica</t>
  </si>
  <si>
    <t>Número de programas académicos en modalidad virtual o mixta activos</t>
  </si>
  <si>
    <t>N° de programas académicos en modalidad virtual o mixta activos</t>
  </si>
  <si>
    <t>Número de programas académicos de posgrado activos</t>
  </si>
  <si>
    <t>N° de programas académicos de especialización activos</t>
  </si>
  <si>
    <t>N° de programas académicos de maestría activos</t>
  </si>
  <si>
    <t>N° de programas de académicos de doctorado activos</t>
  </si>
  <si>
    <t>Creación del Comité de Pertinencia Académica para el análisis de apertura de nueva oferta académica</t>
  </si>
  <si>
    <t>Acto administrativo de creación del Comité de Pertinencia Académica para el análisis de apertura de nueva oferta académica</t>
  </si>
  <si>
    <t>Diseñar e implementar los Lineamientos curriculares asociados a la modernización curricular frente al Enfoque Pedagógico Emergente, Integrador e Interdisciplinar.</t>
  </si>
  <si>
    <t>Documento de lineamientos para la modernización curricular elaborado y adoptado por el Consejo Académico</t>
  </si>
  <si>
    <t>Documento de lineamientos para la modernización curricular adoptado por el Consejo Académico</t>
  </si>
  <si>
    <t xml:space="preserve">P3 - Gestión y mejoramiento curricular </t>
  </si>
  <si>
    <t>Proyecto Educativo Institucional PEI resignificado</t>
  </si>
  <si>
    <t>Documento PEI resignificado adoptado por el Consejo Académico</t>
  </si>
  <si>
    <t>Formación profesional con enfoque hacia la responsabilidad social universitaria (RSU) en el 100% de los programas académicos.</t>
  </si>
  <si>
    <t>Cursos de los planes de estudio que aborden temáticas ciudadanas y de responsabilidad social  (DD.HH, desarrollo sostenible, ética profesional y cívica, gestión de la RS, ODS)</t>
  </si>
  <si>
    <t>(N° de cursos por plan de estudio que abordan temas de los Objetivos del Milenio, el Pacto Global, la Carta de la Tierra, el Decenio de Naciones Unidas de la Educación para el Desarrollo Sustentable, entre otros / N° de planes de estudios de los pogramas de pregrado) * 100</t>
  </si>
  <si>
    <t>N° de proyectos de aula por facultad articulados a convocatorias del  Voluntariado UA que evidencien alto impacto en el sector externo</t>
  </si>
  <si>
    <t>6. Integrar los procesos académicos y administrativos que conlleve de manera funcional a un orden adecuado de interacciones, soportadas en tecnologías de la información, de acuerdo a la normatividad vigente.</t>
  </si>
  <si>
    <t xml:space="preserve">Creación de un Centro de apoyo y gestión a la enseñanza aprendizaje. </t>
  </si>
  <si>
    <t>Creación de un Centro de apoyo y gestión a la enseñanza aprendizaje</t>
  </si>
  <si>
    <t>Centro de apoyo y gestión a la enseñanza aprendizaje puesto en marcha</t>
  </si>
  <si>
    <t xml:space="preserve">Incrementar en un 20% los niveles de desempeño globales en Pruebas Saber Pro de los programas académicos y 50 puntos en el puntaje de la institución. </t>
  </si>
  <si>
    <t>Porcentaje de programas académicos con promedio del puntaje global superior y/o similar al grupo de referencia NBC (Núcleo Básico de Conocimiento) en Saber Pro, TyT o su equivalente por 3 años consecutivos</t>
  </si>
  <si>
    <t>(N° de programas académicos de pregrado con promedio del puntaje global superior y/o similar al grupo de referencia NBC durante los 3 últimos años/ total de programas académicos de pregrado que presentan las pruebas Saber Pro y TyT )* 100</t>
  </si>
  <si>
    <t>Puntaje global institucional en Pruebas Saber Pro</t>
  </si>
  <si>
    <t>Promedio de puntaje global de la institución en nivel superior y/o similar al de otras IES a nivel nacional durante los 3 últimos años</t>
  </si>
  <si>
    <t>Diseñar e implementar el sistema de evaluación académica integral aplicable a docentes, estudiantes, y planes de estudio, para garantizar los resultados del aprendizaje.</t>
  </si>
  <si>
    <t>Documento del diseño del sistema de evaluación académica integral</t>
  </si>
  <si>
    <t>Acto administrativo de adopción del sistema de evaluación académica integral</t>
  </si>
  <si>
    <t>Implementación del sistema de evaluación académica integral</t>
  </si>
  <si>
    <t>(N° de estrategias implementadas / total de estrategias aprobadas para el sistema de evaluación) *100</t>
  </si>
  <si>
    <t xml:space="preserve">Implementar al menos un 70% de las estrategias académico administrativas dirigidas a la permanencia para alcanzar un 60% en la tasa graduación de los estudiantes. </t>
  </si>
  <si>
    <t>Documento con las estrategias académico-administrativas de acompañamiento al estudiante durante su proceso formativo (desempeño académico, cursos de nivelación, graduación, repitencia, doble programa, asignación académica)</t>
  </si>
  <si>
    <t>Documento con lineamientos y estrategias académico administrativas dirigidas a la permanencia y graduación de los estudiantes aprobado por Consejo Académico</t>
  </si>
  <si>
    <t>Evolución de las estrategias de acompañamiento al estudiante durante su proceso formativo</t>
  </si>
  <si>
    <t>N° estrategias de acompañamiento implementadas / total de estrategias diseñadas * 100</t>
  </si>
  <si>
    <t>Impacto de las estrategias académico-administrativas de acompañamiento al estudiante en su proceso formativo por facultad por año</t>
  </si>
  <si>
    <t xml:space="preserve">Informe por facultad del Estudio de impacto de las estrategias académico-administrativas de acompañamiento para la permanencia y graduación elaborado y socializado  </t>
  </si>
  <si>
    <t>Tasa de graduación acumulada</t>
  </si>
  <si>
    <t>(N° de estudiantes graduados acumulados de todas las cohortes hasta el periodo t / Total de estudiantes acumulados de primer ingreso de todas las cohortes hasta el periodo t) * 100</t>
  </si>
  <si>
    <t>Promedio</t>
  </si>
  <si>
    <t>Diseñar la política de meritocracia para acceder a la carrera profesoral y realizar al menos 3 concursos públicos de mérito con resultados de 80% de efectividad.</t>
  </si>
  <si>
    <t xml:space="preserve">Política de meritocracia para acceder a la carrera profesoral </t>
  </si>
  <si>
    <t>Acto administrativo de la política de meritocracia para acceder a la carrera profesoral aprobado por el Consejo Académico</t>
  </si>
  <si>
    <t>P4 - Fortalecimiento de las capacidades del capital humano docente</t>
  </si>
  <si>
    <t>Concurso docente público de méritos</t>
  </si>
  <si>
    <t>N° de concursos docente público de méritos</t>
  </si>
  <si>
    <t>Efectividad del concurso docente</t>
  </si>
  <si>
    <t>N° de plazas cubiertas / total de plazas ofertadas* 100</t>
  </si>
  <si>
    <t>Alcanzar el 60% de nivel de formación doctoral y un 40% de maestría de la planta docente (carrera profesoral).</t>
  </si>
  <si>
    <t>Porcentaje de docentes de carrera profesoral con nivel de formación de doctorado</t>
  </si>
  <si>
    <t>N° de docentes de carrera profesoral con nivel de formación de doctorado / total de docentes de carrera profesoral * 100</t>
  </si>
  <si>
    <t>Porcentaje de docentes de carrera profesoral con nivel de formación de maestría</t>
  </si>
  <si>
    <t>N° de docentes de carrera profesoral con nivel de formación de maestría / total de docentes de carrera profesoral * 100</t>
  </si>
  <si>
    <t>Límite</t>
  </si>
  <si>
    <t xml:space="preserve">Diseño de la política docente de formación avanzada, científica y de relevo generacional.  </t>
  </si>
  <si>
    <t>Política de formación avanzada y relevo generacional aprobada e implementada</t>
  </si>
  <si>
    <t>Documento adoptado e implementado por el Consejo Superior</t>
  </si>
  <si>
    <t>Docentes de carrera profesoral beneficiados con nueva reglamentación</t>
  </si>
  <si>
    <t>N° de docentes de carrera profesoral beneficiados por la política de formación avanzada y relevo generacional</t>
  </si>
  <si>
    <t>L2 - Investigación y Redes de conocimiento para el desarrollo de la sociedad</t>
  </si>
  <si>
    <t xml:space="preserve">2. Actualizar y desarrollar la agenda de investigación-innovación-creación institucional, en torno con el contexto y tendencias globales. </t>
  </si>
  <si>
    <t>M1 - Creación o investigación creación.</t>
  </si>
  <si>
    <t xml:space="preserve">Fortalecer y visibilizar el impacto de la creación e investigación para las industrias creativas y culturales con miras a disminuir la brecha en la generación de conocimiento en el sector de las artes y el patrimonio cultural, con 28 proyectos que aprobados en convocatorias internas y/o externas, asimismo categorizar 3 grupo en A1, 2 grupos en A, 3 grupos en B </t>
  </si>
  <si>
    <t>Participación de proyectos de creación o investigación creación en convocatorias internas y externas</t>
  </si>
  <si>
    <t xml:space="preserve">N° de proyectos de creación o investigación creación aprobados mediante convocatorias internas </t>
  </si>
  <si>
    <t>P1 - Desarrollo de las artes, la creación y la investigación creación</t>
  </si>
  <si>
    <t>Vicerrector de Investigación, Extensión y Proyección Social</t>
  </si>
  <si>
    <t xml:space="preserve">N° de proyectos de creación o investigación creación aprobados mediante convocatorias externas </t>
  </si>
  <si>
    <t xml:space="preserve">1. Fortalecer y visibilizar  la producción científica, humanística, cultural y creativa. </t>
  </si>
  <si>
    <t>Grupos de investigación en industrias creativas y culturales categorizados en A1, A y B</t>
  </si>
  <si>
    <t>N° de Grupos de investigación en industrias creativas y culturales categorizados en A1, A y B</t>
  </si>
  <si>
    <t xml:space="preserve">4.  Impulsar la interacción entre los grupos de investigación de la Universidad y el Sistema Nacional de Ciencia, Tecnología e Innovación (SNCTI) y sus homólogos internacionales, para la conformación de redes de conocimiento y cooperación, que faciliten el desarrollo investigativo y tecnológico. </t>
  </si>
  <si>
    <t>Consolidar e implementar el laboratorio de investigación creación para las áreas artísticas logrando 10 convenios interinstitucionales y 20 productos articulados en redes</t>
  </si>
  <si>
    <t>Convenios interinstitucionales y productos derivados del trabajo en redes</t>
  </si>
  <si>
    <t>N° de convenios interinstitucionales gestionados</t>
  </si>
  <si>
    <t xml:space="preserve">P2 - Laboratorio de investigación creación </t>
  </si>
  <si>
    <t>N° de productos de áreas artísticas derivados del trabajo en redes</t>
  </si>
  <si>
    <t xml:space="preserve">M2 - Investigación y desarrollo científico. </t>
  </si>
  <si>
    <t>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t>
  </si>
  <si>
    <t>Publicación de artículos en revistas indexadas en bases de datos de alto impacto</t>
  </si>
  <si>
    <t xml:space="preserve">N° de artículos publicados en revistas nacionales indexedas en Publindex </t>
  </si>
  <si>
    <t>P1 - Desarrollo de la investigación básica y aplicada con impacto en  aspectos sociales, políticos, culturales, económicos y/o tecnológicos en los contextos regional, nacional e internacional</t>
  </si>
  <si>
    <t xml:space="preserve">N° de artículos publicados en revistas indexadas en Wos y/o Scopus </t>
  </si>
  <si>
    <t xml:space="preserve"> N° de libros publicados resultado de proyectos de investigación </t>
  </si>
  <si>
    <t xml:space="preserve">5. Armonizar los procesos administrativos y recursos tecnológicos de manera integral y efectiva en función de la misión investigativa. </t>
  </si>
  <si>
    <t xml:space="preserve">Revistas científicas editadas bajo el sello Editorial Uniatlántico </t>
  </si>
  <si>
    <t>N° de revista editadas bajo el sello Editorial Uniatlántico indexada en Scopus</t>
  </si>
  <si>
    <t xml:space="preserve">N° de revista editadas bajo el sello Editorial Uniatlántico en Publindex en categoría B </t>
  </si>
  <si>
    <t>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t>
  </si>
  <si>
    <t xml:space="preserve">Movilidad de estudiantes UA vinculados a semilleros a nivel nacional e internacional </t>
  </si>
  <si>
    <t xml:space="preserve">N° de estudiantes vinculados a semilleros de investigación que realizan movilidad nacional  </t>
  </si>
  <si>
    <t xml:space="preserve">N° de estudiantes vinculados a semilleros de investigación que realizan movilidad internacional </t>
  </si>
  <si>
    <t>Categorizar el 70% de los grupos de investigación en A1, A y B al mismo tiempo alcanzar el 50% de los docentes de carrera categorizados como investigadores</t>
  </si>
  <si>
    <t>Grupos de investigación categorizados en A1, A y B</t>
  </si>
  <si>
    <t xml:space="preserve">N° de Grupos de investigación categorizados en A1, A y B / total de grupos de investigación * 100 </t>
  </si>
  <si>
    <t xml:space="preserve">Categorización de los docentes de carrera profesoral como investigadores </t>
  </si>
  <si>
    <t>N° de docentes de carrera profesoral categorizados como investigadores / total de docentes de carrera profesoral * 100</t>
  </si>
  <si>
    <t xml:space="preserve">Movilidad saliente nacional e internacional de docentes investigadores  </t>
  </si>
  <si>
    <t xml:space="preserve">N° de docentes investigadores que realizan movilidad saliente a nivel nacional </t>
  </si>
  <si>
    <t>P2 - Movilidad docente para el fortalecimiento de la investigación</t>
  </si>
  <si>
    <t>N° de docentes investigadores que realizan movilidad saliente a nivel internacional</t>
  </si>
  <si>
    <t>Incrementar, apropiar y divulgar la generación de nuevo conocimiento de calidad e impacto con 500 publicaciones indexadas en Publindex, 1400 en Wos y/o Scopus, 100 libros publicados, 7 revistas científicas con sello editorial Uniatlántico, y al menos 172 proyectos financiados por convocatorias</t>
  </si>
  <si>
    <t>Proyectos de investigación financiados por convocatorias (tipo de proyecto, valor financiado)</t>
  </si>
  <si>
    <t>N° de proyectos de investigación financiados por convocatorias internas</t>
  </si>
  <si>
    <t>P3 - Articulación con el sector externo para el fortalecimiento de la investigación</t>
  </si>
  <si>
    <t xml:space="preserve">3. Gestionar relaciones estratégicas con otras instituciones para el desarrollo de actividades investigativas financiadas de carácter nacional e internacional. </t>
  </si>
  <si>
    <t>N° de proyectos de investigación financiados por convocatorias externas</t>
  </si>
  <si>
    <t>Potencializar la sostenibilidad investigativa con proyectos viables para el fortalecimiento de las capacidades institucionales, con 2 Spin Off desarrollados desde los laboratorios de investigación.</t>
  </si>
  <si>
    <t>Aprovechamiento de los laboratorios para la implementación de proyectos con enfoque Spin-Off (ingresos generados)</t>
  </si>
  <si>
    <t xml:space="preserve">N° de Spin-Off desarrollados desde los laboratorios de investigación  </t>
  </si>
  <si>
    <t>M3 - Innovación y desarrollo tecnológico.</t>
  </si>
  <si>
    <t>Fomentar el desarrollo de proyectos de base tecnológica y la participación en convocatorias, y así lograr ejecutar mínimo 8 proyectos con financiación.</t>
  </si>
  <si>
    <t>Tecnologías con alcance en las etapas TRL 4, 5 y 6 según criterio de Minciencias</t>
  </si>
  <si>
    <t>N° de tecnologías con alcance en las etapas TRL 4, 5 y 6 según criterio de  Minciencias</t>
  </si>
  <si>
    <t>P1 - Apropiación de proyectos de investigación de base tecnológica</t>
  </si>
  <si>
    <t>6. Fomentar actividades para el desarrollo científico, tecnológico, ambiental, cultural, social y humano con impacto positivo hacia el entorno regional, nacional e internacional.</t>
  </si>
  <si>
    <t>Operacionalizar el Parque Tecnológico del Caribe PTC e integrar el ecosistema de ciencia, tecnología e innovación del Caribe, vinculando el PTC y el Centro de Investigaciones Científicas y Tecnológicas de la Universidad del Atlántico CICIT, así como otros laboratorios de investigación para impactar a las empresas de base tecnológica a través de servicios de investigación alcanzando 5 proyectos que involucren propiedad industrial, 10 contratos con empresas de base tecnológica, 10 proyectos con financiación internacional</t>
  </si>
  <si>
    <t xml:space="preserve">Proyectos de investigación desarrollados por grupos de investigación adscritos al CICIT que contienen desarrollo de patentes </t>
  </si>
  <si>
    <t>N° de proyectos de investigación desarrollados por grupos de investigación adscritos al CICIT que implica propiedad industrial (patentes, diseños industriales, variedades vegetales, marcas)</t>
  </si>
  <si>
    <t>P2 - Consolidación del Centro de Investigaciones Científicas y Tecnológicas de la Universidad del Atlántico</t>
  </si>
  <si>
    <t>Contratos y/o convenios en alianzas con empresas de base tecnológica para ejecución de proyectos de investigación en alianza con el CICIT, así como otros laboratorios de investigación con el PTC</t>
  </si>
  <si>
    <t>N° de contratos y/o convenios con empresas de base tecnológica</t>
  </si>
  <si>
    <t xml:space="preserve">Proyectos I+D+i en ejecución con participación de pares internacionales y/o financiación con recursos internacionales </t>
  </si>
  <si>
    <t xml:space="preserve">N° Proyectos I+D+i en ejecución con participación de pares internacionales y/o financiación con recursos internacionales </t>
  </si>
  <si>
    <t xml:space="preserve">Certificación de 15 laboratorios para prestación de servicios de investigación </t>
  </si>
  <si>
    <t>Laboratorios con certificación para la prestación de servicios de investigación</t>
  </si>
  <si>
    <t>Número de laboratorios con certificación para la prestación de servicios de investigación</t>
  </si>
  <si>
    <t>L3 - Impacto regional, Nacional e Internacional desde la Extensión y proyección social</t>
  </si>
  <si>
    <t>3. Contribuir desde lo académico, investigativo, extensión y proyección social en el tratamiento y resolución de temáticas de interés mediante el asesoramiento, análisis, formación de factores claves para la sociedad.</t>
  </si>
  <si>
    <t xml:space="preserve">M1 - Educación continua y formación avanzada con enfoque global. </t>
  </si>
  <si>
    <t>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t>
  </si>
  <si>
    <t xml:space="preserve">Centro de lenguas nativas y extranjeras constituido </t>
  </si>
  <si>
    <t>Centros de lenguas nativas y extranjeras constituido</t>
  </si>
  <si>
    <t xml:space="preserve">P1 - Fortalecimiento de los programas de educación continua con  pertinencia regional, nacional e internacional a través de la modernización de los procesos. </t>
  </si>
  <si>
    <t>4. Articular la Extensión con las demás funciones sustantivas de la Universidad para la formulación de propuestas pertinentes para dar solución a problemas o necesidades del entorno.</t>
  </si>
  <si>
    <t>Ambientes de aprendizaje innovadores implementados para la apropiación de lenguas nativas y extranjeras</t>
  </si>
  <si>
    <t>N° de ambientes de aprendizaje innovadores implementados para la apropiación de lenguas nativas y extranjeras</t>
  </si>
  <si>
    <t>6. Favorecer la proyección laboral de los egresados mediante el fortalecimiento de conocimientos y competencias requeridas para el contexto global.</t>
  </si>
  <si>
    <t>Oferta de programas de educación continua en modalidades (presencial, semipresencial, virtual y a distancia)</t>
  </si>
  <si>
    <t>N° de programas de educación continua en modalidad presencial</t>
  </si>
  <si>
    <t>N° de programas de educación continua en modalidad semipresencial</t>
  </si>
  <si>
    <t>N° de programas de educación continua en modalidad virtual y a distancia</t>
  </si>
  <si>
    <t>Oferta de programas de educación continua con componente internacional</t>
  </si>
  <si>
    <t>N° de programas con componente internacional</t>
  </si>
  <si>
    <t>Oferta de programas de educación continua con enfoque diferencial y/o capacidades diversas</t>
  </si>
  <si>
    <t>N° de programas de educación continua con enfoque diferencial y/o capacidades diversas implementados</t>
  </si>
  <si>
    <t>Oferta de programas de educación continua basado en las necesidades específicas de entidades del sector público y/o privado</t>
  </si>
  <si>
    <t>N° de programas de educación continua realizados en convenio con entidades del sector público y/o privado</t>
  </si>
  <si>
    <t>1. Promover la extensión y la proyección social como medio de vinculación de la universidad con la sociedad, en sinergia con el sector productivo para responder a sus demandas.</t>
  </si>
  <si>
    <t>M2 - Articulación con el sector productivo y sociedad.</t>
  </si>
  <si>
    <t>Concretar al menos 70 proyectos de extensión y proyección social remunerados con el sector público y/o privado a través de la gestión de alianzas y convenios a nivel nacional e internacional.</t>
  </si>
  <si>
    <t>Proyectos de extensión y proyección social remunerados en alianza con el sector público y/o privado</t>
  </si>
  <si>
    <t>N° de proyectos de extensión y proyección social suscritos con el sector público y/o privado</t>
  </si>
  <si>
    <t>P1 - Gestión de alianzas, convenios y proyectos para el  fomento del desarrollo  sostenible según la agenda (ODS), regional, nacional e internacional</t>
  </si>
  <si>
    <t>5. Innovación en los procesos de Extensión y Proyección social aplicando metodologías con enfoque hacia la cooperación entre disciplinas, uso de nuevas tecnologías, en concordancia con la naturaleza de las distintas áreas de conocimiento.</t>
  </si>
  <si>
    <t xml:space="preserve">Incrementar en un 20% los ingresos del Centro de Investigaciones Científicas y Tecnológicas (CICIT) y Parque Tecnológico del Caribe (PTC) por servicios científicos y tecnológicos </t>
  </si>
  <si>
    <t>Tasa de variación de ingresos  del CICIT y PTC para la vigencia de 10 años</t>
  </si>
  <si>
    <t>[(Ingresos por servicios científicos y tecnológicos del CICIT año 10 - Ingresos por servicios científicos y tecnológicos del CICIT año 1) / Ingresos por servicios científicos y tecnológicos del CICIT año 1) ] * 100</t>
  </si>
  <si>
    <t>2.Desarrollar y fomentar la cultura de innovación y emprendimiento mediante programas de formación y asesoría.</t>
  </si>
  <si>
    <t>Formular e implementar la política de innovación, emprendimiento y transferencia tecnológica y gestionar 30 proyectos de innovación a nivel nacional e internacional, y aportar 7 productos de transferencia tecnológica</t>
  </si>
  <si>
    <t xml:space="preserve">Política de innovación, emprendimiento y transferencia tecnológica </t>
  </si>
  <si>
    <t>Porcentaje de avance en el diseño, aprobación e implementación de la Política de innovación, emprendimiento y transferencia tecnológica</t>
  </si>
  <si>
    <t>P2 - Fortalecimiento de la gestión de la Innovación y emprendimiento</t>
  </si>
  <si>
    <t>Transferencias tecnológicas al sector público y/o privado</t>
  </si>
  <si>
    <t>N° de tecnologías transferidas al sector público y/o privado</t>
  </si>
  <si>
    <t>Proyectos de innovación y desarrollo tecnológico gestionados</t>
  </si>
  <si>
    <t>N° de proyectos de innovación y desarrollo tecnológico gestionados</t>
  </si>
  <si>
    <t>7. Promover la innovación y desarrollo empresarial con responsabilidad social mediante actividades de sensibilización, acompañamiento y transferencia de conocimiento.</t>
  </si>
  <si>
    <t>Crear el Centro de Emprendimiento UA Emprende para garantizar la sostenibilidad de por lo menos  el 3% de proyectos de emprendimiento.</t>
  </si>
  <si>
    <t>Porcentaje de proyectos de emprendimiento vigentes en el mercado después de 3 años de introducidos</t>
  </si>
  <si>
    <t>N° de proyectos de emprendimiento vigentes después de 3  años por sede / N° proyectos de emprendimiento apoyados por sede * 100</t>
  </si>
  <si>
    <t>Constitución del Centro de Emprendimiento UA</t>
  </si>
  <si>
    <t>Centro de Emprendimiento UA puesto en marcha</t>
  </si>
  <si>
    <t>Puesta en marcha del Laboratorio de producción de contenidos digitales UA</t>
  </si>
  <si>
    <t xml:space="preserve">Laboratorio de producción de contenidos digitales UA puesto en marcha </t>
  </si>
  <si>
    <t>Actualizar y fortalecer la Política de Egresados</t>
  </si>
  <si>
    <t>Política de egresados actualizada, aprobada e implementada</t>
  </si>
  <si>
    <t>Porcentaje de avance en la actualización, aprobación e implementación de la Política de egresados</t>
  </si>
  <si>
    <t>P3 - Proyección de los egresados como generadores de transformación y construcción social.</t>
  </si>
  <si>
    <t>Promover el apoyo y la participación de los graduados para ofertar servicios al sector público y privado.</t>
  </si>
  <si>
    <t>Implementación de la plataforma Marketplace para la promoción de los bienes y servicios de la población egresada</t>
  </si>
  <si>
    <t>Plataforma Marketplace para la promoción de los bienes y servicios de la población egresada</t>
  </si>
  <si>
    <t>Diseñar y apropiar el Observatorio digital institucional para la gestión de conocimiento y el desarrollo social</t>
  </si>
  <si>
    <t>Observatorio digital institucional para la gestión de conocimiento y el desarrollo social apropiado</t>
  </si>
  <si>
    <t>P4 - Creación del Observatorio de Productividad y Desarrollo Social</t>
  </si>
  <si>
    <t>8.  Promover la apropiación social del conocimiento en sectores sociales, culturales y empresariales que permitan la transferencia de experiencias y conocimientos.</t>
  </si>
  <si>
    <t>M3 - Gestión social, artística y cultural</t>
  </si>
  <si>
    <t>Concretar por lo menos 10  alianzas o convenios activos con entidades gubernamentales, sector privado nacional e internacional para la gestión de acceso a la cultura</t>
  </si>
  <si>
    <t>Alianzas o convenios activos para la gestión de acceso a la cultura</t>
  </si>
  <si>
    <t>N° de alianzas o convenios activos para la gestión de acceso a la cultura</t>
  </si>
  <si>
    <t>P1 - Fortalecimiento de los procesos de promoción y acceso a la cultura de la población.</t>
  </si>
  <si>
    <t>Desarrollar mínimo 50 proyectos para el acceso a la cultura</t>
  </si>
  <si>
    <t>Proyectos ejecutados para el acceso a la cultura</t>
  </si>
  <si>
    <t>N° de proyectos ejecutados para el acceso a la cultura</t>
  </si>
  <si>
    <t>Promover mínimo 3 proyectos y espacios institucionales con enfoque al desarrollo turístico, patrimonial y social con la vinculación de los gobiernos departamental, nacional y/o internacional</t>
  </si>
  <si>
    <t>Proyectos institucionales con enfoque al desarrollo turístico, patrimonial y social con la vinculación de los gobiernos departamental, nacional y/o internacional</t>
  </si>
  <si>
    <t>N° de proyectos institucionales con enfoque al desarrollo turístico, patrimonial y social con la vinculación de los gobiernos departamental, nacional y/o internacional</t>
  </si>
  <si>
    <t xml:space="preserve">Visibilizar los resultados de los procesos de investigación creación artística con 15 participaciones en eventos de apropiación social </t>
  </si>
  <si>
    <t xml:space="preserve">Participación en eventos de apropiación social y cultural de los resultados de investigación creación </t>
  </si>
  <si>
    <t xml:space="preserve">N° de participaciones artísticas en eventos de apropiación social y cultural  de los resultados de investigación creación </t>
  </si>
  <si>
    <t>P2 - Divulgación y posicionamiento de productos artísticos y museográficos.</t>
  </si>
  <si>
    <t xml:space="preserve">Concretar la ejecución de al menos 20 proyectos de proyección social con mecanismos de financiación externos públicos y/o privados </t>
  </si>
  <si>
    <t xml:space="preserve">Proyectos de proyección social ejecutados por mecanismos de financiación externa de entidades públicas y/o privadas  con aporte a los ODS </t>
  </si>
  <si>
    <t xml:space="preserve">N° de proyectos de proyección social ejecutados por mecanismos de financiación externa de entidades públicas y/o privadas  con aporte a los ODS </t>
  </si>
  <si>
    <t>P3 - Fortalecimiento a la gestión de actividades, proyectos y programas de proyección social.</t>
  </si>
  <si>
    <t>Desarrollar por lo menos 10 proyectos de proyección social con intervención a población priorizada</t>
  </si>
  <si>
    <t>Proyectos de proyección social con intervenciones en población priorizada, con enfoque diferencial y/o capacidades diversas</t>
  </si>
  <si>
    <t>N° de proyectos de proyección social con intervenciones en población priorizada, con enfoque diferencial y/o capacidades diversas</t>
  </si>
  <si>
    <t>Promover la apropiación social del conocimiento en articulación con las facultades, mediante la gestión de al menos 800 eventos de difusión</t>
  </si>
  <si>
    <t>Eventos de apropiación social del conocimiento gestionados</t>
  </si>
  <si>
    <t>N° de eventos de apropiación social del conocimiento realizados</t>
  </si>
  <si>
    <t xml:space="preserve">M4 - Responsabilidad social universitaria RSU.  </t>
  </si>
  <si>
    <t>Elaborar e implementar en forma sostenible la política institucional de Responsabilidad Social Universitaria RSU y ejecutar por lo menos 50 proyectos del Voluntariado UA.</t>
  </si>
  <si>
    <t xml:space="preserve">Política institucional Responsabilidad Social Universitaria RSU </t>
  </si>
  <si>
    <t>Política institucional Responsabilidad Social Universitaria RSU aprobada</t>
  </si>
  <si>
    <t>P1 - Creación de políticas institucionales en RSU</t>
  </si>
  <si>
    <t>Porcentaje de implementación de la política institucional Responsabilidad Social Universitaria RSU</t>
  </si>
  <si>
    <t>(N° de componentes de la Política  institucional RSU implementados / N° total de componentes de la política) *100</t>
  </si>
  <si>
    <t xml:space="preserve">Creación del Voluntariado UA con sus Proyectos asociados </t>
  </si>
  <si>
    <t xml:space="preserve">N° de proyectos ejecutados por el Voluntariado UA </t>
  </si>
  <si>
    <t xml:space="preserve">P2 - Fortalecer la participación en las iniciativas locales y globales de la agenda 2030 para el desarrollo sostenible. </t>
  </si>
  <si>
    <t xml:space="preserve">Caracterizar el impacto de por lo menos 50  programas y/o proyectos Responsabilidad Social Universitaria RSU desarrollados </t>
  </si>
  <si>
    <t xml:space="preserve">Impacto sobre los grupos de interés y territorios beneficiados por los Proyectos de Responsabilidad Social Universitaria RSU </t>
  </si>
  <si>
    <t>N° de Informes de resultado de los proyectos de RSU</t>
  </si>
  <si>
    <t>Promover la comercialización de mínimo 2 proyectos que generen Spin-Off</t>
  </si>
  <si>
    <t xml:space="preserve">Proyectos que generen Spin-Off </t>
  </si>
  <si>
    <t>N° de proyectos Spin-Off comercializados</t>
  </si>
  <si>
    <t>L4 - Bienestar Universitario, Salud mental positiva, Inclusión y Democracia.</t>
  </si>
  <si>
    <t>1. Ampliar las capacidades institucionales para el mejoramiento de la cobertura de los programas de bienestar y fortalecer los factores protectores de la permanencia y graduación estudiantil.</t>
  </si>
  <si>
    <t>M1 - Fortalecimiento para la permanencia y graduación oportuna</t>
  </si>
  <si>
    <t>Establecer un sistema de evaluación para controlar el impacto de las estrategias de permanencia y graduación que permita fortalecer el proceso formativo.</t>
  </si>
  <si>
    <t xml:space="preserve">Sistema de evaluación del impacto de las estrategias de permanencia y graduación estudiantil </t>
  </si>
  <si>
    <t>Documento de evaluación periódica en relación al impacto de las estrategias de permanencia y graduación estudiantil por trienio</t>
  </si>
  <si>
    <t>P1 - Promoción al acceso, permanencia y graduación estudiantil</t>
  </si>
  <si>
    <t>Vicerrector de Bienestar Universitario</t>
  </si>
  <si>
    <t>2. Fortalecer las competencias del ser en concordancia con las necesidades de la comunidad universitaria enmarcadas en las habilidades y destrezas para un ser integral</t>
  </si>
  <si>
    <t>Aumentar el índice de permanencia y oportuna graduación estudiantil basado en el acompañamiento institucional, psicosocial, académico y socioeconómico en cada etapa del  proyecto de vida universitario del estudiante.</t>
  </si>
  <si>
    <t>Tasa de deserción anual</t>
  </si>
  <si>
    <t>(Desertores en Período (t) / Matriculados en Período (t-2)) x 100%</t>
  </si>
  <si>
    <t>Diseñar e implementar la Política de Permanencia y Graduación estudiantil.</t>
  </si>
  <si>
    <t>Diseño e implementación de una Política de Permanencia y Graduación estudiantil en la Universidad del Atlántico que conlleve a la creación del Comité institucional de permanencia.</t>
  </si>
  <si>
    <t>(N° de componentes implementados de la Política de Permanencia y Graduación estudiantil /total de componentes aprobados de la Política)* 100</t>
  </si>
  <si>
    <t>Diseñar e implementar el programa de Plan Padrino para el sostenimiento de mínimo 200 estudiantes en riesgo de deserción, impulsando el aporte voluntario de entes territoriales, egresados, empresarios y docentes.</t>
  </si>
  <si>
    <t>Puesta en marcha del programa Plan Padrino</t>
  </si>
  <si>
    <t>(N° de estudiantes beneficiados por el Plan Padrino que mantengan su promedio académico semestral igual o superior a 4.0 / total de estudiantes beneficiados por el plan padrino) * 100</t>
  </si>
  <si>
    <t>P2 - Fortalecimiento de ayudas socioeconómicas para el éxito estudiantil</t>
  </si>
  <si>
    <t>6. Contribuir al bienestar social mediante la participación y promoción de espacios universitarios para la resolución pacífica de conflictos y la construcción de una sociedad y de un Estado justo, participativo y democrático, aportando así a la paz del país.</t>
  </si>
  <si>
    <t>M2 - Cultura ciudadana, cultura política, equidad de género e inclusión</t>
  </si>
  <si>
    <t>Estimular el desarrollo de las relaciones constructivas entre los miembros de la comunidad universitaria con base en la difusión y práctica de valores de respeto a la dignidad humana y a la diversidad, alcanzando un incremento del 6% en los resultados de percepción de cultura ciudadana, 7 estructuras de diálogo y resolución de conflictos y la Política de Género.</t>
  </si>
  <si>
    <t>Incremento en la favorabilidad de los resultados de la encuesta de percepción de cultura ciudadana y Derechos Humanos</t>
  </si>
  <si>
    <t xml:space="preserve"> (Resultados favorables de las encuestas del año final - resultados favorables de las encuestas del año inicial) </t>
  </si>
  <si>
    <t>P1 - Cultura ciudadana, equidad y convivencia</t>
  </si>
  <si>
    <t>Estructuras de diálogo y resolución pacífica de conflictos empleadas en la UA  para mejorar  espacios de convivencia  y paz</t>
  </si>
  <si>
    <t>N° de estructuras de diálogo y resolución de conflictos que mejoren espacios de convivencia y paz en el Campus Universitario</t>
  </si>
  <si>
    <t>Diseño y construcción de una Política de Género en la Universidad del Atlántico que reconozca los espacios de reparación desde lo colectivo hacia las mujeres, hombres y/o persona no binaria que hayan sido víctimas de acoso en cualquiera de sus formas</t>
  </si>
  <si>
    <t>Política de género construida</t>
  </si>
  <si>
    <t>3. 	Articular los procesos administrativos y académicos mediante el uso eficiente de los recursos financieros, tecnológicos y humanos.</t>
  </si>
  <si>
    <t>Institucionalizar el proyecto "Diálogos de Desarrollo Institucional” como escenario para pensar nuestra universidad con la participación de la comunidad universitaria, con un mínimo de 9 hojas de ruta derivadas del proyecto.</t>
  </si>
  <si>
    <t>Implementación del proyecto "Diálogo de Desarrollo Institucional" (resultado de participación por tópico tratado, conclusiones, hojas de ruta o planes de acción sugeridos)</t>
  </si>
  <si>
    <t>N° de hojas de ruta generadas a partir de los espacios de diálogo desarrollados</t>
  </si>
  <si>
    <t>Visibilizar los procesos institucionales a nivel local y regional, fortaleciendo de la participación en temas de Cultura Ciudadana y Derechos Humanos a través del proyecto “Espacios Audiovisuales”.</t>
  </si>
  <si>
    <t>Proyecto “Espacios Audiovisuales” en convenio con medios de comunicación para visibilizar los procesos institucionales y fortalecer la participación en temas de cultura ciudadana y derechos humanos, con el acompañamiento del área de comunicaciones</t>
  </si>
  <si>
    <t>% de avance de las etapas del proyecto de Espacios Audiovisuales (Diseño y creación; Documentación; Socialización y puesta en marcha)</t>
  </si>
  <si>
    <t>8. Promover la salud física y mental positiva en los miembros de la comunidad universitaria</t>
  </si>
  <si>
    <t>M3 - Salud mental positiva y Desarrollo humano integral</t>
  </si>
  <si>
    <t>Fomentar el autocuidado y compromiso con la salud física y mental, en al menos el 50% de la comunidad universitaria.</t>
  </si>
  <si>
    <t>Porcentaje de miembros de la comunidad universitaria con resultados superiores en la última encuesta aplicada de Estilo de vida Saludable (OMS</t>
  </si>
  <si>
    <t xml:space="preserve">(N° de encuestados en estilo de vida saludable con calificación superior / Total de encuestados) * 100  </t>
  </si>
  <si>
    <t>P1 - Promoción y mantenimiento de la salud en la comunidad universitaria</t>
  </si>
  <si>
    <t xml:space="preserve">L5 - Modernización de la Gestión Administrativa </t>
  </si>
  <si>
    <t xml:space="preserve">5. Mejorar la gestión de los recursos para garantizar la sostenibilidad financiera mediante el incremento de los ingresos por autogestión y búsqueda de fuentes alternativas de financiación. </t>
  </si>
  <si>
    <t>M1 - Fortalecimiento institucional</t>
  </si>
  <si>
    <t xml:space="preserve">Incrementar la participación de los ingresos por venta de servicios a un 20% del total del presupuesto </t>
  </si>
  <si>
    <t>Ingresos de autogestión</t>
  </si>
  <si>
    <t>Ingresos presupuestados para venta de servicios por año/total de ingresos corrientes presupuestados anuales *100</t>
  </si>
  <si>
    <t xml:space="preserve">P1 - Mejoramiento y efectividad de procesos administrativos y académicos. </t>
  </si>
  <si>
    <t>Jefe del Departamento de Gestión Financiera</t>
  </si>
  <si>
    <t>6. Fortalecer el perfil patrimonial de la institución.</t>
  </si>
  <si>
    <t>Construir un modelo de gestión financiera que promueva la utilización más eficiente de los recursos públicos, así como identificar alternativas de financiación</t>
  </si>
  <si>
    <t>Diseño e implementación del modelo de gestión financiera que incluya una política de racionalización del gasto</t>
  </si>
  <si>
    <t>Modelo de gestión financiera que incluya una política de racionalización del gasto implementado</t>
  </si>
  <si>
    <t xml:space="preserve">4. Fortalecer las plataformas tecnológicas y los sistemas de información para incrementar la eficiencia de los procesos mediante la adecuada  planificación e  integración de estos bajo condiciones de seguridad y gobernabilidad. </t>
  </si>
  <si>
    <t>Implementar la estrategia de Gobierno Digital</t>
  </si>
  <si>
    <t>Porcentaje de implementación de estrategia de Gobierno Digital</t>
  </si>
  <si>
    <t>N° de componentes implementados/ N° total de componentes *100</t>
  </si>
  <si>
    <t>P2 - Modernización de las herramientas tecnológicas y los sistemas de gestión.</t>
  </si>
  <si>
    <t>Jefe de Oficina Informática</t>
  </si>
  <si>
    <t>Modernizar la plataforma tecnológica de la Universidad</t>
  </si>
  <si>
    <t>Plan de modernización de plataforma tecnológica implementado a 10 años</t>
  </si>
  <si>
    <t>(N° de componentes del plan implementados / N° total de componentes del plan) * 100</t>
  </si>
  <si>
    <t xml:space="preserve">Fortalecimiento de los procesos de gestión administrativos y académicos soportados en herramientas tecnológicas </t>
  </si>
  <si>
    <t>(N° de procesos fortalecidos / N° de procesos priorizados) *100</t>
  </si>
  <si>
    <t>9. Fortalecer la administración y ejecución de los planes, programas y proyectos propendiendo por el desarrollo de las actividades misionales fundamentada en principios de eficiencia, transparencia, equidad y calidad de servicio.</t>
  </si>
  <si>
    <t>Integrar y certificar los Sistemas de Gestión</t>
  </si>
  <si>
    <t xml:space="preserve">Certificación de los sistemas de gestión (HSEQ) </t>
  </si>
  <si>
    <t xml:space="preserve">Certificación de los sistemas de gestión (HSEQ)  </t>
  </si>
  <si>
    <t xml:space="preserve">P3 - Planeación estratégica y fortalecimiento de los sistemas de gestión. </t>
  </si>
  <si>
    <t>Jefe de Oficina de Planeación</t>
  </si>
  <si>
    <t>Porcentaje de implementación del sistema MIPG</t>
  </si>
  <si>
    <t>N° de dimensiones del MIPG implementadas / total de dimensiones del MIPG * 100</t>
  </si>
  <si>
    <t>Ser una institución consciente y proactiva hacia el aporte de los ODS</t>
  </si>
  <si>
    <t>Articulación de las actividades misionales con los ODS</t>
  </si>
  <si>
    <t>Aporte porcentual por ODS según las iniciativas desarrolladas desde cada proceso misional</t>
  </si>
  <si>
    <t>8. Fortalecer la gestión administrativa buscando eficiencia, transparencia equidad y calidad de servicio propendiendo por el desarrollo de las funciones misionales.</t>
  </si>
  <si>
    <t>Sostenibilidad Ambiental Universitaria</t>
  </si>
  <si>
    <t>Intervención de los impactos ambientales priorizados (negativos)</t>
  </si>
  <si>
    <t>N° de impactos priorizados intervenidos / total de impactos priorizados * 100</t>
  </si>
  <si>
    <t xml:space="preserve">P4 - Fomento de sostenibilidad ambiental.  </t>
  </si>
  <si>
    <t xml:space="preserve">Operacionalizar al menos el 50% de los convenios de cooperación académica nacional e internacional </t>
  </si>
  <si>
    <t>Convenios interinstitucionales activos</t>
  </si>
  <si>
    <t>N° de convenios interinstitucionales activos / N° de convenios vigentes *100</t>
  </si>
  <si>
    <t>P6 - Cooperación internacional y relacionamiento estratégico.</t>
  </si>
  <si>
    <t>Jefe de Oficina de Relaciones Internacionales e  Interinstitucionales</t>
  </si>
  <si>
    <t>Alcanzar la participación de la Universidad en un mínimo de 100 convocatorias académicas</t>
  </si>
  <si>
    <t>Participación en convocatorias académicas nacionales e internacionales.</t>
  </si>
  <si>
    <t>N° de postulaciones a convocatorias académicas nacionales e internacionales.</t>
  </si>
  <si>
    <t>7. Lograr la pertinente evaluación del desempeño de los procesos y sus responsables, para tomar medidas que optimice la gestión, promueva el crecimiento personal y potencie el desarrollo del talento y las habilidades, facilitando el liderazgo, relacionamiento, comunicación efectiva y trabajo colaborativo, a partir de una estructura administrativa adecuada a las necesidades institucionales.</t>
  </si>
  <si>
    <t>M2 - Fortalecimiento de la estructura organizativa y del talento humano.</t>
  </si>
  <si>
    <t>Garantizar personal cualificado con altos niveles de satisfacción en clima organizacional y bienestar laboral.</t>
  </si>
  <si>
    <t>Estructura de planta administrativa</t>
  </si>
  <si>
    <t>Actualización de la estructura y planta administrativa</t>
  </si>
  <si>
    <t>P1 - Equidad, bienestar y desarrollo laboral</t>
  </si>
  <si>
    <t>Clima organizacional</t>
  </si>
  <si>
    <t xml:space="preserve">Grado de satisfacción del clima organizacional </t>
  </si>
  <si>
    <t>Jefe del Departamento de Talento Humano</t>
  </si>
  <si>
    <t>Implementación del sistema de evaluación de desempeño</t>
  </si>
  <si>
    <t>N° de funcionarios con evaluación de desempeño aplicada de acuerdo a normativa / total de funcionarios de la planta administrativa *100</t>
  </si>
  <si>
    <t>1. Elaborar el plan maestro de infraestructura, con proyectos innovadores acordes con el desarrollo urbanístico, la visión y la prospectiva institucional</t>
  </si>
  <si>
    <t>M3 - Infraestructura y dotación adecuada</t>
  </si>
  <si>
    <t xml:space="preserve">Formular e implementar el Plan maestro de infraestructura física </t>
  </si>
  <si>
    <t xml:space="preserve">Plan maestro de infraestructura física elaborado proyectado a 10 años </t>
  </si>
  <si>
    <t xml:space="preserve">Plan maestro de infraestructura física elaborado </t>
  </si>
  <si>
    <t>P1 - Diseño y adecuación de infraestructura inclusiva, sostenible y especializada en todas las sedes.</t>
  </si>
  <si>
    <t>Porcentaje de cumplimiento del Plan maestro de Infraestructura física</t>
  </si>
  <si>
    <t>(N° de nuevos proyectos finalizados / total de nuevos proyectos programados en el Plan de Infraestructura) *100</t>
  </si>
  <si>
    <t>Gestionar la modernización de la sede central de la Biblioteca del campus.</t>
  </si>
  <si>
    <t>Proyecto de Modernización de la Biblioteca</t>
  </si>
  <si>
    <t>(N° de fases ejecutadas / total de fases del proyecto de Modernización de la Biblioteca) * 100</t>
  </si>
  <si>
    <t xml:space="preserve">P2 - Sostenimiento de la infraestructura física en todas las sedes. </t>
  </si>
  <si>
    <t>Adecuar contenedores sostenibles y modernos que permitan la recolección selectiva de residuos en salas de reuniones, centros de investigación y zonas de estudios.</t>
  </si>
  <si>
    <t>Espacios adecuados con enfoque ambiental</t>
  </si>
  <si>
    <t>(N° de espacios intervenidos y dotados con enfoque ambiental / total de espacios proyectados a intervenir y dotar con enfoque ambiental) * 100</t>
  </si>
  <si>
    <t xml:space="preserve">P3 - Campus atractivo armónico con el medio ambiente. </t>
  </si>
  <si>
    <t>centro de laboratorios y talleres ingenerias</t>
  </si>
  <si>
    <t>xxxxx</t>
  </si>
  <si>
    <t xml:space="preserve">                                                                                                                                                                                                                                                  FORMULACIÓN, SEGUIMIENTO Y EVALUACIÓN DE PLAN DE DESARROLLO INSTITUCIONAL Y PLANES INDICATIVOS</t>
  </si>
  <si>
    <t>DEPENDENCIA QUE CONSOLIDA:</t>
  </si>
  <si>
    <t>AÑO DE INICIO:</t>
  </si>
  <si>
    <t>AÑO DE FINALIZACIÓN:</t>
  </si>
  <si>
    <t>PERÍODO DEL PLAN DE DESARROLLO (PDI):</t>
  </si>
  <si>
    <t xml:space="preserve">SECCIÓN  RESERVADA PARA EVALUACIÓN </t>
  </si>
  <si>
    <t>No.</t>
  </si>
  <si>
    <t>LíNEA ESTRATÉGICA</t>
  </si>
  <si>
    <t xml:space="preserve"> MOTOR DE DESARROLLO</t>
  </si>
  <si>
    <t>META DE RESULTADO</t>
  </si>
  <si>
    <t>INDICADOR DE RESULTADO</t>
  </si>
  <si>
    <t>PONDERACIÓN POR PROYECTOS</t>
  </si>
  <si>
    <t xml:space="preserve">RESPONSABLE </t>
  </si>
  <si>
    <t>VALOR TOTAL Y FINANCIACIÓN DEL TRIENIO 1</t>
  </si>
  <si>
    <t>TOTAL TRIENIO 1</t>
  </si>
  <si>
    <t>VALOR TOTAL Y FINANCIACIÓN DEL TRIENIO 2</t>
  </si>
  <si>
    <t>TOTAL TRIENIO 2</t>
  </si>
  <si>
    <t>VALOR TOTAL Y FINANCIACIÓN DEL TRIENIO 3</t>
  </si>
  <si>
    <t>TOTAL TRIENIO 3</t>
  </si>
  <si>
    <t xml:space="preserve">VALOR TOTAL Y FINANCIACIÓN DEL AÑO FINAL </t>
  </si>
  <si>
    <t>TOTAL AÑO FINAL</t>
  </si>
  <si>
    <t>RESULTADOS PLAN INDICATIVO</t>
  </si>
  <si>
    <t>CUMPLIMIENTO DEL PDI</t>
  </si>
  <si>
    <t>RESULTADO EJECUCCIÓN PRESUPUESTAL</t>
  </si>
  <si>
    <t xml:space="preserve"> NOMBRE DEL INDICADOR</t>
  </si>
  <si>
    <t xml:space="preserve"> FÓRMULA DE LA MEDICIÓN</t>
  </si>
  <si>
    <t>UNIDAD DE MEDIDA</t>
  </si>
  <si>
    <t xml:space="preserve">TIPO DE MEDICIÓN </t>
  </si>
  <si>
    <t>META PDI</t>
  </si>
  <si>
    <t>LÍNEA BASE</t>
  </si>
  <si>
    <t>TRIENIO 1</t>
  </si>
  <si>
    <t>TRIENIO 2</t>
  </si>
  <si>
    <t>TRIENIO 3</t>
  </si>
  <si>
    <t>AÑO FINAL</t>
  </si>
  <si>
    <t xml:space="preserve">META PDI </t>
  </si>
  <si>
    <t>NIVEL CENTRAL</t>
  </si>
  <si>
    <t>AUTOGESTIÓN</t>
  </si>
  <si>
    <t>CONVENIOS</t>
  </si>
  <si>
    <t xml:space="preserve">INDICADOR </t>
  </si>
  <si>
    <t>META POR TRINENIO</t>
  </si>
  <si>
    <t>CUMPLIMIENTO DE LA META DEL TRIENIO 1</t>
  </si>
  <si>
    <t>CUMPLIMIENTO DE LA META DEL TRIENIO 2</t>
  </si>
  <si>
    <t>CUMPLIMIENTO DE LA META DEL TRIENIO 3</t>
  </si>
  <si>
    <t>CUMPLIMIENTO DE LA META DEL AÑO FINAL</t>
  </si>
  <si>
    <t>EJECUTADO DEL TRIENIO 1</t>
  </si>
  <si>
    <t>EJECUTADO DEL TRIENIO 2</t>
  </si>
  <si>
    <t>EJECUTADO DEL TRIENIO 3</t>
  </si>
  <si>
    <t>EJECUTADO DEL AÑO FINAL</t>
  </si>
  <si>
    <t>TOTAL</t>
  </si>
  <si>
    <t>AVANCE / META</t>
  </si>
  <si>
    <t>AVANCE / META (%)</t>
  </si>
  <si>
    <t>M1</t>
  </si>
  <si>
    <t>p1</t>
  </si>
  <si>
    <t>M2</t>
  </si>
  <si>
    <t>P1</t>
  </si>
  <si>
    <t>P2</t>
  </si>
  <si>
    <t>FORMULACIÓN, SEGUIMIENTO Y EVALUACIÓN DE PLAN DE DESARROLLO INSTITUCIONAL Y PLANES INDICATIVOS</t>
  </si>
  <si>
    <t>RESULTADO DEL CUMPLIMIENTO DE LAS METAS POR LÍNEA</t>
  </si>
  <si>
    <t>RESULTADOS DE CUMPLIMIENTO PONDERADO LÍNEA, MOTOR Y PROYECTO</t>
  </si>
  <si>
    <t>METAS</t>
  </si>
  <si>
    <t>Línea</t>
  </si>
  <si>
    <t>Motor</t>
  </si>
  <si>
    <t>Proyecto</t>
  </si>
  <si>
    <t>Cumplimiento línea</t>
  </si>
  <si>
    <t>Cumplimiento motor</t>
  </si>
  <si>
    <t>Cumplimiento proyecto</t>
  </si>
  <si>
    <t>Líneas estratégicas</t>
  </si>
  <si>
    <t>OBJETIVOS</t>
  </si>
  <si>
    <t>ESTRATEGIA</t>
  </si>
  <si>
    <t>MOTORES</t>
  </si>
  <si>
    <t>CARGO</t>
  </si>
  <si>
    <t>DEPENDENCIA</t>
  </si>
  <si>
    <t>AÑOS</t>
  </si>
  <si>
    <t>Unidad de Medida</t>
  </si>
  <si>
    <t>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t>
  </si>
  <si>
    <t>.</t>
  </si>
  <si>
    <t>Decanos</t>
  </si>
  <si>
    <t>acumulado(sumatoria de valores)</t>
  </si>
  <si>
    <t>Fortalecer y consolidar los procesos de investigación, creación e innovación al servicio del progreso científico, tecnológico, ambiental, cultural, social y humano, en el contexto regional, nacional e internacional.</t>
  </si>
  <si>
    <t>Director Consultorio Jurídico y Centro de Conciliación</t>
  </si>
  <si>
    <t xml:space="preserve">Nuevo gestionado durante la vigencia.(corresponde a lo realizado durante la vigencia, parte de 0) </t>
  </si>
  <si>
    <t>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t>
  </si>
  <si>
    <t>2. Robustecer la infraestructura física y tecnológica para soportar los procesos misionales.</t>
  </si>
  <si>
    <t xml:space="preserve">Director de Unidad de Salud </t>
  </si>
  <si>
    <t>promedio(sumatoria/# de ítems)</t>
  </si>
  <si>
    <t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t>
  </si>
  <si>
    <t>3. 3.	Articular los procesos administrativos y académicos mediante el uso eficiente de los recursos financieros, tecnológicos y humanos.</t>
  </si>
  <si>
    <t xml:space="preserve">3. Establecer una arquitectura organizacional que permita una gestión académica, administrativa,  financiera eficiente y articulada, mediante el uso racional de los recursos físicos, humanos, financieros y tecnológicos.  </t>
  </si>
  <si>
    <t>Director Museo de Antropología</t>
  </si>
  <si>
    <t>ultimo valor reportado(corresponde al ultimo registro)</t>
  </si>
  <si>
    <t>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t>
  </si>
  <si>
    <t>4. Desarrollar actividades que generen impacto en el desarrollo del ser de la comunidad universitaria.</t>
  </si>
  <si>
    <t>Director del Centro de Investigaciones jurídicas y socio jurídicas</t>
  </si>
  <si>
    <t>5. Brindar herramientas y mecanismos para el desarrollo de las habilidades sociales  de la comunidad universitaria.</t>
  </si>
  <si>
    <t>Jefe de Oficina Control Interno</t>
  </si>
  <si>
    <t>Jefe de Oficina de Asesoría Jurídica</t>
  </si>
  <si>
    <t xml:space="preserve">7. Fortalecimiento del arte, la cultura y el deporte que aportan significativamente al desarrollo humano integral y al fortalecimiento social.   </t>
  </si>
  <si>
    <t>Jefe de Oficina de Control Disciplinario</t>
  </si>
  <si>
    <t>Jefe de Oficina de Egresados</t>
  </si>
  <si>
    <t xml:space="preserve">10. Promover la formación y desarrollo en temas de innovación educativa inclusiva. </t>
  </si>
  <si>
    <t>10. Fortalecer la comunicación interna y externa para facilitar la articulación de los procesos y de la comunidad universitaria.</t>
  </si>
  <si>
    <t>Jefe del Departamento Calidad Integral en la Docencia</t>
  </si>
  <si>
    <t>Jefe del Departamento de Admisiones y Registro Académico</t>
  </si>
  <si>
    <t>Jefe del Departamento de Bibliotecas</t>
  </si>
  <si>
    <t>Jefe del Departamento de Bienes y Suministros</t>
  </si>
  <si>
    <t>Jefe del Departamento de Desarrollo Humano Integral</t>
  </si>
  <si>
    <t>Jefe del Departamento de Investigaciones</t>
  </si>
  <si>
    <t>Jefe del Departamento de Postgrados</t>
  </si>
  <si>
    <t>Jefe del Departamento de Regionalización</t>
  </si>
  <si>
    <t>Jefe del Departamento de Servicios Generales</t>
  </si>
  <si>
    <t>Jefe del Departamento Extensión y Proyección Social</t>
  </si>
  <si>
    <t>Rector</t>
  </si>
  <si>
    <t>Secretario General</t>
  </si>
  <si>
    <t>Vicerrector Administrativo y Financiero</t>
  </si>
  <si>
    <t xml:space="preserve">P1 - Fortalecimiento de los programas de educación contínua con  pertinencia regional, nacional e internacional a través de la modernización de los procesos. </t>
  </si>
  <si>
    <t>P2 - Territorio artístico y cultural que construye una sociedad diversa e inclusiva</t>
  </si>
  <si>
    <t>P2 - Yo trabajo con bienestar integral</t>
  </si>
  <si>
    <t xml:space="preserve">P3 - Posicionamiento del servicio social  de  asesoría  jurídica, representación  legal  y  litigio  estratégico del  consultorio  jurídico  y Centro de  Conciliación como solucionadores y mediadores de conflictos socio-jurídicos.  </t>
  </si>
  <si>
    <t>P3 - Integración deportiva y participación en la sociedad</t>
  </si>
  <si>
    <t>P4 - Fortalecimiento de la función social de la universidad, en temas de memoria, identidad y patrimonio.</t>
  </si>
  <si>
    <t>P4 - Dotación y mantenimiento de infraestructura de redes de comunicación e infraestructura computacional.</t>
  </si>
  <si>
    <t>P5 - Comunicación organizacional y logística institucional.</t>
  </si>
  <si>
    <t>P5 - Dotación de espacios administrativos y académicos.</t>
  </si>
  <si>
    <t>ID</t>
  </si>
  <si>
    <t>VAL</t>
  </si>
  <si>
    <t>L1</t>
  </si>
  <si>
    <t>L2</t>
  </si>
  <si>
    <t>L3</t>
  </si>
  <si>
    <t>L4</t>
  </si>
  <si>
    <t>L5</t>
  </si>
  <si>
    <t>metas</t>
  </si>
  <si>
    <t>FILA</t>
  </si>
  <si>
    <t>REP</t>
  </si>
  <si>
    <t>IDLINE</t>
  </si>
  <si>
    <t>LINE</t>
  </si>
  <si>
    <t>META</t>
  </si>
  <si>
    <t>res.pond.meta</t>
  </si>
  <si>
    <t>pond.</t>
  </si>
  <si>
    <t>cumpli</t>
  </si>
  <si>
    <t>id.L</t>
  </si>
  <si>
    <t>rep.l</t>
  </si>
  <si>
    <t>val.Linea</t>
  </si>
  <si>
    <t>id.M</t>
  </si>
  <si>
    <t>rep</t>
  </si>
  <si>
    <t>fila</t>
  </si>
  <si>
    <t>val.motor</t>
  </si>
  <si>
    <t>Id.p</t>
  </si>
  <si>
    <t>val.proye</t>
  </si>
  <si>
    <t>#</t>
  </si>
  <si>
    <t>Fil.filtro</t>
  </si>
  <si>
    <t>Total</t>
  </si>
  <si>
    <t/>
  </si>
  <si>
    <t>Promedio de cumpli</t>
  </si>
  <si>
    <t>Lim</t>
  </si>
  <si>
    <t>Trienio</t>
  </si>
  <si>
    <t>PDI</t>
  </si>
  <si>
    <t>cc</t>
  </si>
  <si>
    <t>ccc</t>
  </si>
  <si>
    <t>cccc</t>
  </si>
  <si>
    <t>L1M1</t>
  </si>
  <si>
    <t>L1M2</t>
  </si>
  <si>
    <t>L1M3</t>
  </si>
  <si>
    <t>L1M4</t>
  </si>
  <si>
    <t>L1M5</t>
  </si>
  <si>
    <t>L2M1</t>
  </si>
  <si>
    <t>L2M2</t>
  </si>
  <si>
    <t>L2M3</t>
  </si>
  <si>
    <t>L3M1</t>
  </si>
  <si>
    <t>L3M2</t>
  </si>
  <si>
    <t>L3M3</t>
  </si>
  <si>
    <t>L3M4</t>
  </si>
  <si>
    <t>L4M1</t>
  </si>
  <si>
    <t>L4M2</t>
  </si>
  <si>
    <t>L4M3</t>
  </si>
  <si>
    <t>L5M1</t>
  </si>
  <si>
    <t>L5M2</t>
  </si>
  <si>
    <t>L5M3</t>
  </si>
  <si>
    <t>LINEA ESTRATEGICA</t>
  </si>
  <si>
    <t>EVALUACIÓNPDI</t>
  </si>
  <si>
    <t>Gestionar la creación del Comité de Pertinencia Académica, que engrane la gestión de las Facultades con el Observatorio Regional de Mercado de Trabajo ORMET, la Vicerrectoría de Docencia, el Depto. de Extensión y Proyección Social, la Oficina de Egresados, la Oficina de Planeación, entre otras, para el análisis de apertura de nueva oferta académica.</t>
  </si>
  <si>
    <t>Cada año vale el 10%, por lo anto el trienio tiene un peso del 30%, la tolerancia minima de cumplimiento del Plan de Desarrollo Instucional esta en un 80%, por tal razon el maximo a cumplir para el primer trienio seria un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</si>
</sst>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quot;$&quot;* #,##0_-;\-&quot;$&quot;* #,##0_-;_-&quot;$&quot;* &quot;-&quot;_-;_-@_-"/>
    <numFmt numFmtId="165" formatCode="_-* #,##0.00\ _€_-;\-* #,##0.00\ _€_-;_-* &quot;-&quot;??\ _€_-;_-@_-"/>
    <numFmt numFmtId="166" formatCode="0.0%"/>
  </numFmts>
  <fonts count="60">
    <font>
      <sz val="10"/>
      <name val="Arial"/>
    </font>
    <font>
      <sz val="11"/>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8"/>
      <name val="Arial"/>
      <family val="2"/>
    </font>
    <font>
      <sz val="12"/>
      <name val="Candara"/>
      <family val="2"/>
    </font>
    <font>
      <b/>
      <sz val="12"/>
      <color rgb="FF000000"/>
      <name val="Candara"/>
      <family val="2"/>
    </font>
    <font>
      <sz val="12"/>
      <color theme="0" tint="-0.249977111117893"/>
      <name val="Candara"/>
      <family val="2"/>
    </font>
    <font>
      <sz val="12"/>
      <color rgb="FF000000"/>
      <name val="Candara"/>
      <family val="2"/>
    </font>
    <font>
      <sz val="12"/>
      <color theme="0"/>
      <name val="Candara"/>
      <family val="2"/>
    </font>
    <font>
      <sz val="13"/>
      <name val="Candara"/>
      <family val="2"/>
    </font>
    <font>
      <sz val="13"/>
      <color theme="0"/>
      <name val="Candara"/>
      <family val="2"/>
    </font>
    <font>
      <sz val="11"/>
      <name val="Gandara"/>
    </font>
    <font>
      <sz val="11"/>
      <name val="Calibri"/>
      <family val="2"/>
    </font>
    <font>
      <sz val="13"/>
      <name val="Arial"/>
      <family val="2"/>
    </font>
    <font>
      <sz val="13"/>
      <name val="Calibri"/>
      <family val="2"/>
    </font>
    <font>
      <sz val="13"/>
      <name val="Gandara"/>
    </font>
    <font>
      <sz val="10"/>
      <color theme="0"/>
      <name val="Arial"/>
      <family val="2"/>
    </font>
    <font>
      <b/>
      <sz val="10"/>
      <color theme="0"/>
      <name val="Arial"/>
      <family val="2"/>
    </font>
    <font>
      <b/>
      <sz val="10"/>
      <name val="Arial"/>
      <family val="2"/>
    </font>
    <font>
      <sz val="14"/>
      <name val="Candara"/>
      <family val="2"/>
    </font>
    <font>
      <sz val="14"/>
      <name val="Arial"/>
      <family val="2"/>
    </font>
    <font>
      <sz val="14"/>
      <name val="Gandara"/>
    </font>
    <font>
      <sz val="14"/>
      <color theme="0"/>
      <name val="Candara"/>
      <family val="2"/>
    </font>
    <font>
      <sz val="14"/>
      <name val="Calibri"/>
      <family val="2"/>
      <scheme val="minor"/>
    </font>
    <font>
      <sz val="10"/>
      <color theme="1"/>
      <name val="Arial"/>
      <family val="2"/>
    </font>
    <font>
      <b/>
      <i/>
      <sz val="8"/>
      <color indexed="18"/>
      <name val="Arial"/>
      <family val="2"/>
    </font>
    <font>
      <b/>
      <sz val="10"/>
      <color indexed="18"/>
      <name val="Arial"/>
      <family val="2"/>
    </font>
    <font>
      <b/>
      <sz val="10"/>
      <color rgb="FF000000"/>
      <name val="Arial"/>
      <family val="2"/>
    </font>
    <font>
      <sz val="10"/>
      <color rgb="FF000000"/>
      <name val="Arial"/>
      <family val="2"/>
    </font>
    <font>
      <b/>
      <sz val="10"/>
      <color theme="1"/>
      <name val="Arial"/>
      <family val="2"/>
    </font>
    <font>
      <sz val="8"/>
      <name val="Candara"/>
      <family val="2"/>
    </font>
    <font>
      <sz val="9"/>
      <name val="Arial"/>
      <family val="2"/>
    </font>
    <font>
      <sz val="8"/>
      <name val="Arial"/>
      <family val="2"/>
    </font>
    <font>
      <sz val="10"/>
      <name val="Arial"/>
      <family val="2"/>
    </font>
    <font>
      <b/>
      <sz val="10"/>
      <color rgb="FF0070C0"/>
      <name val="Arial"/>
      <family val="2"/>
    </font>
    <font>
      <b/>
      <sz val="12"/>
      <name val="Arial"/>
      <family val="2"/>
    </font>
    <font>
      <b/>
      <sz val="12"/>
      <color rgb="FF0070C0"/>
      <name val="Arial"/>
      <family val="2"/>
    </font>
    <font>
      <b/>
      <sz val="13"/>
      <name val="Candara"/>
      <family val="2"/>
    </font>
    <font>
      <b/>
      <sz val="9"/>
      <color indexed="81"/>
      <name val="Arial"/>
      <family val="2"/>
    </font>
    <font>
      <sz val="9"/>
      <color indexed="81"/>
      <name val="Arial"/>
      <family val="2"/>
    </font>
    <font>
      <b/>
      <sz val="16"/>
      <color theme="3"/>
      <name val="Candara"/>
      <family val="2"/>
    </font>
    <font>
      <sz val="9"/>
      <color indexed="81"/>
      <name val="Tahoma"/>
      <family val="2"/>
    </font>
    <font>
      <b/>
      <sz val="9"/>
      <color indexed="81"/>
      <name val="Tahoma"/>
      <family val="2"/>
    </font>
  </fonts>
  <fills count="3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3" tint="-0.499984740745262"/>
        <bgColor indexed="64"/>
      </patternFill>
    </fill>
    <fill>
      <patternFill patternType="solid">
        <fgColor rgb="FF122B4A"/>
        <bgColor indexed="64"/>
      </patternFill>
    </fill>
    <fill>
      <patternFill patternType="solid">
        <fgColor rgb="FF0070C0"/>
        <bgColor indexed="64"/>
      </patternFill>
    </fill>
    <fill>
      <patternFill patternType="solid">
        <fgColor rgb="FF00B0F0"/>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FFF00"/>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theme="0"/>
      </bottom>
      <diagonal/>
    </border>
    <border>
      <left style="thin">
        <color rgb="FF003789"/>
      </left>
      <right style="thin">
        <color rgb="FF003789"/>
      </right>
      <top style="thin">
        <color rgb="FF003789"/>
      </top>
      <bottom style="thin">
        <color rgb="FF003789"/>
      </bottom>
      <diagonal/>
    </border>
    <border>
      <left style="thin">
        <color rgb="FF003789"/>
      </left>
      <right style="thin">
        <color rgb="FF003789"/>
      </right>
      <top/>
      <bottom style="thin">
        <color rgb="FF003789"/>
      </bottom>
      <diagonal/>
    </border>
    <border>
      <left/>
      <right/>
      <top style="thin">
        <color rgb="FF003789"/>
      </top>
      <bottom style="thin">
        <color rgb="FF003789"/>
      </bottom>
      <diagonal/>
    </border>
    <border>
      <left style="medium">
        <color rgb="FF003789"/>
      </left>
      <right/>
      <top style="medium">
        <color rgb="FF003789"/>
      </top>
      <bottom/>
      <diagonal/>
    </border>
    <border>
      <left/>
      <right/>
      <top style="medium">
        <color rgb="FF003789"/>
      </top>
      <bottom/>
      <diagonal/>
    </border>
    <border>
      <left/>
      <right/>
      <top style="medium">
        <color rgb="FF003789"/>
      </top>
      <bottom style="thin">
        <color rgb="FF003789"/>
      </bottom>
      <diagonal/>
    </border>
    <border>
      <left/>
      <right style="medium">
        <color rgb="FF003789"/>
      </right>
      <top style="medium">
        <color rgb="FF003789"/>
      </top>
      <bottom/>
      <diagonal/>
    </border>
    <border>
      <left style="medium">
        <color rgb="FF003789"/>
      </left>
      <right/>
      <top/>
      <bottom/>
      <diagonal/>
    </border>
    <border>
      <left/>
      <right style="medium">
        <color rgb="FF003789"/>
      </right>
      <top/>
      <bottom/>
      <diagonal/>
    </border>
    <border>
      <left style="medium">
        <color rgb="FF003789"/>
      </left>
      <right/>
      <top/>
      <bottom style="medium">
        <color rgb="FF003789"/>
      </bottom>
      <diagonal/>
    </border>
    <border>
      <left/>
      <right/>
      <top/>
      <bottom style="medium">
        <color rgb="FF003789"/>
      </bottom>
      <diagonal/>
    </border>
    <border>
      <left/>
      <right style="medium">
        <color rgb="FF003789"/>
      </right>
      <top/>
      <bottom style="medium">
        <color rgb="FF003789"/>
      </bottom>
      <diagonal/>
    </border>
    <border>
      <left/>
      <right/>
      <top style="medium">
        <color rgb="FF003789"/>
      </top>
      <bottom style="thin">
        <color theme="0"/>
      </bottom>
      <diagonal/>
    </border>
    <border>
      <left/>
      <right/>
      <top style="thin">
        <color rgb="FF003789"/>
      </top>
      <bottom style="medium">
        <color rgb="FF003789"/>
      </bottom>
      <diagonal/>
    </border>
    <border>
      <left/>
      <right/>
      <top style="thin">
        <color theme="0"/>
      </top>
      <bottom/>
      <diagonal/>
    </border>
    <border>
      <left/>
      <right/>
      <top/>
      <bottom style="thin">
        <color rgb="FF003789"/>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s>
  <cellStyleXfs count="57">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5" fillId="11" borderId="0" applyNumberFormat="0" applyBorder="0" applyAlignment="0" applyProtection="0"/>
    <xf numFmtId="0" fontId="6" fillId="2" borderId="1" applyNumberFormat="0" applyAlignment="0" applyProtection="0"/>
    <xf numFmtId="0" fontId="7" fillId="12"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10" fillId="3" borderId="1" applyNumberFormat="0" applyAlignment="0" applyProtection="0"/>
    <xf numFmtId="0" fontId="11" fillId="17" borderId="0" applyNumberFormat="0" applyBorder="0" applyAlignment="0" applyProtection="0"/>
    <xf numFmtId="165" fontId="2" fillId="0" borderId="0" applyFont="0" applyFill="0" applyBorder="0" applyAlignment="0" applyProtection="0"/>
    <xf numFmtId="0" fontId="12" fillId="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3" fillId="0" borderId="0"/>
    <xf numFmtId="0" fontId="2" fillId="4" borderId="4" applyNumberFormat="0" applyFont="0" applyAlignment="0" applyProtection="0"/>
    <xf numFmtId="0" fontId="13" fillId="2"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0" borderId="7" applyNumberFormat="0" applyFill="0" applyAlignment="0" applyProtection="0"/>
    <xf numFmtId="0" fontId="9" fillId="0" borderId="8" applyNumberFormat="0" applyFill="0" applyAlignment="0" applyProtection="0"/>
    <xf numFmtId="0" fontId="19" fillId="0" borderId="9" applyNumberFormat="0" applyFill="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50" fillId="0" borderId="0" applyFont="0" applyFill="0" applyBorder="0" applyAlignment="0" applyProtection="0"/>
  </cellStyleXfs>
  <cellXfs count="311">
    <xf numFmtId="0" fontId="0" fillId="0" borderId="0" xfId="0"/>
    <xf numFmtId="0" fontId="21" fillId="0" borderId="0" xfId="0" applyFont="1" applyProtection="1">
      <protection locked="0"/>
    </xf>
    <xf numFmtId="0" fontId="21" fillId="0" borderId="0" xfId="0" applyFont="1" applyAlignment="1" applyProtection="1">
      <alignment horizontal="justify" vertical="justify"/>
      <protection locked="0"/>
    </xf>
    <xf numFmtId="3" fontId="21" fillId="0" borderId="0" xfId="0" applyNumberFormat="1" applyFont="1" applyAlignment="1" applyProtection="1">
      <alignment horizontal="right"/>
      <protection locked="0"/>
    </xf>
    <xf numFmtId="0" fontId="26" fillId="0" borderId="0" xfId="0" applyFont="1" applyProtection="1">
      <protection locked="0"/>
    </xf>
    <xf numFmtId="0" fontId="21" fillId="0" borderId="0" xfId="0" applyFont="1" applyAlignment="1" applyProtection="1">
      <alignment vertical="center"/>
      <protection locked="0"/>
    </xf>
    <xf numFmtId="0" fontId="24" fillId="0" borderId="0" xfId="0" applyFont="1" applyProtection="1">
      <protection locked="0"/>
    </xf>
    <xf numFmtId="0" fontId="25" fillId="0" borderId="0" xfId="0" applyFont="1" applyProtection="1">
      <protection locked="0"/>
    </xf>
    <xf numFmtId="0" fontId="27" fillId="0" borderId="0" xfId="0" applyFont="1" applyProtection="1">
      <protection locked="0"/>
    </xf>
    <xf numFmtId="0" fontId="2" fillId="0" borderId="0" xfId="0" applyFont="1" applyProtection="1">
      <protection locked="0"/>
    </xf>
    <xf numFmtId="0" fontId="28" fillId="0" borderId="0" xfId="0" applyFont="1" applyProtection="1">
      <protection locked="0"/>
    </xf>
    <xf numFmtId="0" fontId="2" fillId="0" borderId="0" xfId="0" applyFont="1" applyAlignment="1" applyProtection="1">
      <alignment wrapText="1"/>
      <protection locked="0"/>
    </xf>
    <xf numFmtId="0" fontId="29" fillId="0" borderId="0" xfId="0" applyFont="1" applyAlignment="1" applyProtection="1">
      <alignment vertical="center"/>
      <protection locked="0"/>
    </xf>
    <xf numFmtId="0" fontId="30" fillId="0" borderId="0" xfId="0" applyFont="1" applyProtection="1">
      <protection locked="0"/>
    </xf>
    <xf numFmtId="0" fontId="32"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0" fontId="25" fillId="0" borderId="0" xfId="0" applyFont="1" applyAlignment="1" applyProtection="1">
      <alignment horizontal="center" vertical="center"/>
      <protection locked="0"/>
    </xf>
    <xf numFmtId="0" fontId="28" fillId="0" borderId="0" xfId="0" applyFont="1" applyAlignment="1" applyProtection="1">
      <alignment vertical="center"/>
      <protection locked="0"/>
    </xf>
    <xf numFmtId="0" fontId="0" fillId="0" borderId="0" xfId="0" applyAlignment="1">
      <alignment horizontal="center"/>
    </xf>
    <xf numFmtId="0" fontId="0" fillId="0" borderId="0" xfId="0" applyAlignment="1">
      <alignment horizontal="center" vertical="center"/>
    </xf>
    <xf numFmtId="9" fontId="21" fillId="0" borderId="0" xfId="50" applyFont="1" applyBorder="1" applyProtection="1">
      <protection locked="0"/>
    </xf>
    <xf numFmtId="0" fontId="36" fillId="0" borderId="0" xfId="0" applyFont="1" applyAlignment="1" applyProtection="1">
      <alignment wrapText="1"/>
      <protection locked="0"/>
    </xf>
    <xf numFmtId="0" fontId="37" fillId="0" borderId="0" xfId="0" applyFont="1" applyProtection="1">
      <protection locked="0"/>
    </xf>
    <xf numFmtId="0" fontId="38" fillId="0" borderId="0" xfId="0" applyFont="1" applyProtection="1">
      <protection locked="0"/>
    </xf>
    <xf numFmtId="0" fontId="39" fillId="0" borderId="0" xfId="0" applyFont="1" applyAlignment="1" applyProtection="1">
      <alignment wrapText="1"/>
      <protection locked="0"/>
    </xf>
    <xf numFmtId="0" fontId="40" fillId="0" borderId="0" xfId="0" applyFont="1" applyProtection="1">
      <protection locked="0"/>
    </xf>
    <xf numFmtId="0" fontId="2" fillId="0" borderId="0" xfId="0" applyFont="1"/>
    <xf numFmtId="0" fontId="0" fillId="22" borderId="10" xfId="0" applyFill="1" applyBorder="1"/>
    <xf numFmtId="0" fontId="0" fillId="22" borderId="0" xfId="0" applyFill="1"/>
    <xf numFmtId="0" fontId="2" fillId="22" borderId="10" xfId="0" applyFont="1" applyFill="1" applyBorder="1"/>
    <xf numFmtId="0" fontId="2" fillId="22" borderId="0" xfId="0" applyFont="1" applyFill="1"/>
    <xf numFmtId="0" fontId="33" fillId="0" borderId="0" xfId="0" applyFont="1" applyAlignment="1">
      <alignment horizontal="center" vertical="center"/>
    </xf>
    <xf numFmtId="0" fontId="0" fillId="0" borderId="0" xfId="0" applyAlignment="1">
      <alignment horizontal="left" vertical="center" indent="1"/>
    </xf>
    <xf numFmtId="0" fontId="33" fillId="0" borderId="0" xfId="0" applyFont="1" applyAlignment="1">
      <alignment horizontal="left" vertical="center" indent="1"/>
    </xf>
    <xf numFmtId="0" fontId="35"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2" fillId="0" borderId="0" xfId="0" applyFont="1" applyAlignment="1" applyProtection="1">
      <alignment horizontal="justify" vertical="justify"/>
      <protection locked="0"/>
    </xf>
    <xf numFmtId="0" fontId="45" fillId="0" borderId="0" xfId="0" applyFont="1" applyAlignment="1" applyProtection="1">
      <alignment horizontal="center" vertical="center"/>
      <protection locked="0"/>
    </xf>
    <xf numFmtId="0" fontId="44" fillId="0" borderId="0" xfId="0" applyFont="1" applyAlignment="1" applyProtection="1">
      <alignment horizontal="right" vertical="center"/>
      <protection locked="0"/>
    </xf>
    <xf numFmtId="0" fontId="45" fillId="0" borderId="0" xfId="0" applyFont="1" applyProtection="1">
      <protection locked="0"/>
    </xf>
    <xf numFmtId="9" fontId="2" fillId="0" borderId="0" xfId="50" applyFont="1" applyBorder="1" applyProtection="1">
      <protection locked="0"/>
    </xf>
    <xf numFmtId="164" fontId="20" fillId="0" borderId="19" xfId="49" applyFont="1" applyBorder="1" applyAlignment="1">
      <alignment horizontal="left" vertical="center" wrapText="1" indent="1"/>
    </xf>
    <xf numFmtId="164" fontId="20" fillId="22" borderId="19" xfId="49" applyFont="1" applyFill="1" applyBorder="1" applyAlignment="1">
      <alignment horizontal="left" vertical="center" wrapText="1" indent="1"/>
    </xf>
    <xf numFmtId="164" fontId="20" fillId="22" borderId="19" xfId="49" applyFont="1" applyFill="1" applyBorder="1" applyAlignment="1" applyProtection="1">
      <alignment horizontal="left" vertical="center" wrapText="1" indent="1"/>
      <protection locked="0"/>
    </xf>
    <xf numFmtId="0" fontId="20" fillId="22" borderId="20" xfId="0" applyFont="1" applyFill="1" applyBorder="1" applyAlignment="1">
      <alignment horizontal="left" vertical="center" wrapText="1" indent="1"/>
    </xf>
    <xf numFmtId="164" fontId="20" fillId="22" borderId="20" xfId="49" applyFont="1" applyFill="1" applyBorder="1" applyAlignment="1">
      <alignment horizontal="left" vertical="center" wrapText="1" indent="1"/>
    </xf>
    <xf numFmtId="0" fontId="20" fillId="0" borderId="20" xfId="0" applyFont="1" applyBorder="1" applyAlignment="1">
      <alignment horizontal="left" vertical="center" wrapText="1" indent="1"/>
    </xf>
    <xf numFmtId="164" fontId="20" fillId="0" borderId="20" xfId="49" applyFont="1" applyBorder="1" applyAlignment="1">
      <alignment horizontal="left" vertical="center" wrapText="1" indent="1"/>
    </xf>
    <xf numFmtId="0" fontId="2" fillId="0" borderId="0" xfId="0" applyFont="1" applyAlignment="1" applyProtection="1">
      <alignment horizontal="center"/>
      <protection locked="0"/>
    </xf>
    <xf numFmtId="0" fontId="2" fillId="0" borderId="0" xfId="0" applyFont="1" applyAlignment="1">
      <alignment horizontal="center"/>
    </xf>
    <xf numFmtId="0" fontId="20" fillId="22" borderId="19" xfId="0" applyFont="1" applyFill="1" applyBorder="1" applyAlignment="1">
      <alignment horizontal="center" vertical="center" wrapText="1"/>
    </xf>
    <xf numFmtId="0" fontId="34" fillId="25" borderId="0" xfId="0" applyFont="1" applyFill="1" applyAlignment="1">
      <alignment horizontal="center" vertical="center" wrapText="1"/>
    </xf>
    <xf numFmtId="0" fontId="46" fillId="23" borderId="29" xfId="0" applyFont="1" applyFill="1" applyBorder="1" applyAlignment="1">
      <alignment horizontal="center" vertical="center" wrapText="1"/>
    </xf>
    <xf numFmtId="0" fontId="46" fillId="19" borderId="29" xfId="0" applyFont="1" applyFill="1" applyBorder="1" applyAlignment="1">
      <alignment horizontal="center" vertical="center" wrapText="1"/>
    </xf>
    <xf numFmtId="0" fontId="46" fillId="21" borderId="29" xfId="0" applyFont="1" applyFill="1" applyBorder="1" applyAlignment="1">
      <alignment horizontal="center" vertical="center" wrapText="1"/>
    </xf>
    <xf numFmtId="0" fontId="47" fillId="22" borderId="19" xfId="0" applyFont="1" applyFill="1" applyBorder="1" applyAlignment="1" applyProtection="1">
      <alignment horizontal="left" vertical="center" wrapText="1" indent="1"/>
      <protection locked="0"/>
    </xf>
    <xf numFmtId="9" fontId="35" fillId="0" borderId="19" xfId="50" applyFont="1" applyBorder="1" applyAlignment="1">
      <alignment horizontal="center" vertical="center"/>
    </xf>
    <xf numFmtId="0" fontId="20" fillId="0" borderId="19" xfId="0" applyFont="1" applyBorder="1" applyAlignment="1">
      <alignment horizontal="center" vertical="center" wrapText="1"/>
    </xf>
    <xf numFmtId="9" fontId="20" fillId="0" borderId="19" xfId="50" applyFont="1" applyBorder="1" applyAlignment="1">
      <alignment horizontal="center" vertical="center" wrapText="1"/>
    </xf>
    <xf numFmtId="0" fontId="29" fillId="0" borderId="0" xfId="0" applyFont="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20" fillId="0" borderId="20" xfId="0" applyFont="1" applyBorder="1" applyAlignment="1">
      <alignment horizontal="center" vertical="center" wrapText="1"/>
    </xf>
    <xf numFmtId="164" fontId="20" fillId="0" borderId="20" xfId="49" applyFont="1" applyBorder="1" applyAlignment="1">
      <alignment horizontal="center" vertical="center" wrapText="1"/>
    </xf>
    <xf numFmtId="164" fontId="20" fillId="22" borderId="20" xfId="49" applyFont="1" applyFill="1" applyBorder="1" applyAlignment="1">
      <alignment horizontal="center" vertical="center" wrapText="1"/>
    </xf>
    <xf numFmtId="164" fontId="20" fillId="0" borderId="19" xfId="49" applyFont="1" applyBorder="1" applyAlignment="1">
      <alignment horizontal="center" vertical="center" wrapText="1"/>
    </xf>
    <xf numFmtId="164" fontId="20" fillId="22" borderId="19" xfId="49" applyFont="1" applyFill="1" applyBorder="1" applyAlignment="1">
      <alignment horizontal="center" vertical="center" wrapText="1"/>
    </xf>
    <xf numFmtId="0" fontId="28" fillId="0" borderId="0" xfId="0" applyFont="1" applyAlignment="1" applyProtection="1">
      <alignment horizontal="center" vertical="center"/>
      <protection locked="0"/>
    </xf>
    <xf numFmtId="0" fontId="42" fillId="0" borderId="19" xfId="0" applyFont="1" applyBorder="1" applyAlignment="1" applyProtection="1">
      <alignment horizontal="center" vertical="center" wrapText="1"/>
      <protection locked="0"/>
    </xf>
    <xf numFmtId="9" fontId="20" fillId="0" borderId="19" xfId="0" applyNumberFormat="1" applyFont="1" applyBorder="1" applyAlignment="1">
      <alignment horizontal="center" vertical="center" wrapText="1"/>
    </xf>
    <xf numFmtId="164" fontId="20" fillId="22" borderId="19" xfId="49" applyFont="1" applyFill="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0" xfId="0" applyFont="1" applyAlignment="1" applyProtection="1">
      <alignment horizontal="center" vertical="center" wrapText="1"/>
      <protection locked="0"/>
    </xf>
    <xf numFmtId="3" fontId="21" fillId="0" borderId="0" xfId="0" applyNumberFormat="1" applyFont="1" applyAlignment="1" applyProtection="1">
      <alignment horizontal="center" vertical="center"/>
      <protection locked="0"/>
    </xf>
    <xf numFmtId="9" fontId="21" fillId="0" borderId="0" xfId="50" applyFont="1" applyBorder="1" applyAlignment="1" applyProtection="1">
      <alignment horizontal="center" vertical="center"/>
      <protection locked="0"/>
    </xf>
    <xf numFmtId="0" fontId="2" fillId="0" borderId="0" xfId="0" applyFont="1" applyAlignment="1">
      <alignment horizontal="center" vertical="center"/>
    </xf>
    <xf numFmtId="9" fontId="2" fillId="0" borderId="0" xfId="5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Alignment="1" applyProtection="1">
      <alignment horizontal="center" vertical="center"/>
      <protection locked="0"/>
    </xf>
    <xf numFmtId="9" fontId="21" fillId="0" borderId="0" xfId="50" applyFont="1" applyFill="1" applyBorder="1" applyAlignment="1" applyProtection="1">
      <alignment horizontal="center" vertical="center"/>
      <protection locked="0"/>
    </xf>
    <xf numFmtId="9" fontId="21" fillId="0" borderId="0" xfId="0" applyNumberFormat="1" applyFont="1" applyProtection="1">
      <protection locked="0"/>
    </xf>
    <xf numFmtId="0" fontId="0" fillId="0" borderId="13" xfId="0" applyBorder="1"/>
    <xf numFmtId="0" fontId="0" fillId="0" borderId="16" xfId="0" applyBorder="1"/>
    <xf numFmtId="0" fontId="0" fillId="0" borderId="35" xfId="0" applyBorder="1"/>
    <xf numFmtId="9" fontId="0" fillId="0" borderId="0" xfId="50" applyFont="1"/>
    <xf numFmtId="0" fontId="0" fillId="0" borderId="0" xfId="56" applyNumberFormat="1" applyFont="1"/>
    <xf numFmtId="0" fontId="20" fillId="22" borderId="20" xfId="0" applyFont="1" applyFill="1" applyBorder="1" applyAlignment="1">
      <alignment horizontal="center" vertical="center" wrapText="1"/>
    </xf>
    <xf numFmtId="9" fontId="35" fillId="0" borderId="0" xfId="50" applyFont="1" applyBorder="1" applyAlignment="1">
      <alignment horizontal="center" vertical="center"/>
    </xf>
    <xf numFmtId="9" fontId="20" fillId="0" borderId="20" xfId="0" applyNumberFormat="1" applyFont="1" applyBorder="1" applyAlignment="1">
      <alignment horizontal="center" vertical="center" wrapText="1"/>
    </xf>
    <xf numFmtId="9" fontId="2" fillId="0" borderId="0" xfId="50" applyFont="1" applyFill="1" applyProtection="1">
      <protection locked="0"/>
    </xf>
    <xf numFmtId="9" fontId="26" fillId="0" borderId="0" xfId="50" applyFont="1" applyFill="1" applyBorder="1" applyProtection="1">
      <protection locked="0"/>
    </xf>
    <xf numFmtId="0" fontId="34" fillId="27" borderId="34" xfId="0" applyFont="1" applyFill="1" applyBorder="1" applyAlignment="1">
      <alignment vertical="center" wrapText="1"/>
    </xf>
    <xf numFmtId="0" fontId="34" fillId="27" borderId="0" xfId="0" applyFont="1" applyFill="1" applyAlignment="1">
      <alignment vertical="center" wrapText="1"/>
    </xf>
    <xf numFmtId="0" fontId="34" fillId="27" borderId="34" xfId="0" applyFont="1" applyFill="1" applyBorder="1" applyAlignment="1">
      <alignment horizontal="center" vertical="center" wrapText="1"/>
    </xf>
    <xf numFmtId="10" fontId="0" fillId="0" borderId="0" xfId="50" applyNumberFormat="1" applyFont="1"/>
    <xf numFmtId="10" fontId="0" fillId="0" borderId="13" xfId="50" applyNumberFormat="1" applyFont="1" applyBorder="1"/>
    <xf numFmtId="10" fontId="0" fillId="0" borderId="0" xfId="50" applyNumberFormat="1" applyFont="1" applyBorder="1"/>
    <xf numFmtId="10" fontId="2" fillId="0" borderId="0" xfId="0" applyNumberFormat="1" applyFont="1"/>
    <xf numFmtId="10" fontId="0" fillId="0" borderId="0" xfId="0" applyNumberFormat="1"/>
    <xf numFmtId="10" fontId="0" fillId="0" borderId="16" xfId="50" applyNumberFormat="1" applyFont="1" applyBorder="1"/>
    <xf numFmtId="10" fontId="0" fillId="0" borderId="35" xfId="50" applyNumberFormat="1" applyFont="1" applyBorder="1"/>
    <xf numFmtId="9" fontId="0" fillId="0" borderId="0" xfId="50" applyFont="1" applyAlignment="1">
      <alignment horizontal="center" vertical="center"/>
    </xf>
    <xf numFmtId="9" fontId="33" fillId="0" borderId="0" xfId="50" applyFont="1" applyFill="1" applyAlignment="1">
      <alignment horizontal="center" vertical="center"/>
    </xf>
    <xf numFmtId="0" fontId="34" fillId="26" borderId="0" xfId="0" applyFont="1" applyFill="1" applyAlignment="1">
      <alignment horizontal="center" vertical="center" wrapText="1"/>
    </xf>
    <xf numFmtId="9" fontId="48" fillId="26" borderId="21" xfId="50" applyFont="1" applyFill="1" applyBorder="1" applyAlignment="1">
      <alignment horizontal="center" vertical="center"/>
    </xf>
    <xf numFmtId="0" fontId="51" fillId="26" borderId="0" xfId="0" applyFont="1" applyFill="1" applyAlignment="1">
      <alignment horizontal="center" vertical="center" wrapText="1"/>
    </xf>
    <xf numFmtId="0" fontId="47" fillId="22" borderId="19" xfId="0" applyFont="1" applyFill="1" applyBorder="1" applyAlignment="1">
      <alignment horizontal="left" vertical="center" wrapText="1" indent="1"/>
    </xf>
    <xf numFmtId="0" fontId="0" fillId="0" borderId="0" xfId="0" applyAlignment="1">
      <alignment wrapText="1"/>
    </xf>
    <xf numFmtId="0" fontId="20" fillId="0" borderId="0" xfId="0" applyFont="1" applyAlignment="1">
      <alignment horizontal="center" vertical="center" wrapText="1"/>
    </xf>
    <xf numFmtId="0" fontId="2" fillId="0" borderId="0" xfId="0" applyFont="1" applyAlignment="1">
      <alignment wrapText="1"/>
    </xf>
    <xf numFmtId="0" fontId="0" fillId="0" borderId="0" xfId="50" applyNumberFormat="1" applyFont="1"/>
    <xf numFmtId="9" fontId="48" fillId="20" borderId="21" xfId="50" applyFont="1" applyFill="1" applyBorder="1" applyAlignment="1">
      <alignment horizontal="center" vertical="center"/>
    </xf>
    <xf numFmtId="9" fontId="48" fillId="20" borderId="21" xfId="50" applyFont="1" applyFill="1" applyBorder="1" applyAlignment="1">
      <alignment horizontal="center" vertical="center" wrapText="1"/>
    </xf>
    <xf numFmtId="9" fontId="0" fillId="20" borderId="19" xfId="50" applyFont="1" applyFill="1" applyBorder="1" applyAlignment="1">
      <alignment horizontal="center" vertical="center"/>
    </xf>
    <xf numFmtId="164" fontId="0" fillId="20" borderId="19" xfId="49" applyFont="1" applyFill="1" applyBorder="1" applyAlignment="1">
      <alignment horizontal="center" vertical="center"/>
    </xf>
    <xf numFmtId="0" fontId="44" fillId="0" borderId="0" xfId="0" applyFont="1" applyAlignment="1" applyProtection="1">
      <alignment horizontal="right"/>
      <protection locked="0"/>
    </xf>
    <xf numFmtId="0" fontId="20" fillId="22" borderId="20" xfId="50" applyNumberFormat="1" applyFont="1" applyFill="1" applyBorder="1" applyAlignment="1">
      <alignment horizontal="center" vertical="center" wrapText="1"/>
    </xf>
    <xf numFmtId="9" fontId="2" fillId="0" borderId="0" xfId="50" applyFont="1" applyBorder="1" applyAlignment="1" applyProtection="1">
      <alignment horizontal="center"/>
      <protection locked="0"/>
    </xf>
    <xf numFmtId="0" fontId="2" fillId="0" borderId="0" xfId="0" applyFont="1" applyAlignment="1">
      <alignment horizontal="right"/>
    </xf>
    <xf numFmtId="0" fontId="45" fillId="0" borderId="0" xfId="0" applyFont="1" applyAlignment="1" applyProtection="1">
      <alignment horizontal="right"/>
      <protection locked="0"/>
    </xf>
    <xf numFmtId="9" fontId="45" fillId="0" borderId="0" xfId="50" applyFont="1" applyBorder="1" applyAlignment="1" applyProtection="1">
      <alignment horizontal="right"/>
      <protection locked="0"/>
    </xf>
    <xf numFmtId="0" fontId="26" fillId="0" borderId="0" xfId="0" applyFont="1" applyAlignment="1" applyProtection="1">
      <alignment horizontal="right"/>
      <protection locked="0"/>
    </xf>
    <xf numFmtId="0" fontId="41" fillId="0" borderId="0" xfId="0" applyFont="1" applyAlignment="1">
      <alignment horizontal="right" wrapText="1"/>
    </xf>
    <xf numFmtId="0" fontId="33" fillId="0" borderId="0" xfId="0" applyFont="1" applyAlignment="1" applyProtection="1">
      <alignment horizontal="right"/>
      <protection locked="0"/>
    </xf>
    <xf numFmtId="0" fontId="30" fillId="0" borderId="0" xfId="0" applyFont="1" applyAlignment="1" applyProtection="1">
      <alignment horizontal="right"/>
      <protection locked="0"/>
    </xf>
    <xf numFmtId="0" fontId="31" fillId="0" borderId="0" xfId="0" applyFont="1" applyAlignment="1" applyProtection="1">
      <alignment horizontal="right"/>
      <protection locked="0"/>
    </xf>
    <xf numFmtId="0" fontId="32" fillId="0" borderId="0" xfId="0" applyFont="1" applyAlignment="1" applyProtection="1">
      <alignment horizontal="right"/>
      <protection locked="0"/>
    </xf>
    <xf numFmtId="0" fontId="27" fillId="0" borderId="0" xfId="0" applyFont="1" applyAlignment="1" applyProtection="1">
      <alignment horizontal="right"/>
      <protection locked="0"/>
    </xf>
    <xf numFmtId="0" fontId="0" fillId="0" borderId="0" xfId="0" applyAlignment="1">
      <alignment horizontal="left" indent="1"/>
    </xf>
    <xf numFmtId="0" fontId="0" fillId="0" borderId="36" xfId="0" applyBorder="1" applyAlignment="1">
      <alignment horizontal="left" indent="1"/>
    </xf>
    <xf numFmtId="0" fontId="0" fillId="0" borderId="37" xfId="0" applyBorder="1" applyAlignment="1">
      <alignment horizontal="left" indent="1"/>
    </xf>
    <xf numFmtId="0" fontId="0" fillId="0" borderId="38" xfId="0" applyBorder="1" applyAlignment="1">
      <alignment horizontal="left" indent="1"/>
    </xf>
    <xf numFmtId="0" fontId="35" fillId="30" borderId="39" xfId="34" applyFont="1" applyFill="1" applyBorder="1" applyAlignment="1">
      <alignment horizontal="left" indent="1"/>
    </xf>
    <xf numFmtId="0" fontId="35" fillId="30" borderId="40" xfId="34" applyFont="1" applyFill="1" applyBorder="1" applyAlignment="1">
      <alignment horizontal="left" indent="1"/>
    </xf>
    <xf numFmtId="0" fontId="2" fillId="0" borderId="39" xfId="34" applyBorder="1" applyAlignment="1">
      <alignment horizontal="left" wrapText="1" indent="1"/>
    </xf>
    <xf numFmtId="0" fontId="2" fillId="0" borderId="40" xfId="34" applyBorder="1" applyAlignment="1">
      <alignment horizontal="left" wrapText="1" indent="1"/>
    </xf>
    <xf numFmtId="0" fontId="2" fillId="30" borderId="39" xfId="34" applyFill="1" applyBorder="1" applyAlignment="1">
      <alignment horizontal="left" indent="1"/>
    </xf>
    <xf numFmtId="0" fontId="2" fillId="30" borderId="40" xfId="34" applyFill="1" applyBorder="1" applyAlignment="1">
      <alignment horizontal="left" indent="1"/>
    </xf>
    <xf numFmtId="0" fontId="2" fillId="30" borderId="40" xfId="34" applyFill="1" applyBorder="1" applyAlignment="1">
      <alignment wrapText="1"/>
    </xf>
    <xf numFmtId="0" fontId="2" fillId="30" borderId="40" xfId="34" applyFill="1" applyBorder="1" applyAlignment="1">
      <alignment vertical="center" wrapText="1"/>
    </xf>
    <xf numFmtId="9" fontId="20" fillId="30" borderId="0" xfId="50" applyFont="1" applyFill="1" applyBorder="1" applyAlignment="1" applyProtection="1">
      <alignment horizontal="left" vertical="center" indent="1"/>
    </xf>
    <xf numFmtId="0" fontId="35" fillId="30" borderId="0" xfId="34" applyFont="1" applyFill="1" applyAlignment="1">
      <alignment horizontal="left" indent="1"/>
    </xf>
    <xf numFmtId="0" fontId="2" fillId="0" borderId="0" xfId="34" applyAlignment="1">
      <alignment horizontal="left" wrapText="1" indent="1"/>
    </xf>
    <xf numFmtId="0" fontId="2" fillId="30" borderId="0" xfId="34" applyFill="1" applyAlignment="1">
      <alignment horizontal="left" indent="1"/>
    </xf>
    <xf numFmtId="0" fontId="35" fillId="30" borderId="0" xfId="34" applyFont="1" applyFill="1" applyAlignment="1">
      <alignment horizontal="left" vertical="center" indent="1"/>
    </xf>
    <xf numFmtId="0" fontId="2" fillId="0" borderId="0" xfId="0" applyFont="1" applyAlignment="1">
      <alignment horizontal="left" indent="1"/>
    </xf>
    <xf numFmtId="0" fontId="35" fillId="0" borderId="0" xfId="0" applyFont="1" applyAlignment="1">
      <alignment horizontal="left" indent="1"/>
    </xf>
    <xf numFmtId="0" fontId="20" fillId="30" borderId="0" xfId="34" applyFont="1" applyFill="1" applyAlignment="1">
      <alignment horizontal="left" vertical="center" indent="1"/>
    </xf>
    <xf numFmtId="0" fontId="0" fillId="30" borderId="0" xfId="0" applyFill="1" applyAlignment="1">
      <alignment horizontal="left" indent="1"/>
    </xf>
    <xf numFmtId="0" fontId="20" fillId="30" borderId="0" xfId="0" applyFont="1" applyFill="1" applyAlignment="1">
      <alignment horizontal="left" indent="1"/>
    </xf>
    <xf numFmtId="9" fontId="20" fillId="30" borderId="0" xfId="34" applyNumberFormat="1" applyFont="1" applyFill="1" applyAlignment="1">
      <alignment horizontal="left" vertical="center" indent="1"/>
    </xf>
    <xf numFmtId="0" fontId="20" fillId="30" borderId="0" xfId="34" applyFont="1" applyFill="1" applyAlignment="1">
      <alignment horizontal="left" indent="1"/>
    </xf>
    <xf numFmtId="0" fontId="0" fillId="0" borderId="39" xfId="0" applyBorder="1"/>
    <xf numFmtId="0" fontId="0" fillId="0" borderId="40" xfId="0" applyBorder="1"/>
    <xf numFmtId="0" fontId="0" fillId="0" borderId="41" xfId="0" applyBorder="1"/>
    <xf numFmtId="0" fontId="0" fillId="0" borderId="42" xfId="0" applyBorder="1"/>
    <xf numFmtId="0" fontId="2" fillId="0" borderId="0" xfId="0" applyFont="1" applyAlignment="1">
      <alignment horizontal="left" vertical="center" wrapText="1" indent="1"/>
    </xf>
    <xf numFmtId="0" fontId="0" fillId="0" borderId="39" xfId="0" applyBorder="1" applyAlignment="1">
      <alignment horizontal="left" indent="1"/>
    </xf>
    <xf numFmtId="0" fontId="0" fillId="0" borderId="40" xfId="0" applyBorder="1" applyAlignment="1">
      <alignment horizontal="left" indent="1"/>
    </xf>
    <xf numFmtId="0" fontId="35" fillId="0" borderId="39" xfId="0" applyFont="1" applyBorder="1" applyAlignment="1">
      <alignment horizontal="left" indent="1"/>
    </xf>
    <xf numFmtId="0" fontId="0" fillId="0" borderId="41" xfId="0" applyBorder="1" applyAlignment="1">
      <alignment horizontal="left" indent="1"/>
    </xf>
    <xf numFmtId="0" fontId="0" fillId="0" borderId="35" xfId="0" applyBorder="1" applyAlignment="1">
      <alignment horizontal="left" indent="1"/>
    </xf>
    <xf numFmtId="0" fontId="0" fillId="0" borderId="42" xfId="0" applyBorder="1" applyAlignment="1">
      <alignment horizontal="left" indent="1"/>
    </xf>
    <xf numFmtId="0" fontId="2" fillId="30" borderId="0" xfId="34" applyFill="1" applyAlignment="1">
      <alignment horizontal="left" vertical="center" wrapText="1" indent="1"/>
    </xf>
    <xf numFmtId="0" fontId="2" fillId="30" borderId="0" xfId="34" applyFill="1" applyAlignment="1">
      <alignment horizontal="left" vertical="center" indent="1"/>
    </xf>
    <xf numFmtId="0" fontId="2" fillId="30" borderId="40" xfId="34" applyFill="1" applyBorder="1" applyAlignment="1">
      <alignment horizontal="left" vertical="center" indent="1"/>
    </xf>
    <xf numFmtId="0" fontId="54" fillId="0" borderId="0" xfId="0" applyFont="1" applyAlignment="1" applyProtection="1">
      <alignment horizontal="right"/>
      <protection locked="0"/>
    </xf>
    <xf numFmtId="0" fontId="2" fillId="0" borderId="39" xfId="0" applyFont="1" applyBorder="1" applyAlignment="1">
      <alignment horizontal="left" indent="1"/>
    </xf>
    <xf numFmtId="0" fontId="2" fillId="0" borderId="0" xfId="0" applyFont="1" applyAlignment="1">
      <alignment horizontal="left" vertical="center"/>
    </xf>
    <xf numFmtId="0" fontId="0" fillId="0" borderId="0" xfId="0" applyAlignment="1">
      <alignment horizontal="left" vertical="center"/>
    </xf>
    <xf numFmtId="0" fontId="33" fillId="28" borderId="0" xfId="0" applyFont="1" applyFill="1" applyAlignment="1">
      <alignment horizontal="center" vertical="center"/>
    </xf>
    <xf numFmtId="0" fontId="33" fillId="24" borderId="0" xfId="0" applyFont="1" applyFill="1" applyAlignment="1">
      <alignment horizontal="center" vertical="center" wrapText="1"/>
    </xf>
    <xf numFmtId="0" fontId="33" fillId="28" borderId="0" xfId="0" applyFont="1" applyFill="1" applyAlignment="1">
      <alignment horizontal="center" vertical="center" wrapText="1"/>
    </xf>
    <xf numFmtId="0" fontId="33" fillId="29" borderId="0" xfId="0" applyFont="1" applyFill="1" applyAlignment="1">
      <alignment horizontal="center" vertical="center" wrapText="1"/>
    </xf>
    <xf numFmtId="0" fontId="35" fillId="18" borderId="10" xfId="0" applyFont="1" applyFill="1" applyBorder="1" applyAlignment="1" applyProtection="1">
      <alignment vertical="center"/>
      <protection locked="0"/>
    </xf>
    <xf numFmtId="0" fontId="35" fillId="18" borderId="47" xfId="0" applyFont="1" applyFill="1" applyBorder="1" applyAlignment="1" applyProtection="1">
      <alignment vertical="center"/>
      <protection locked="0"/>
    </xf>
    <xf numFmtId="0" fontId="2" fillId="0" borderId="12" xfId="0" applyFont="1" applyBorder="1"/>
    <xf numFmtId="0" fontId="44" fillId="0" borderId="12" xfId="0" applyFont="1" applyBorder="1" applyAlignment="1" applyProtection="1">
      <alignment horizontal="left"/>
      <protection locked="0"/>
    </xf>
    <xf numFmtId="0" fontId="2"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34" fillId="24" borderId="23" xfId="0" applyFont="1" applyFill="1" applyBorder="1" applyAlignment="1">
      <alignment horizontal="left" vertical="center"/>
    </xf>
    <xf numFmtId="0" fontId="34" fillId="24" borderId="18" xfId="0" applyFont="1" applyFill="1" applyBorder="1" applyAlignment="1">
      <alignment horizontal="left" vertical="center"/>
    </xf>
    <xf numFmtId="0" fontId="20" fillId="22" borderId="20" xfId="0" applyFont="1" applyFill="1" applyBorder="1" applyAlignment="1">
      <alignment horizontal="left" vertical="center" wrapText="1"/>
    </xf>
    <xf numFmtId="0" fontId="0" fillId="32" borderId="0" xfId="0" applyFill="1"/>
    <xf numFmtId="0" fontId="2" fillId="32" borderId="0" xfId="0" applyFont="1" applyFill="1"/>
    <xf numFmtId="0" fontId="0" fillId="33" borderId="0" xfId="0" applyFill="1"/>
    <xf numFmtId="0" fontId="0" fillId="34" borderId="0" xfId="0" applyFill="1"/>
    <xf numFmtId="0" fontId="2" fillId="34" borderId="0" xfId="0" applyFont="1" applyFill="1"/>
    <xf numFmtId="0" fontId="0" fillId="35" borderId="0" xfId="0" applyFill="1"/>
    <xf numFmtId="0" fontId="2" fillId="35" borderId="0" xfId="0" applyFont="1" applyFill="1"/>
    <xf numFmtId="9" fontId="20" fillId="0" borderId="19" xfId="50" applyFont="1" applyFill="1" applyBorder="1" applyAlignment="1">
      <alignment horizontal="center" vertical="center" wrapText="1"/>
    </xf>
    <xf numFmtId="0" fontId="20" fillId="0" borderId="19" xfId="50" applyNumberFormat="1" applyFont="1" applyFill="1" applyBorder="1" applyAlignment="1">
      <alignment horizontal="center" vertical="center" wrapText="1"/>
    </xf>
    <xf numFmtId="10" fontId="20" fillId="0" borderId="19" xfId="50" applyNumberFormat="1" applyFont="1" applyFill="1" applyBorder="1" applyAlignment="1">
      <alignment horizontal="center" vertical="center" wrapText="1"/>
    </xf>
    <xf numFmtId="0" fontId="20" fillId="22" borderId="19" xfId="0" applyFont="1" applyFill="1" applyBorder="1" applyAlignment="1">
      <alignment horizontal="left" vertical="center" wrapText="1" indent="1"/>
    </xf>
    <xf numFmtId="0" fontId="20" fillId="0" borderId="19" xfId="0" applyFont="1" applyBorder="1" applyAlignment="1">
      <alignment horizontal="left" vertical="center" wrapText="1" indent="1"/>
    </xf>
    <xf numFmtId="0" fontId="20" fillId="0" borderId="19" xfId="50" applyNumberFormat="1" applyFont="1" applyBorder="1" applyAlignment="1">
      <alignment horizontal="center" vertical="center" wrapText="1"/>
    </xf>
    <xf numFmtId="0" fontId="57" fillId="0" borderId="0" xfId="0" applyFont="1" applyAlignment="1" applyProtection="1">
      <alignment horizontal="left" vertical="center"/>
      <protection locked="0"/>
    </xf>
    <xf numFmtId="166" fontId="20" fillId="0" borderId="19" xfId="0" applyNumberFormat="1" applyFont="1" applyBorder="1" applyAlignment="1">
      <alignment horizontal="center" vertical="center" wrapText="1"/>
    </xf>
    <xf numFmtId="166" fontId="20" fillId="0" borderId="20" xfId="50" applyNumberFormat="1" applyFont="1" applyBorder="1" applyAlignment="1" applyProtection="1">
      <alignment horizontal="center" vertical="center"/>
      <protection locked="0"/>
    </xf>
    <xf numFmtId="166" fontId="20" fillId="0" borderId="19" xfId="50" applyNumberFormat="1" applyFont="1" applyBorder="1" applyAlignment="1">
      <alignment horizontal="center" vertical="center" wrapText="1"/>
    </xf>
    <xf numFmtId="164" fontId="20" fillId="0" borderId="19" xfId="49" applyFont="1" applyBorder="1" applyAlignment="1" applyProtection="1">
      <alignment horizontal="center" vertical="center" wrapText="1"/>
    </xf>
    <xf numFmtId="164" fontId="20" fillId="0" borderId="19" xfId="49" applyFont="1" applyFill="1" applyBorder="1" applyAlignment="1">
      <alignment horizontal="center" vertical="center" wrapText="1"/>
    </xf>
    <xf numFmtId="164" fontId="20" fillId="0" borderId="19" xfId="49" applyFont="1" applyFill="1" applyBorder="1" applyAlignment="1" applyProtection="1">
      <alignment horizontal="center" vertical="center" wrapText="1"/>
    </xf>
    <xf numFmtId="9" fontId="20" fillId="22" borderId="20" xfId="50" applyFont="1" applyFill="1" applyBorder="1" applyAlignment="1">
      <alignment horizontal="center" vertical="center" wrapText="1"/>
    </xf>
    <xf numFmtId="9" fontId="20" fillId="22" borderId="19" xfId="50" applyFont="1" applyFill="1" applyBorder="1" applyAlignment="1">
      <alignment horizontal="center" vertical="center" wrapText="1"/>
    </xf>
    <xf numFmtId="0" fontId="0" fillId="0" borderId="0" xfId="0" applyAlignment="1">
      <alignment horizontal="center" vertical="center" wrapText="1"/>
    </xf>
    <xf numFmtId="10" fontId="2" fillId="0" borderId="0" xfId="0" applyNumberFormat="1" applyFont="1" applyAlignment="1">
      <alignment horizontal="center" vertical="center"/>
    </xf>
    <xf numFmtId="166" fontId="2" fillId="0" borderId="0" xfId="0" applyNumberFormat="1" applyFont="1" applyAlignment="1">
      <alignment horizontal="left" vertical="center" wrapText="1" indent="1"/>
    </xf>
    <xf numFmtId="0" fontId="0" fillId="36" borderId="0" xfId="0" applyFill="1"/>
    <xf numFmtId="10" fontId="0" fillId="36" borderId="0" xfId="50" applyNumberFormat="1" applyFont="1" applyFill="1"/>
    <xf numFmtId="0" fontId="2" fillId="36" borderId="0" xfId="0" applyFont="1" applyFill="1"/>
    <xf numFmtId="0" fontId="0" fillId="36" borderId="0" xfId="50" applyNumberFormat="1" applyFont="1" applyFill="1"/>
    <xf numFmtId="0" fontId="2" fillId="0" borderId="35" xfId="0" applyFont="1" applyBorder="1" applyProtection="1">
      <protection locked="0"/>
    </xf>
    <xf numFmtId="0" fontId="21" fillId="0" borderId="48" xfId="0" applyFont="1" applyBorder="1" applyProtection="1">
      <protection locked="0"/>
    </xf>
    <xf numFmtId="9" fontId="0" fillId="0" borderId="0" xfId="0" applyNumberFormat="1"/>
    <xf numFmtId="166" fontId="0" fillId="0" borderId="0" xfId="50" applyNumberFormat="1" applyFont="1"/>
    <xf numFmtId="10" fontId="0" fillId="36" borderId="0" xfId="0" applyNumberFormat="1" applyFill="1"/>
    <xf numFmtId="0" fontId="2" fillId="0" borderId="10" xfId="0" applyFont="1" applyBorder="1"/>
    <xf numFmtId="10" fontId="0" fillId="0" borderId="10" xfId="0" applyNumberFormat="1" applyBorder="1"/>
    <xf numFmtId="10" fontId="0" fillId="0" borderId="10" xfId="50" applyNumberFormat="1" applyFont="1" applyBorder="1"/>
    <xf numFmtId="0" fontId="0" fillId="23" borderId="10" xfId="0" applyFill="1" applyBorder="1" applyAlignment="1">
      <alignment horizontal="center" vertical="center"/>
    </xf>
    <xf numFmtId="0" fontId="2" fillId="23" borderId="10" xfId="0" applyFont="1" applyFill="1" applyBorder="1" applyAlignment="1">
      <alignment horizontal="center" vertical="center"/>
    </xf>
    <xf numFmtId="0" fontId="2" fillId="23" borderId="10" xfId="0" applyFont="1" applyFill="1" applyBorder="1" applyAlignment="1">
      <alignment horizontal="left" vertical="center"/>
    </xf>
    <xf numFmtId="10" fontId="2" fillId="22" borderId="0" xfId="0" applyNumberFormat="1" applyFont="1" applyFill="1"/>
    <xf numFmtId="0" fontId="20" fillId="0" borderId="0" xfId="0" applyFont="1" applyAlignment="1">
      <alignment horizontal="left" vertical="center" wrapText="1" indent="1"/>
    </xf>
    <xf numFmtId="0" fontId="53" fillId="0" borderId="39" xfId="34" applyFont="1" applyBorder="1" applyAlignment="1">
      <alignment horizontal="center" wrapText="1"/>
    </xf>
    <xf numFmtId="0" fontId="53" fillId="0" borderId="0" xfId="34" applyFont="1" applyAlignment="1">
      <alignment horizontal="center" wrapText="1"/>
    </xf>
    <xf numFmtId="0" fontId="53" fillId="0" borderId="40" xfId="34" applyFont="1" applyBorder="1" applyAlignment="1">
      <alignment horizontal="center" wrapText="1"/>
    </xf>
    <xf numFmtId="0" fontId="2" fillId="0" borderId="0" xfId="0" applyFont="1" applyAlignment="1">
      <alignment horizontal="left" vertical="center" wrapText="1"/>
    </xf>
    <xf numFmtId="0" fontId="2" fillId="30" borderId="0" xfId="34" applyFill="1" applyAlignment="1">
      <alignment horizontal="left" wrapText="1" indent="1"/>
    </xf>
    <xf numFmtId="0" fontId="2" fillId="30" borderId="39" xfId="34" applyFill="1" applyBorder="1" applyAlignment="1">
      <alignment horizontal="left" vertical="top" wrapText="1" indent="1"/>
    </xf>
    <xf numFmtId="0" fontId="2" fillId="30" borderId="0" xfId="34" applyFill="1" applyAlignment="1">
      <alignment horizontal="left" vertical="top" wrapText="1" indent="1"/>
    </xf>
    <xf numFmtId="0" fontId="2" fillId="30" borderId="0" xfId="34" applyFill="1" applyAlignment="1">
      <alignment horizontal="left" vertical="center" wrapText="1" indent="1"/>
    </xf>
    <xf numFmtId="0" fontId="2" fillId="30" borderId="40" xfId="34" applyFill="1" applyBorder="1" applyAlignment="1">
      <alignment horizontal="left" wrapText="1" indent="1"/>
    </xf>
    <xf numFmtId="0" fontId="2" fillId="30" borderId="0" xfId="34" applyFill="1" applyAlignment="1">
      <alignment horizontal="left" vertical="top" wrapText="1"/>
    </xf>
    <xf numFmtId="0" fontId="52" fillId="30" borderId="39" xfId="34" applyFont="1" applyFill="1" applyBorder="1" applyAlignment="1">
      <alignment horizontal="center"/>
    </xf>
    <xf numFmtId="0" fontId="52" fillId="30" borderId="0" xfId="34" applyFont="1" applyFill="1" applyAlignment="1">
      <alignment horizontal="center"/>
    </xf>
    <xf numFmtId="0" fontId="52" fillId="30" borderId="40" xfId="34" applyFont="1" applyFill="1" applyBorder="1" applyAlignment="1">
      <alignment horizontal="center"/>
    </xf>
    <xf numFmtId="0" fontId="2" fillId="22" borderId="39" xfId="34" applyFill="1" applyBorder="1" applyAlignment="1">
      <alignment horizontal="left" vertical="center" wrapText="1" indent="1"/>
    </xf>
    <xf numFmtId="0" fontId="2" fillId="22" borderId="0" xfId="34" applyFill="1" applyAlignment="1">
      <alignment horizontal="left" vertical="center" wrapText="1" indent="1"/>
    </xf>
    <xf numFmtId="0" fontId="2" fillId="22" borderId="40" xfId="34" applyFill="1" applyBorder="1" applyAlignment="1">
      <alignment horizontal="left" vertical="center" wrapText="1" indent="1"/>
    </xf>
    <xf numFmtId="0" fontId="53" fillId="0" borderId="39" xfId="34" applyFont="1" applyBorder="1" applyAlignment="1">
      <alignment horizontal="left" wrapText="1" indent="2"/>
    </xf>
    <xf numFmtId="0" fontId="53" fillId="0" borderId="0" xfId="34" applyFont="1" applyAlignment="1">
      <alignment horizontal="left" wrapText="1" indent="2"/>
    </xf>
    <xf numFmtId="0" fontId="53" fillId="0" borderId="40" xfId="34" applyFont="1" applyBorder="1" applyAlignment="1">
      <alignment horizontal="left" wrapText="1" indent="2"/>
    </xf>
    <xf numFmtId="0" fontId="2" fillId="30" borderId="39" xfId="34" applyFill="1" applyBorder="1" applyAlignment="1">
      <alignment horizontal="left" wrapText="1" indent="1"/>
    </xf>
    <xf numFmtId="0" fontId="2" fillId="30" borderId="0" xfId="34" applyFill="1" applyAlignment="1">
      <alignment horizontal="left" vertical="center" indent="1"/>
    </xf>
    <xf numFmtId="0" fontId="2" fillId="30" borderId="40" xfId="34" applyFill="1" applyBorder="1" applyAlignment="1">
      <alignment horizontal="left" vertical="center" indent="1"/>
    </xf>
    <xf numFmtId="0" fontId="23" fillId="0" borderId="0" xfId="0" applyFont="1" applyAlignment="1" applyProtection="1">
      <alignment horizontal="center" vertical="center" wrapText="1"/>
      <protection locked="0"/>
    </xf>
    <xf numFmtId="0" fontId="52" fillId="18" borderId="14" xfId="0" applyFont="1" applyFill="1" applyBorder="1" applyAlignment="1" applyProtection="1">
      <alignment horizontal="left" vertical="center"/>
      <protection locked="0"/>
    </xf>
    <xf numFmtId="0" fontId="52" fillId="18" borderId="13" xfId="0" applyFont="1" applyFill="1" applyBorder="1" applyAlignment="1" applyProtection="1">
      <alignment horizontal="left" vertical="center"/>
      <protection locked="0"/>
    </xf>
    <xf numFmtId="0" fontId="52" fillId="18" borderId="17" xfId="0" applyFont="1" applyFill="1" applyBorder="1" applyAlignment="1" applyProtection="1">
      <alignment horizontal="left" vertical="center"/>
      <protection locked="0"/>
    </xf>
    <xf numFmtId="0" fontId="35" fillId="18" borderId="15" xfId="0" applyFont="1" applyFill="1" applyBorder="1" applyAlignment="1" applyProtection="1">
      <alignment horizontal="center" vertical="center"/>
      <protection locked="0"/>
    </xf>
    <xf numFmtId="0" fontId="35" fillId="18" borderId="16" xfId="0" applyFont="1" applyFill="1" applyBorder="1" applyAlignment="1" applyProtection="1">
      <alignment horizontal="center" vertical="center"/>
      <protection locked="0"/>
    </xf>
    <xf numFmtId="0" fontId="35" fillId="18" borderId="44" xfId="0" applyFont="1" applyFill="1" applyBorder="1" applyAlignment="1" applyProtection="1">
      <alignment horizontal="center" vertical="center"/>
      <protection locked="0"/>
    </xf>
    <xf numFmtId="0" fontId="35" fillId="18" borderId="43" xfId="0" applyFont="1" applyFill="1" applyBorder="1" applyAlignment="1" applyProtection="1">
      <alignment horizontal="center" vertical="center"/>
      <protection locked="0"/>
    </xf>
    <xf numFmtId="0" fontId="35" fillId="18" borderId="0" xfId="0" applyFont="1" applyFill="1" applyAlignment="1" applyProtection="1">
      <alignment horizontal="center" vertical="center"/>
      <protection locked="0"/>
    </xf>
    <xf numFmtId="0" fontId="35" fillId="18" borderId="45" xfId="0" applyFont="1" applyFill="1" applyBorder="1" applyAlignment="1" applyProtection="1">
      <alignment horizontal="center" vertical="center"/>
      <protection locked="0"/>
    </xf>
    <xf numFmtId="0" fontId="35" fillId="18" borderId="11" xfId="0" applyFont="1" applyFill="1" applyBorder="1" applyAlignment="1" applyProtection="1">
      <alignment horizontal="center" vertical="center"/>
      <protection locked="0"/>
    </xf>
    <xf numFmtId="0" fontId="35" fillId="18" borderId="12" xfId="0" applyFont="1" applyFill="1" applyBorder="1" applyAlignment="1" applyProtection="1">
      <alignment horizontal="center" vertical="center"/>
      <protection locked="0"/>
    </xf>
    <xf numFmtId="0" fontId="35" fillId="18" borderId="46" xfId="0" applyFont="1" applyFill="1" applyBorder="1" applyAlignment="1" applyProtection="1">
      <alignment horizontal="center" vertical="center"/>
      <protection locked="0"/>
    </xf>
    <xf numFmtId="0" fontId="34" fillId="25" borderId="0" xfId="0" applyFont="1" applyFill="1" applyAlignment="1">
      <alignment horizontal="center" vertical="center" wrapText="1"/>
    </xf>
    <xf numFmtId="0" fontId="34" fillId="25" borderId="29" xfId="0" applyFont="1" applyFill="1" applyBorder="1" applyAlignment="1">
      <alignment horizontal="center" vertical="center" wrapText="1"/>
    </xf>
    <xf numFmtId="0" fontId="35" fillId="18" borderId="14" xfId="0" applyFont="1" applyFill="1" applyBorder="1" applyAlignment="1" applyProtection="1">
      <alignment horizontal="left" vertical="center"/>
      <protection locked="0"/>
    </xf>
    <xf numFmtId="0" fontId="35" fillId="18" borderId="17" xfId="0" applyFont="1" applyFill="1" applyBorder="1" applyAlignment="1" applyProtection="1">
      <alignment horizontal="left" vertical="center"/>
      <protection locked="0"/>
    </xf>
    <xf numFmtId="0" fontId="34" fillId="24" borderId="25" xfId="0" applyFont="1" applyFill="1" applyBorder="1" applyAlignment="1">
      <alignment horizontal="center" vertical="center" wrapText="1"/>
    </xf>
    <xf numFmtId="0" fontId="34" fillId="24" borderId="27" xfId="0" applyFont="1" applyFill="1" applyBorder="1" applyAlignment="1">
      <alignment horizontal="center" vertical="center" wrapText="1"/>
    </xf>
    <xf numFmtId="0" fontId="34" fillId="24" borderId="30" xfId="0" applyFont="1" applyFill="1" applyBorder="1" applyAlignment="1">
      <alignment horizontal="center" vertical="center" wrapText="1"/>
    </xf>
    <xf numFmtId="0" fontId="34" fillId="24" borderId="23" xfId="0" applyFont="1" applyFill="1" applyBorder="1" applyAlignment="1">
      <alignment horizontal="center" vertical="center" wrapText="1"/>
    </xf>
    <xf numFmtId="0" fontId="34" fillId="24" borderId="0" xfId="0" applyFont="1" applyFill="1" applyAlignment="1">
      <alignment horizontal="center" vertical="center" wrapText="1"/>
    </xf>
    <xf numFmtId="0" fontId="34" fillId="24" borderId="29" xfId="0" applyFont="1" applyFill="1" applyBorder="1" applyAlignment="1">
      <alignment horizontal="center" vertical="center" wrapText="1"/>
    </xf>
    <xf numFmtId="0" fontId="34" fillId="24" borderId="31" xfId="0" applyFont="1" applyFill="1" applyBorder="1" applyAlignment="1">
      <alignment horizontal="center" vertical="center" wrapText="1"/>
    </xf>
    <xf numFmtId="0" fontId="34" fillId="24" borderId="0" xfId="0" applyFont="1" applyFill="1" applyAlignment="1" applyProtection="1">
      <alignment horizontal="center" vertical="center" wrapText="1"/>
      <protection locked="0"/>
    </xf>
    <xf numFmtId="0" fontId="34" fillId="24" borderId="29" xfId="0" applyFont="1" applyFill="1" applyBorder="1" applyAlignment="1" applyProtection="1">
      <alignment horizontal="center" vertical="center" wrapText="1"/>
      <protection locked="0"/>
    </xf>
    <xf numFmtId="0" fontId="34" fillId="24" borderId="23" xfId="0" applyFont="1" applyFill="1" applyBorder="1" applyAlignment="1">
      <alignment horizontal="center" vertical="center"/>
    </xf>
    <xf numFmtId="0" fontId="34" fillId="24" borderId="18" xfId="0" applyFont="1" applyFill="1" applyBorder="1" applyAlignment="1">
      <alignment horizontal="center" vertical="center"/>
    </xf>
    <xf numFmtId="0" fontId="34" fillId="24" borderId="24" xfId="0" applyFont="1" applyFill="1" applyBorder="1" applyAlignment="1">
      <alignment horizontal="center" vertical="center" wrapText="1"/>
    </xf>
    <xf numFmtId="0" fontId="34" fillId="24" borderId="21" xfId="0" applyFont="1" applyFill="1" applyBorder="1" applyAlignment="1">
      <alignment horizontal="center" vertical="center" wrapText="1"/>
    </xf>
    <xf numFmtId="0" fontId="34" fillId="24" borderId="32" xfId="0" applyFont="1" applyFill="1" applyBorder="1" applyAlignment="1">
      <alignment horizontal="center" vertical="center" wrapText="1"/>
    </xf>
    <xf numFmtId="0" fontId="41" fillId="22" borderId="12" xfId="0" applyFont="1" applyFill="1" applyBorder="1" applyAlignment="1">
      <alignment horizontal="center" wrapText="1"/>
    </xf>
    <xf numFmtId="0" fontId="44" fillId="0" borderId="0" xfId="0" applyFont="1" applyAlignment="1" applyProtection="1">
      <alignment horizontal="left"/>
      <protection locked="0"/>
    </xf>
    <xf numFmtId="0" fontId="44" fillId="20" borderId="12" xfId="0" applyFont="1" applyFill="1" applyBorder="1" applyAlignment="1" applyProtection="1">
      <alignment horizontal="center"/>
      <protection locked="0"/>
    </xf>
    <xf numFmtId="0" fontId="45" fillId="0" borderId="12" xfId="0" applyFont="1" applyBorder="1" applyAlignment="1" applyProtection="1">
      <alignment horizontal="center"/>
      <protection locked="0"/>
    </xf>
    <xf numFmtId="0" fontId="34" fillId="24" borderId="22" xfId="0" applyFont="1" applyFill="1" applyBorder="1" applyAlignment="1">
      <alignment horizontal="center" vertical="center" wrapText="1"/>
    </xf>
    <xf numFmtId="0" fontId="34" fillId="24" borderId="26" xfId="0" applyFont="1" applyFill="1" applyBorder="1" applyAlignment="1">
      <alignment horizontal="center" vertical="center" wrapText="1"/>
    </xf>
    <xf numFmtId="0" fontId="34" fillId="24" borderId="28" xfId="0" applyFont="1" applyFill="1" applyBorder="1" applyAlignment="1">
      <alignment horizontal="center" vertical="center" wrapText="1"/>
    </xf>
    <xf numFmtId="0" fontId="34" fillId="25" borderId="33" xfId="0" applyFont="1" applyFill="1" applyBorder="1" applyAlignment="1">
      <alignment horizontal="center" vertical="center" wrapText="1"/>
    </xf>
    <xf numFmtId="0" fontId="34" fillId="24" borderId="0" xfId="0" applyFont="1" applyFill="1" applyAlignment="1">
      <alignment horizontal="center" vertical="center"/>
    </xf>
    <xf numFmtId="0" fontId="34" fillId="24" borderId="29" xfId="0" applyFont="1" applyFill="1" applyBorder="1" applyAlignment="1">
      <alignment horizontal="center" vertical="center"/>
    </xf>
    <xf numFmtId="0" fontId="44" fillId="0" borderId="0" xfId="0" applyFont="1" applyAlignment="1" applyProtection="1">
      <alignment horizontal="right"/>
      <protection locked="0"/>
    </xf>
    <xf numFmtId="0" fontId="45" fillId="22" borderId="12" xfId="0" applyFont="1" applyFill="1" applyBorder="1" applyAlignment="1" applyProtection="1">
      <alignment horizontal="center"/>
      <protection locked="0"/>
    </xf>
    <xf numFmtId="0" fontId="35" fillId="0" borderId="0" xfId="0" applyFont="1" applyAlignment="1">
      <alignment horizontal="right"/>
    </xf>
    <xf numFmtId="0" fontId="52" fillId="18" borderId="10" xfId="0" applyFont="1" applyFill="1" applyBorder="1" applyAlignment="1" applyProtection="1">
      <alignment horizontal="left" vertical="center"/>
      <protection locked="0"/>
    </xf>
    <xf numFmtId="0" fontId="21" fillId="31" borderId="10" xfId="0" applyFont="1" applyFill="1" applyBorder="1" applyAlignment="1" applyProtection="1">
      <alignment horizontal="center" vertical="center"/>
      <protection locked="0"/>
    </xf>
    <xf numFmtId="0" fontId="34" fillId="26" borderId="0" xfId="0" applyFont="1" applyFill="1" applyAlignment="1">
      <alignment horizontal="center" vertical="center" wrapText="1"/>
    </xf>
    <xf numFmtId="0" fontId="34" fillId="25" borderId="34" xfId="0" applyFont="1" applyFill="1" applyBorder="1" applyAlignment="1">
      <alignment horizontal="center" vertical="center" wrapText="1"/>
    </xf>
    <xf numFmtId="0" fontId="0" fillId="0" borderId="0" xfId="0" applyAlignment="1">
      <alignment horizontal="center" vertical="center" wrapText="1"/>
    </xf>
    <xf numFmtId="0" fontId="35" fillId="18" borderId="14" xfId="0" applyFont="1" applyFill="1" applyBorder="1" applyAlignment="1" applyProtection="1">
      <alignment horizontal="left" vertical="center" indent="1"/>
      <protection locked="0"/>
    </xf>
    <xf numFmtId="0" fontId="35" fillId="18" borderId="17" xfId="0" applyFont="1" applyFill="1" applyBorder="1" applyAlignment="1" applyProtection="1">
      <alignment horizontal="left" vertical="center" indent="1"/>
      <protection locked="0"/>
    </xf>
    <xf numFmtId="0" fontId="34" fillId="25" borderId="0" xfId="0" applyFont="1" applyFill="1" applyAlignment="1" applyProtection="1">
      <alignment horizontal="center" vertical="center" wrapText="1"/>
      <protection locked="0"/>
    </xf>
    <xf numFmtId="0" fontId="52" fillId="18" borderId="14" xfId="0" applyFont="1" applyFill="1" applyBorder="1" applyAlignment="1" applyProtection="1">
      <alignment horizontal="center" vertical="center"/>
      <protection locked="0"/>
    </xf>
    <xf numFmtId="0" fontId="52" fillId="18" borderId="13" xfId="0" applyFont="1" applyFill="1" applyBorder="1" applyAlignment="1" applyProtection="1">
      <alignment horizontal="center" vertical="center"/>
      <protection locked="0"/>
    </xf>
    <xf numFmtId="0" fontId="52" fillId="18" borderId="17" xfId="0" applyFont="1" applyFill="1" applyBorder="1" applyAlignment="1" applyProtection="1">
      <alignment horizontal="center" vertical="center"/>
      <protection locked="0"/>
    </xf>
    <xf numFmtId="0" fontId="2" fillId="22" borderId="10" xfId="0" applyFont="1" applyFill="1" applyBorder="1" applyAlignment="1">
      <alignment horizontal="center"/>
    </xf>
    <xf numFmtId="9" fontId="20" fillId="0" borderId="20" xfId="50" applyFont="1" applyFill="1" applyBorder="1" applyAlignment="1">
      <alignment horizontal="center" vertical="center" wrapText="1"/>
    </xf>
    <xf numFmtId="3" fontId="20" fillId="0" borderId="20" xfId="50" applyNumberFormat="1" applyFont="1" applyFill="1" applyBorder="1" applyAlignment="1">
      <alignment horizontal="center" vertical="center" wrapText="1"/>
    </xf>
  </cellXfs>
  <cellStyles count="57">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5"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56" builtinId="3"/>
    <cellStyle name="Millares 3" xfId="32" xr:uid="{00000000-0005-0000-0000-000020000000}"/>
    <cellStyle name="Moneda [0]" xfId="49" builtinId="7"/>
    <cellStyle name="Moneda [0] 2" xfId="52" xr:uid="{00000000-0005-0000-0000-000022000000}"/>
    <cellStyle name="Neutral" xfId="33" builtinId="28" customBuiltin="1"/>
    <cellStyle name="Normal" xfId="0" builtinId="0"/>
    <cellStyle name="Normal 2" xfId="34" xr:uid="{00000000-0005-0000-0000-000025000000}"/>
    <cellStyle name="Normal 3" xfId="35" xr:uid="{00000000-0005-0000-0000-000026000000}"/>
    <cellStyle name="Normal 4" xfId="36" xr:uid="{00000000-0005-0000-0000-000027000000}"/>
    <cellStyle name="Normal 5" xfId="37" xr:uid="{00000000-0005-0000-0000-000028000000}"/>
    <cellStyle name="Normal 6" xfId="38" xr:uid="{00000000-0005-0000-0000-000029000000}"/>
    <cellStyle name="Normal 7" xfId="39" xr:uid="{00000000-0005-0000-0000-00002A000000}"/>
    <cellStyle name="Normal 8" xfId="53" xr:uid="{00000000-0005-0000-0000-00002B000000}"/>
    <cellStyle name="Normal 9" xfId="54" xr:uid="{00000000-0005-0000-0000-00002C000000}"/>
    <cellStyle name="Notas" xfId="40" builtinId="10" customBuiltin="1"/>
    <cellStyle name="Porcentaje" xfId="50" builtinId="5"/>
    <cellStyle name="Porcentaje 2" xfId="51" xr:uid="{00000000-0005-0000-0000-00002F000000}"/>
    <cellStyle name="Porcentaje 3" xfId="55" xr:uid="{00000000-0005-0000-0000-000030000000}"/>
    <cellStyle name="Salida" xfId="41" builtinId="21" customBuiltin="1"/>
    <cellStyle name="Texto de advertencia" xfId="42" builtinId="11" customBuiltin="1"/>
    <cellStyle name="Texto explicativo" xfId="43" builtinId="53" customBuiltin="1"/>
    <cellStyle name="Título" xfId="44" builtinId="15" customBuiltin="1"/>
    <cellStyle name="Título 2" xfId="46" builtinId="17" customBuiltin="1"/>
    <cellStyle name="Título 3" xfId="47" builtinId="18" customBuiltin="1"/>
    <cellStyle name="Total" xfId="48" builtinId="25" customBuiltin="1"/>
  </cellStyles>
  <dxfs count="131">
    <dxf>
      <fill>
        <patternFill>
          <bgColor theme="5" tint="0.59996337778862885"/>
        </patternFill>
      </fill>
      <border>
        <bottom style="thin">
          <color rgb="FFFF0000"/>
        </bottom>
        <vertical/>
        <horizontal/>
      </border>
    </dxf>
    <dxf>
      <fill>
        <patternFill>
          <bgColor theme="9" tint="0.39994506668294322"/>
        </patternFill>
      </fill>
      <border>
        <bottom style="thin">
          <color theme="9" tint="-0.499984740745262"/>
        </bottom>
        <vertical/>
        <horizontal/>
      </border>
    </dxf>
    <dxf>
      <fill>
        <patternFill>
          <bgColor rgb="FFFFFF99"/>
        </patternFill>
      </fill>
      <border>
        <bottom style="thin">
          <color rgb="FFFFC000"/>
        </bottom>
        <vertical/>
        <horizontal/>
      </border>
    </dxf>
    <dxf>
      <fill>
        <patternFill>
          <bgColor rgb="FFDBEF75"/>
        </patternFill>
      </fill>
    </dxf>
    <dxf>
      <fill>
        <patternFill>
          <bgColor rgb="FF53FFA1"/>
        </patternFill>
      </fill>
    </dxf>
    <dxf>
      <fill>
        <patternFill>
          <bgColor theme="5" tint="0.59996337778862885"/>
        </patternFill>
      </fill>
      <border>
        <bottom style="thin">
          <color rgb="FFFF0000"/>
        </bottom>
        <vertical/>
        <horizontal/>
      </border>
    </dxf>
    <dxf>
      <fill>
        <patternFill>
          <bgColor theme="9" tint="0.39994506668294322"/>
        </patternFill>
      </fill>
      <border>
        <bottom style="thin">
          <color theme="9" tint="-0.499984740745262"/>
        </bottom>
        <vertical/>
        <horizontal/>
      </border>
    </dxf>
    <dxf>
      <fill>
        <patternFill>
          <bgColor rgb="FFFFFF99"/>
        </patternFill>
      </fill>
      <border>
        <bottom style="thin">
          <color rgb="FFFFC000"/>
        </bottom>
        <vertical/>
        <horizontal/>
      </border>
    </dxf>
    <dxf>
      <fill>
        <patternFill>
          <bgColor rgb="FFDBEF75"/>
        </patternFill>
      </fill>
    </dxf>
    <dxf>
      <fill>
        <patternFill>
          <bgColor rgb="FF53FFA1"/>
        </patternFill>
      </fill>
    </dxf>
    <dxf>
      <numFmt numFmtId="0" formatCode="General"/>
    </dxf>
    <dxf>
      <numFmt numFmtId="0" formatCode="General"/>
    </dxf>
    <dxf>
      <font>
        <b val="0"/>
        <i val="0"/>
        <strike val="0"/>
        <condense val="0"/>
        <extend val="0"/>
        <outline val="0"/>
        <shadow val="0"/>
        <u val="none"/>
        <vertAlign val="baseline"/>
        <sz val="10"/>
        <color auto="1"/>
        <name val="Arial"/>
        <family val="2"/>
        <scheme val="none"/>
      </font>
      <numFmt numFmtId="14" formatCode="0.00%"/>
    </dxf>
    <dxf>
      <numFmt numFmtId="14" formatCode="0.0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general" vertical="bottom" textRotation="0" wrapText="0" indent="0" justifyLastLine="0" shrinkToFit="0" readingOrder="0"/>
    </dxf>
    <dxf>
      <numFmt numFmtId="0" formatCode="General"/>
    </dxf>
    <dxf>
      <numFmt numFmtId="14" formatCode="0.00%"/>
    </dxf>
    <dxf>
      <numFmt numFmtId="14" formatCode="0.00%"/>
    </dxf>
    <dxf>
      <numFmt numFmtId="0" formatCode="General"/>
    </dxf>
    <dxf>
      <numFmt numFmtId="0" formatCode="General"/>
    </dxf>
    <dxf>
      <numFmt numFmtId="0" formatCode="General"/>
    </dxf>
    <dxf>
      <numFmt numFmtId="0" formatCode="General"/>
    </dxf>
    <dxf>
      <numFmt numFmtId="14" formatCode="0.00%"/>
    </dxf>
    <dxf>
      <numFmt numFmtId="14" formatCode="0.00%"/>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numFmt numFmtId="14" formatCode="0.00%"/>
    </dxf>
    <dxf>
      <font>
        <b val="0"/>
        <i val="0"/>
        <strike val="0"/>
        <condense val="0"/>
        <extend val="0"/>
        <outline val="0"/>
        <shadow val="0"/>
        <u val="none"/>
        <vertAlign val="baseline"/>
        <sz val="10"/>
        <color auto="1"/>
        <name val="Arial"/>
        <scheme val="none"/>
      </font>
      <numFmt numFmtId="14" formatCode="0.00%"/>
    </dxf>
    <dxf>
      <font>
        <b val="0"/>
        <i val="0"/>
        <strike val="0"/>
        <condense val="0"/>
        <extend val="0"/>
        <outline val="0"/>
        <shadow val="0"/>
        <u val="none"/>
        <vertAlign val="baseline"/>
        <sz val="10"/>
        <color auto="1"/>
        <name val="Arial"/>
        <scheme val="none"/>
      </font>
      <numFmt numFmtId="14" formatCode="0.00%"/>
    </dxf>
    <dxf>
      <numFmt numFmtId="0" formatCode="General"/>
    </dxf>
    <dxf>
      <font>
        <b val="0"/>
        <i val="0"/>
        <strike val="0"/>
        <condense val="0"/>
        <extend val="0"/>
        <outline val="0"/>
        <shadow val="0"/>
        <u val="none"/>
        <vertAlign val="baseline"/>
        <sz val="10"/>
        <color auto="1"/>
        <name val="Arial"/>
        <family val="2"/>
        <scheme val="none"/>
      </font>
    </dxf>
    <dxf>
      <alignment vertical="center"/>
    </dxf>
    <dxf>
      <alignment vertical="center"/>
    </dxf>
    <dxf>
      <alignment vertical="center"/>
    </dxf>
    <dxf>
      <alignment horizontal="center"/>
    </dxf>
    <dxf>
      <alignment horizontal="center"/>
    </dxf>
    <dxf>
      <alignment horizontal="center"/>
    </dxf>
    <dxf>
      <font>
        <sz val="10"/>
      </font>
    </dxf>
    <dxf>
      <font>
        <sz val="10"/>
      </font>
    </dxf>
    <dxf>
      <font>
        <sz val="10"/>
      </font>
    </dxf>
    <dxf>
      <font>
        <name val="Arial"/>
        <family val="2"/>
      </font>
    </dxf>
    <dxf>
      <font>
        <name val="Arial"/>
        <family val="2"/>
      </font>
    </dxf>
    <dxf>
      <font>
        <name val="Arial"/>
        <family val="2"/>
      </font>
    </dxf>
    <dxf>
      <alignment horizontal="center"/>
    </dxf>
    <dxf>
      <alignment horizontal="center"/>
    </dxf>
    <dxf>
      <alignment wrapText="1" indent="0"/>
    </dxf>
    <dxf>
      <numFmt numFmtId="14" formatCode="0.00%"/>
    </dxf>
    <dxf>
      <font>
        <color theme="0"/>
      </font>
      <fill>
        <patternFill patternType="solid">
          <fgColor indexed="64"/>
          <bgColor theme="4" tint="-0.499984740745262"/>
        </patternFill>
      </fill>
      <alignment horizontal="general" vertical="bottom" textRotation="0" wrapText="0" indent="0" justifyLastLine="0" shrinkToFit="0" readingOrder="0"/>
    </dxf>
    <dxf>
      <font>
        <color theme="0"/>
      </font>
    </dxf>
    <dxf>
      <alignment vertical="center"/>
    </dxf>
    <dxf>
      <alignment vertical="center"/>
    </dxf>
    <dxf>
      <alignment horizontal="center"/>
    </dxf>
    <dxf>
      <alignment horizontal="center"/>
    </dxf>
    <dxf>
      <font>
        <color theme="0"/>
      </font>
    </dxf>
    <dxf>
      <font>
        <color theme="0"/>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numFmt numFmtId="166" formatCode="0.0%"/>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ill>
        <patternFill>
          <fgColor indexed="64"/>
          <bgColor theme="4" tint="-0.499984740745262"/>
        </patternFill>
      </fill>
    </dxf>
    <dxf>
      <font>
        <sz val="10"/>
      </font>
    </dxf>
    <dxf>
      <font>
        <sz val="10"/>
      </font>
    </dxf>
    <dxf>
      <font>
        <sz val="10"/>
      </font>
    </dxf>
    <dxf>
      <font>
        <sz val="10"/>
      </font>
    </dxf>
    <dxf>
      <font>
        <sz val="10"/>
      </font>
    </dxf>
    <dxf>
      <font>
        <sz val="10"/>
      </font>
    </dxf>
    <dxf>
      <font>
        <sz val="10"/>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color theme="0"/>
      </font>
    </dxf>
    <dxf>
      <font>
        <color theme="0"/>
        <family val="2"/>
      </font>
      <fill>
        <patternFill patternType="solid">
          <fgColor indexed="64"/>
          <bgColor theme="4" tint="-0.249977111117893"/>
        </patternFill>
      </fill>
    </dxf>
    <dxf>
      <fill>
        <patternFill patternType="solid">
          <bgColor theme="3" tint="-0.499984740745262"/>
        </patternFill>
      </fill>
    </dxf>
    <dxf>
      <fill>
        <patternFill>
          <bgColor theme="3" tint="-0.499984740745262"/>
        </patternFill>
      </fill>
    </dxf>
    <dxf>
      <numFmt numFmtId="14" formatCode="0.00%"/>
    </dxf>
    <dxf>
      <numFmt numFmtId="14" formatCode="0.00%"/>
    </dxf>
    <dxf>
      <fill>
        <patternFill>
          <bgColor theme="4" tint="-0.249977111117893"/>
        </patternFill>
      </fill>
    </dxf>
    <dxf>
      <fill>
        <patternFill>
          <bgColor theme="4" tint="-0.249977111117893"/>
        </patternFill>
      </fill>
    </dxf>
    <dxf>
      <alignment indent="1"/>
    </dxf>
    <dxf>
      <alignment indent="1"/>
    </dxf>
    <dxf>
      <alignment indent="1"/>
    </dxf>
    <dxf>
      <alignment vertical="center"/>
    </dxf>
    <dxf>
      <alignment vertical="center"/>
    </dxf>
    <dxf>
      <alignment vertical="center"/>
    </dxf>
    <dxf>
      <alignment horizontal="left"/>
    </dxf>
    <dxf>
      <alignment horizontal="left"/>
    </dxf>
    <dxf>
      <alignment horizontal="left"/>
    </dxf>
    <dxf>
      <font>
        <color theme="0"/>
      </font>
    </dxf>
    <dxf>
      <font>
        <color theme="0"/>
      </font>
    </dxf>
    <dxf>
      <fill>
        <patternFill patternType="solid">
          <bgColor theme="4" tint="-0.499984740745262"/>
        </patternFill>
      </fill>
    </dxf>
    <dxf>
      <fill>
        <patternFill patternType="solid">
          <bgColor theme="4" tint="-0.499984740745262"/>
        </patternFill>
      </fill>
    </dxf>
    <dxf>
      <font>
        <color theme="0"/>
      </font>
    </dxf>
    <dxf>
      <font>
        <color theme="0"/>
      </font>
    </dxf>
    <dxf>
      <font>
        <color theme="0"/>
      </font>
    </dxf>
    <dxf>
      <font>
        <color theme="0"/>
      </font>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numFmt numFmtId="14" formatCode="0.0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s>
  <tableStyles count="0" defaultTableStyle="TableStyleMedium9" defaultPivotStyle="PivotStyleLight16"/>
  <colors>
    <mruColors>
      <color rgb="FFFFFF99"/>
      <color rgb="FF33CCCC"/>
      <color rgb="FFCCFFCC"/>
      <color rgb="FF122B4A"/>
      <color rgb="FF003789"/>
      <color rgb="FF00E266"/>
      <color rgb="FF53FFA1"/>
      <color rgb="FFDBEF75"/>
      <color rgb="FFC3ED77"/>
      <color rgb="FFA8E5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onnections" Target="connection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166564</xdr:colOff>
      <xdr:row>220</xdr:row>
      <xdr:rowOff>10583</xdr:rowOff>
    </xdr:from>
    <xdr:to>
      <xdr:col>11</xdr:col>
      <xdr:colOff>62917</xdr:colOff>
      <xdr:row>243</xdr:row>
      <xdr:rowOff>74085</xdr:rowOff>
    </xdr:to>
    <xdr:pic>
      <xdr:nvPicPr>
        <xdr:cNvPr id="2" name="Imagen 1">
          <a:extLst>
            <a:ext uri="{FF2B5EF4-FFF2-40B4-BE49-F238E27FC236}">
              <a16:creationId xmlns:a16="http://schemas.microsoft.com/office/drawing/2014/main" id="{A6B6F655-A53E-4E8C-BDB7-DA19103ABD21}"/>
            </a:ext>
          </a:extLst>
        </xdr:cNvPr>
        <xdr:cNvPicPr>
          <a:picLocks noChangeAspect="1"/>
        </xdr:cNvPicPr>
      </xdr:nvPicPr>
      <xdr:blipFill rotWithShape="1">
        <a:blip xmlns:r="http://schemas.openxmlformats.org/officeDocument/2006/relationships" r:embed="rId1"/>
        <a:srcRect t="9154" r="498" b="9654"/>
        <a:stretch/>
      </xdr:blipFill>
      <xdr:spPr>
        <a:xfrm>
          <a:off x="166564" y="49276000"/>
          <a:ext cx="7780936" cy="3714752"/>
        </a:xfrm>
        <a:prstGeom prst="rect">
          <a:avLst/>
        </a:prstGeom>
      </xdr:spPr>
    </xdr:pic>
    <xdr:clientData/>
  </xdr:twoCellAnchor>
  <xdr:twoCellAnchor>
    <xdr:from>
      <xdr:col>5</xdr:col>
      <xdr:colOff>444500</xdr:colOff>
      <xdr:row>221</xdr:row>
      <xdr:rowOff>127000</xdr:rowOff>
    </xdr:from>
    <xdr:to>
      <xdr:col>8</xdr:col>
      <xdr:colOff>190500</xdr:colOff>
      <xdr:row>235</xdr:row>
      <xdr:rowOff>10583</xdr:rowOff>
    </xdr:to>
    <xdr:cxnSp macro="">
      <xdr:nvCxnSpPr>
        <xdr:cNvPr id="5" name="Conector recto de flecha 4">
          <a:extLst>
            <a:ext uri="{FF2B5EF4-FFF2-40B4-BE49-F238E27FC236}">
              <a16:creationId xmlns:a16="http://schemas.microsoft.com/office/drawing/2014/main" id="{92BA3B1D-D9DF-4CD5-A885-07E9834FB522}"/>
            </a:ext>
          </a:extLst>
        </xdr:cNvPr>
        <xdr:cNvCxnSpPr/>
      </xdr:nvCxnSpPr>
      <xdr:spPr>
        <a:xfrm flipV="1">
          <a:off x="3503083" y="49551167"/>
          <a:ext cx="2159000" cy="2106083"/>
        </a:xfrm>
        <a:prstGeom prst="straightConnector1">
          <a:avLst/>
        </a:prstGeom>
        <a:ln>
          <a:headEnd type="none" w="med" len="med"/>
          <a:tailEnd type="arrow" w="med" len="med"/>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0</xdr:col>
      <xdr:colOff>105833</xdr:colOff>
      <xdr:row>248</xdr:row>
      <xdr:rowOff>136072</xdr:rowOff>
    </xdr:from>
    <xdr:to>
      <xdr:col>4</xdr:col>
      <xdr:colOff>649381</xdr:colOff>
      <xdr:row>264</xdr:row>
      <xdr:rowOff>87561</xdr:rowOff>
    </xdr:to>
    <xdr:pic>
      <xdr:nvPicPr>
        <xdr:cNvPr id="6" name="Imagen 5">
          <a:extLst>
            <a:ext uri="{FF2B5EF4-FFF2-40B4-BE49-F238E27FC236}">
              <a16:creationId xmlns:a16="http://schemas.microsoft.com/office/drawing/2014/main" id="{920D0A04-5178-4A66-9D22-D1A1DF7A0BC6}"/>
            </a:ext>
          </a:extLst>
        </xdr:cNvPr>
        <xdr:cNvPicPr>
          <a:picLocks noChangeAspect="1"/>
        </xdr:cNvPicPr>
      </xdr:nvPicPr>
      <xdr:blipFill>
        <a:blip xmlns:r="http://schemas.openxmlformats.org/officeDocument/2006/relationships" r:embed="rId2"/>
        <a:stretch>
          <a:fillRect/>
        </a:stretch>
      </xdr:blipFill>
      <xdr:spPr>
        <a:xfrm>
          <a:off x="105833" y="53846489"/>
          <a:ext cx="2797798" cy="2491489"/>
        </a:xfrm>
        <a:prstGeom prst="rect">
          <a:avLst/>
        </a:prstGeom>
      </xdr:spPr>
    </xdr:pic>
    <xdr:clientData/>
  </xdr:twoCellAnchor>
  <xdr:twoCellAnchor>
    <xdr:from>
      <xdr:col>1</xdr:col>
      <xdr:colOff>0</xdr:colOff>
      <xdr:row>256</xdr:row>
      <xdr:rowOff>74221</xdr:rowOff>
    </xdr:from>
    <xdr:to>
      <xdr:col>3</xdr:col>
      <xdr:colOff>173181</xdr:colOff>
      <xdr:row>258</xdr:row>
      <xdr:rowOff>37110</xdr:rowOff>
    </xdr:to>
    <xdr:sp macro="" textlink="">
      <xdr:nvSpPr>
        <xdr:cNvPr id="7" name="Rectángulo 6">
          <a:extLst>
            <a:ext uri="{FF2B5EF4-FFF2-40B4-BE49-F238E27FC236}">
              <a16:creationId xmlns:a16="http://schemas.microsoft.com/office/drawing/2014/main" id="{23C8AFFD-5BD5-4808-8205-74922207854E}"/>
            </a:ext>
          </a:extLst>
        </xdr:cNvPr>
        <xdr:cNvSpPr/>
      </xdr:nvSpPr>
      <xdr:spPr>
        <a:xfrm>
          <a:off x="321623" y="54688344"/>
          <a:ext cx="1237013" cy="28451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2</xdr:row>
      <xdr:rowOff>228600</xdr:rowOff>
    </xdr:to>
    <xdr:pic>
      <xdr:nvPicPr>
        <xdr:cNvPr id="2" name="Picture 1" descr="logoUA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717870"/>
            </a:clrFrom>
            <a:clrTo>
              <a:srgbClr val="717870">
                <a:alpha val="0"/>
              </a:srgbClr>
            </a:clrTo>
          </a:clrChange>
          <a:extLst>
            <a:ext uri="{28A0092B-C50C-407E-A947-70E740481C1C}">
              <a14:useLocalDpi xmlns:a14="http://schemas.microsoft.com/office/drawing/2010/main" val="0"/>
            </a:ext>
          </a:extLst>
        </a:blip>
        <a:srcRect/>
        <a:stretch>
          <a:fillRect/>
        </a:stretch>
      </xdr:blipFill>
      <xdr:spPr bwMode="auto">
        <a:xfrm>
          <a:off x="0" y="0"/>
          <a:ext cx="0" cy="638175"/>
        </a:xfrm>
        <a:prstGeom prst="rect">
          <a:avLst/>
        </a:prstGeom>
        <a:noFill/>
        <a:ln>
          <a:noFill/>
        </a:ln>
        <a:effectLst>
          <a:outerShdw dist="28398" dir="3806097" algn="ctr" rotWithShape="0">
            <a:srgbClr val="B2B2B2"/>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9071</xdr:colOff>
      <xdr:row>0</xdr:row>
      <xdr:rowOff>127000</xdr:rowOff>
    </xdr:from>
    <xdr:to>
      <xdr:col>2</xdr:col>
      <xdr:colOff>572055</xdr:colOff>
      <xdr:row>3</xdr:row>
      <xdr:rowOff>22173</xdr:rowOff>
    </xdr:to>
    <xdr:pic>
      <xdr:nvPicPr>
        <xdr:cNvPr id="3" name="6 Imagen">
          <a:extLst>
            <a:ext uri="{FF2B5EF4-FFF2-40B4-BE49-F238E27FC236}">
              <a16:creationId xmlns:a16="http://schemas.microsoft.com/office/drawing/2014/main" id="{3BE4C615-BA79-4659-ACA6-A66D2A23BF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71" y="127000"/>
          <a:ext cx="1987198" cy="611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2</xdr:row>
      <xdr:rowOff>228600</xdr:rowOff>
    </xdr:to>
    <xdr:pic>
      <xdr:nvPicPr>
        <xdr:cNvPr id="2" name="Picture 1" descr="logoUAe">
          <a:extLst>
            <a:ext uri="{FF2B5EF4-FFF2-40B4-BE49-F238E27FC236}">
              <a16:creationId xmlns:a16="http://schemas.microsoft.com/office/drawing/2014/main" id="{8D8573E5-381E-445B-945C-96DE0C0BFF7A}"/>
            </a:ext>
          </a:extLst>
        </xdr:cNvPr>
        <xdr:cNvPicPr>
          <a:picLocks noChangeAspect="1" noChangeArrowheads="1"/>
        </xdr:cNvPicPr>
      </xdr:nvPicPr>
      <xdr:blipFill>
        <a:blip xmlns:r="http://schemas.openxmlformats.org/officeDocument/2006/relationships" r:embed="rId1">
          <a:clrChange>
            <a:clrFrom>
              <a:srgbClr val="717870"/>
            </a:clrFrom>
            <a:clrTo>
              <a:srgbClr val="717870">
                <a:alpha val="0"/>
              </a:srgbClr>
            </a:clrTo>
          </a:clrChange>
          <a:extLst>
            <a:ext uri="{28A0092B-C50C-407E-A947-70E740481C1C}">
              <a14:useLocalDpi xmlns:a14="http://schemas.microsoft.com/office/drawing/2010/main" val="0"/>
            </a:ext>
          </a:extLst>
        </a:blip>
        <a:srcRect/>
        <a:stretch>
          <a:fillRect/>
        </a:stretch>
      </xdr:blipFill>
      <xdr:spPr bwMode="auto">
        <a:xfrm>
          <a:off x="0" y="0"/>
          <a:ext cx="0" cy="638175"/>
        </a:xfrm>
        <a:prstGeom prst="rect">
          <a:avLst/>
        </a:prstGeom>
        <a:noFill/>
        <a:ln>
          <a:noFill/>
        </a:ln>
        <a:effectLst>
          <a:outerShdw dist="28398" dir="3806097" algn="ctr" rotWithShape="0">
            <a:srgbClr val="B2B2B2"/>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309886</xdr:colOff>
      <xdr:row>0</xdr:row>
      <xdr:rowOff>92172</xdr:rowOff>
    </xdr:from>
    <xdr:to>
      <xdr:col>2</xdr:col>
      <xdr:colOff>836083</xdr:colOff>
      <xdr:row>2</xdr:row>
      <xdr:rowOff>232326</xdr:rowOff>
    </xdr:to>
    <xdr:pic>
      <xdr:nvPicPr>
        <xdr:cNvPr id="3" name="6 Imagen">
          <a:extLst>
            <a:ext uri="{FF2B5EF4-FFF2-40B4-BE49-F238E27FC236}">
              <a16:creationId xmlns:a16="http://schemas.microsoft.com/office/drawing/2014/main" id="{09D7DABA-C2D4-49E0-AA17-D89E50DED5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886" y="92172"/>
          <a:ext cx="2198364" cy="734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107156</xdr:colOff>
      <xdr:row>0</xdr:row>
      <xdr:rowOff>31750</xdr:rowOff>
    </xdr:from>
    <xdr:to>
      <xdr:col>1</xdr:col>
      <xdr:colOff>1070021</xdr:colOff>
      <xdr:row>2</xdr:row>
      <xdr:rowOff>157096</xdr:rowOff>
    </xdr:to>
    <xdr:pic>
      <xdr:nvPicPr>
        <xdr:cNvPr id="2" name="6 Imagen">
          <a:extLst>
            <a:ext uri="{FF2B5EF4-FFF2-40B4-BE49-F238E27FC236}">
              <a16:creationId xmlns:a16="http://schemas.microsoft.com/office/drawing/2014/main" id="{633F4484-8972-475F-A043-A97D1136C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31750"/>
          <a:ext cx="1755511" cy="59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OR-DE-143%20consolidado%20FORMULACIO&#769;N,%20SEGUIMIENTO%20Y%20EVALUACIO&#769;N%20DE%20PLAN%20DE%20DESARROLLO%20INSTITUCIONAL%20Y%20PLANES%20INDICATIVOS.xlsx?081D5A21" TargetMode="External"/><Relationship Id="rId1" Type="http://schemas.openxmlformats.org/officeDocument/2006/relationships/externalLinkPath" Target="file:///\\081D5A21\FOR-DE-143%20consolidado%20FORMULACIO&#769;N,%20SEGUIMIENTO%20Y%20EVALUACIO&#769;N%20DE%20PLAN%20DE%20DESARROLLO%20INSTITUCIONAL%20Y%20PLANES%20INDICATIV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briel\Documents\Oficina%20de%20Planeacion\PDI\for.&amp;seg.-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E-143 consolidado FORMULAC"/>
    </sheetNames>
    <definedNames>
      <definedName name="Tabla1"/>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sheetName val="SEGUIMIENTO"/>
      <sheetName val="ANEXO FORMULACIÓN FACULTADES"/>
      <sheetName val="inf"/>
      <sheetName val="ANEXO SEGUIMIENTO FACULTADES"/>
      <sheetName val="ANEXO LISTADO DE INDICADORES"/>
      <sheetName val="Lists"/>
      <sheetName val="CONSIDERACION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Julio Alberto Muriel Taibel" id="{BF2069A4-70D5-4977-B68A-35D16AD3D232}" userId="S::jamuriel@mail.uniatlantico.edu.co::f7efc3e1-d4c7-4397-9ca8-5873291655b9"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briel E Romero" refreshedDate="45621.642975462964" createdVersion="8" refreshedVersion="8" minRefreshableVersion="3" recordCount="166" xr:uid="{4147B154-65B6-4B46-97EC-52A37CB91881}">
  <cacheSource type="worksheet">
    <worksheetSource name="Tabla4[[LINE]:[cumpli]]"/>
  </cacheSource>
  <cacheFields count="5">
    <cacheField name="LINE" numFmtId="0">
      <sharedItems count="6">
        <s v="L1 - Formación Académica Integral"/>
        <s v="L2 - Investigación y Redes de conocimiento para el desarrollo de la sociedad"/>
        <s v="L3 - Impacto regional, Nacional e Internacional desde la Extensión y proyección social"/>
        <s v="L4 - Bienestar Universitario, Salud mental positiva, Inclusión y Democracia."/>
        <s v="L5 - Modernización de la Gestión Administrativa "/>
        <s v=""/>
      </sharedItems>
    </cacheField>
    <cacheField name="META" numFmtId="0">
      <sharedItems count="79" longText="1">
        <s v="Lograr por lo menos el 65% de los docentes de carrera profesoral certificados en nivel B2 según el marco común europeo"/>
        <s v="Garantizar la Política de Enseñanza aprendizaje y evaluación de Lenguas Extranjeras para que mínimo 7000 estudiantes logren culminar los cursos de inglés establecidos, asimismo que 300 estudiantes de Licenciatura en Lenguas Extranjeras se formen mediante el Programa de Inmersión en inglés "/>
        <s v=""/>
        <s v="Propender por la movilidad de al menos 400 estudiantes desde y _x000a_hacia la Universidad del Atlántico "/>
        <s v="Fortalecer la movilidad docente, desde las funciones sustantivas de docencia, extensión, proyección social e internacionalización, con un mínimo de 250 registros de movilidad saliente internacional y 200 de movilidad saliente nacional"/>
        <s v="Fomentar la internacionalización en curricular garantizando el 40% de los programas académicos con componente internacional. Asimismo, propender para que el 60% de los programas desarrollen actividades con componente internacional desde el aula y de manera extracurricular."/>
        <s v="Implementar la Política de uso y apropiación de las TIC en la Universidad del Atlántico"/>
        <s v="Lograr que al menos el 50% de los programas académicos apliquen prácticas de innovación educativa y crear al menos 800 recursos digitales para la docencia con impacto positivo en la población._x000a_(Ejemplos: aplica aprendizaje inverso, automatización de las prácticas de laboratorio, simuladores, plataformas, construcción de ebook)  "/>
        <s v="Incluir mínimo 30 cursos en línea masivos y abiertos MOOC, como electivas de contexto con temáticas relacionadas con economía de bienestar, valores ético-morales, emprendimiento social y desarrollo endógeno."/>
        <s v="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
        <s v="Impulsar el desarrollo regional a través de mínimo 40 convenios y/o venta de servicio,  que propendan entre otros aspectos a la formación académica en región y al mejoramiento de los resultados de las pruebas Saber 11 de las instituciones educativas de la región."/>
        <s v="Diseñar, aprobar e implementar la Política de Educación inclusiva e intercultural."/>
        <s v="Creación y operacionalización del Comité de Planeación Lingüística en lenguas nativas."/>
        <s v="Lograr 10 convenios con las Secretarías de Educación y/u organizaciones públicas o privadas de la región para beneficiar a la población diversa de la educación media y fomentar el acceso a la educación superior."/>
        <s v="Implementar un centro de documentación de materiales educativos accesibles para la población diversa con 2000 productos catalogados por área de conocimiento."/>
        <s v="Lograr el 100% de los programas académicos resignificados con base en la Política de Educación inclusiva e intercultural. "/>
        <s v="Diseñar e implementar un programa de capacitación en lenguas indígenas y/o lengua de señas colombiana."/>
        <s v="Diseñar e implementar el Sistema Interno Integrado para la excelencia institucional."/>
        <s v="Lograr el reconocimiento nacional e internacional de los procesos misionales y de apoyo a la gestión, con el sostenimiento de la acreditación institucional, el 70% de programas académicos acreditados a nivel nacional y al menos 5 a nivel internacional."/>
        <s v="Fortalecer la oferta académica pertinente con 55 programas de pregrado, 25 especializaciones, 30 maestrías, 10 doctorados, de los cuales 15 tengan modalidad virtual o mixta."/>
        <s v="Crear el Comité de Pertinencia Académica, que engrane la gestión de las Facultades con el ORMET, el Departamento de Calidad Integral en la Docencia, el Departamento de Extensión y Proyección Social, el Departamento de Postgrados, la Oficina de Egresados, la Oficina de Planeación, entre otras, para el análisis de apertura de nueva oferta académica."/>
        <s v="Diseñar e implementar los Lineamientos curriculares asociados a la modernización curricular frente al Enfoque Pedagógico Emergente, Integrador e Interdisciplinar."/>
        <s v="Formación profesional con enfoque hacia la responsabilidad social universitaria (RSU) en el 100% de los programas académicos."/>
        <s v="Creación de un Centro de apoyo y gestión a la enseñanza aprendizaje. "/>
        <s v="Incrementar en un 20% los niveles de desempeño globales en Pruebas Saber Pro de los programas académicos y 50 puntos en el puntaje de la institución. "/>
        <s v="Diseñar e implementar el sistema de evaluación académica integral aplicable a docentes, estudiantes, y planes de estudio, para garantizar los resultados del aprendizaje."/>
        <s v="Implementar al menos un 70% de las estrategias académico administrativas dirigidas a la permanencia para alcanzar un 60% en la tasa graduación de los estudiantes. "/>
        <s v="Diseñar la política de meritocracia para acceder a la carrera profesoral y realizar al menos 3 concursos públicos de mérito con resultados de 80% de efectividad."/>
        <s v="Alcanzar el 60% de nivel de formación doctoral y un 40% de maestría de la planta docente (carrera profesoral)."/>
        <s v="Diseño de la política docente de formación avanzada, científica y de relevo generacional.  "/>
        <s v="Fortalecer y visibilizar el impacto de la creación e investigación para las industrias creativas y culturales con miras a disminuir la brecha en la generación de conocimiento en el sector de las artes y el patrimonio cultural, con 28 proyectos que aprobados en convocatorias internas y/o externas, asimismo categorizar 3 grupo en A1, 2 grupos en A, 3 grupos en B "/>
        <s v="Consolidar e implementar el laboratorio de investigación creación para las áreas artísticas logrando 10 convenios interinstitucionales y 20 productos articulados en redes"/>
        <s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
        <s v="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
        <s v="Categorizar el 70% de los grupos de investigación en A1, A y B al mismo tiempo alcanzar el 50% de los docentes de carrera categorizados como investigadores"/>
        <s v="Potencializar la sostenibilidad investigativa con proyectos viables para el fortalecimiento de las capacidades institucionales, con 2 Spin Off desarrollados desde los laboratorios de investigación."/>
        <s v="Fomentar el desarrollo de proyectos de base tecnológica y la participación en convocatorias, y así lograr ejecutar mínimo 8 proyectos con financiación."/>
        <s v="Operacionalizar el Parque Tecnológico del Caribe PTC e integrar el ecosistema de ciencia, tecnología e innovación del Caribe, vinculando el PTC y el Centro de Investigaciones Científicas y Tecnológicas de la Universidad del Atlántico CICIT, así como otros laboratorios de investigación para impactar a las empresas de base tecnológica a través de servicios de investigación alcanzando 5 proyectos que involucren propiedad industrial, 10 contratos con empresas de base tecnológica, 10 proyectos con financiación internacional"/>
        <s v="Certificación de 15 laboratorios para prestación de servicios de investigación "/>
        <s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
        <s v="Concretar al menos 70 proyectos de extensión y proyección social remunerados con el sector público y/o privado a través de la gestión de alianzas y convenios a nivel nacional e internacional."/>
        <s v="Incrementar en un 20% los ingresos del Centro de Investigaciones Científicas y Tecnológicas (CICIT) y Parque Tecnológico del Caribe (PTC) por servicios científicos y tecnológicos "/>
        <s v="Formular e implementar la política de innovación, emprendimiento y transferencia tecnológica y gestionar 30 proyectos de innovación a nivel nacional e internacional, y aportar 7 productos de transferencia tecnológica"/>
        <s v="Crear el Centro de Emprendimiento UA Emprende para garantizar la sostenibilidad de por lo menos  el 3% de proyectos de emprendimiento."/>
        <s v="Actualizar y fortalecer la Política de Egresados"/>
        <s v="Promover el apoyo y la participación de los graduados para ofertar servicios al sector público y privado."/>
        <s v="Diseñar y apropiar el Observatorio digital institucional para la gestión de conocimiento y el desarrollo social"/>
        <s v="Concretar por lo menos 10  alianzas o convenios activos con entidades gubernamentales, sector privado nacional e internacional para la gestión de acceso a la cultura"/>
        <s v="Desarrollar mínimo 50 proyectos para el acceso a la cultura"/>
        <s v="Promover mínimo 3 proyectos y espacios institucionales con enfoque al desarrollo turístico, patrimonial y social con la vinculación de los gobiernos departamental, nacional y/o internacional"/>
        <s v="Visibilizar los resultados de los procesos de investigación creación artística con 15 participaciones en eventos de apropiación social "/>
        <s v="Concretar la ejecución de al menos 20 proyectos de proyección social con mecanismos de financiación externos públicos y/o privados "/>
        <s v="Desarrollar por lo menos 10 proyectos de proyección social con intervención a población priorizada"/>
        <s v="Promover la apropiación social del conocimiento en articulación con las facultades, mediante la gestión de al menos 800 eventos de difusión"/>
        <s v="Elaborar e implementar en forma sostenible la política institucional de Responsabilidad Social Universitaria RSU y ejecutar por lo menos 50 proyectos del Voluntariado UA."/>
        <s v="Caracterizar el impacto de por lo menos 50  programas y/o proyectos Responsabilidad Social Universitaria RSU desarrollados "/>
        <s v="Promover la comercialización de mínimo 2 proyectos que generen Spin-Off"/>
        <s v="Establecer un sistema de evaluación para controlar el impacto de las estrategias de permanencia y graduación que permita fortalecer el proceso formativo."/>
        <s v="Aumentar el índice de permanencia y oportuna graduación estudiantil basado en el acompañamiento institucional, psicosocial, académico y socioeconómico en cada etapa del  proyecto de vida universitario del estudiante."/>
        <s v="Diseñar e implementar la Política de Permanencia y Graduación estudiantil."/>
        <s v="Diseñar e implementar el programa de Plan Padrino para el sostenimiento de mínimo 200 estudiantes en riesgo de deserción, impulsando el aporte voluntario de entes territoriales, egresados, empresarios y docentes."/>
        <s v="Estimular el desarrollo de las relaciones constructivas entre los miembros de la comunidad universitaria con base en la difusión y práctica de valores de respeto a la dignidad humana y a la diversidad, alcanzando un incremento del 6% en los resultados de percepción de cultura ciudadana, 7 estructuras de diálogo y resolución de conflictos y la Política de Género."/>
        <s v="Institucionalizar el proyecto &quot;Diálogos de Desarrollo Institucional” como escenario para pensar nuestra universidad con la participación de la comunidad universitaria, con un mínimo de 9 hojas de ruta derivadas del proyecto."/>
        <s v="Visibilizar los procesos institucionales a nivel local y regional, fortaleciendo de la participación en temas de Cultura Ciudadana y Derechos Humanos a través del proyecto “Espacios Audiovisuales”."/>
        <s v="Fomentar el autocuidado y compromiso con la salud física y mental, en al menos el 50% de la comunidad universitaria."/>
        <s v="Incrementar la participación de los ingresos por venta de servicios a un 20% del total del presupuesto "/>
        <s v="Construir un modelo de gestión financiera que promueva la utilización más eficiente de los recursos públicos, así como identificar alternativas de financiación"/>
        <s v="Implementar la estrategia de Gobierno Digital"/>
        <s v="Modernizar la plataforma tecnológica de la Universidad"/>
        <s v="Integrar y certificar los Sistemas de Gestión"/>
        <s v="Ser una institución consciente y proactiva hacia el aporte de los ODS"/>
        <s v="Sostenibilidad Ambiental Universitaria"/>
        <s v="Operacionalizar al menos el 50% de los convenios de cooperación académica nacional e internacional "/>
        <s v="Alcanzar la participación de la Universidad en un mínimo de 100 convocatorias académicas"/>
        <s v="Garantizar personal cualificado con altos niveles de satisfacción en clima organizacional y bienestar laboral."/>
        <s v="Formular e implementar el Plan maestro de infraestructura física "/>
        <s v="Gestionar la modernización de la sede central de la Biblioteca del campus."/>
        <s v="Adecuar contenedores sostenibles y modernos que permitan la recolección selectiva de residuos en salas de reuniones, centros de investigación y zonas de estudios."/>
        <e v="#VALUE!"/>
      </sharedItems>
    </cacheField>
    <cacheField name="res.pond.meta" numFmtId="10">
      <sharedItems containsMixedTypes="1" containsNumber="1" minValue="0" maxValue="0.3"/>
    </cacheField>
    <cacheField name="pond." numFmtId="10">
      <sharedItems containsMixedTypes="1" containsNumber="1" minValue="0" maxValue="0.3"/>
    </cacheField>
    <cacheField name="cumpli" numFmtId="10">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briel E Romero" refreshedDate="45621.718838310182" createdVersion="8" refreshedVersion="8" minRefreshableVersion="3" recordCount="55" xr:uid="{6619D3D1-2138-438D-9993-E0E66EB222EA}">
  <cacheSource type="worksheet">
    <worksheetSource name="Tabla1"/>
  </cacheSource>
  <cacheFields count="14">
    <cacheField name="id.L" numFmtId="0">
      <sharedItems/>
    </cacheField>
    <cacheField name="rep.l" numFmtId="0">
      <sharedItems containsSemiMixedTypes="0" containsString="0" containsNumber="1" containsInteger="1" minValue="1" maxValue="17"/>
    </cacheField>
    <cacheField name="Línea" numFmtId="0">
      <sharedItems count="5">
        <s v="L1 - Formación Académica Integral"/>
        <s v="L2 - Investigación y Redes de conocimiento para el desarrollo de la sociedad"/>
        <s v="L3 - Impacto regional, Nacional e Internacional desde la Extensión y proyección social"/>
        <s v="L4 - Bienestar Universitario, Salud mental positiva, Inclusión y Democracia."/>
        <s v="L5 - Modernización de la Gestión Administrativa "/>
      </sharedItems>
    </cacheField>
    <cacheField name="val.Linea" numFmtId="10">
      <sharedItems containsMixedTypes="1" containsNumber="1" minValue="6.8581890468075363E-2" maxValue="0.17625092063492065"/>
    </cacheField>
    <cacheField name="id.M" numFmtId="0">
      <sharedItems/>
    </cacheField>
    <cacheField name="rep" numFmtId="0">
      <sharedItems containsSemiMixedTypes="0" containsString="0" containsNumber="1" containsInteger="1" minValue="1" maxValue="6"/>
    </cacheField>
    <cacheField name="Motor" numFmtId="0">
      <sharedItems count="18">
        <s v="M1 - Internacionalización y multilingüismo."/>
        <s v="M2 - Transformación digital"/>
        <s v="M3 - Regionalización en contexto"/>
        <s v="M4 - Procesos académicos inclusivos e interculturales"/>
        <s v="M5 - Autoevaluación y acreditación Institucional y de programas académicos en el contexto nacional e internacional"/>
        <s v="M1 - Creación o investigación creación."/>
        <s v="M2 - Investigación y desarrollo científico. "/>
        <s v="M3 - Innovación y desarrollo tecnológico."/>
        <s v="M1 - Educación continua y formación avanzada con enfoque global. "/>
        <s v="M2 - Articulación con el sector productivo y sociedad."/>
        <s v="M3 - Gestión social, artística y cultural"/>
        <s v="M4 - Responsabilidad social universitaria RSU.  "/>
        <s v="M1 - Fortalecimiento para la permanencia y graduación oportuna"/>
        <s v="M2 - Cultura ciudadana, cultura política, equidad de género e inclusión"/>
        <s v="M3 - Salud mental positiva y Desarrollo humano integral"/>
        <s v="M1 - Fortalecimiento institucional"/>
        <s v="M2 - Fortalecimiento de la estructura organizativa y del talento humano."/>
        <s v="M3 - Infraestructura y dotación adecuada"/>
      </sharedItems>
    </cacheField>
    <cacheField name="fila" numFmtId="0">
      <sharedItems containsSemiMixedTypes="0" containsString="0" containsNumber="1" containsInteger="1" minValue="1" maxValue="18"/>
    </cacheField>
    <cacheField name="val.motor" numFmtId="10">
      <sharedItems containsMixedTypes="1" containsNumber="1" minValue="6.0000000000000001E-3" maxValue="9.9999999999999992E-2"/>
    </cacheField>
    <cacheField name="Id.p" numFmtId="0">
      <sharedItems/>
    </cacheField>
    <cacheField name="Proyecto" numFmtId="0">
      <sharedItems count="55">
        <s v="P1 - Multilingüismo e interculturalidad"/>
        <s v="P2 - Movilidad académica estudiantil y docente"/>
        <s v="P3 - Internacionalización en casa y curricular"/>
        <s v="P1 - Competencias digitales"/>
        <s v="P2 - Fortalecimiento de recursos digitales para la docencia"/>
        <s v="P3 - Ampliación de la educación digital"/>
        <s v="P1 - Programas académicos con calidad y pertinencia regional"/>
        <s v="P2 - Acceso de población rural a programas académicos"/>
        <s v="P3 - Articulación de la docencia con la investigación y extensión en región"/>
        <s v="P1 - Política de Educación Inclusiva e Intercultural"/>
        <s v="P2 - Articulación con la educación básica y media para el fortalecimiento de los procesos de educación inclusiva"/>
        <s v="P3 - Materiales accesibles diseñados, creados y adaptados para población diversa"/>
        <s v="P4 - Formación para la transformación institucional basado en educación inclusiva, intercultural y pluridiversa"/>
        <s v="P1 - Excelencia académica"/>
        <s v="P2 - Ampliación y diversificación de la oferta académica"/>
        <s v="P3 - Gestión y mejoramiento curricular "/>
        <s v="P4 - Fortalecimiento de las capacidades del capital humano docente"/>
        <s v="P1 - Desarrollo de las artes, la creación y la investigación creación"/>
        <s v="P2 - Laboratorio de investigación creación "/>
        <s v="P1 - Desarrollo de la investigación básica y aplicada con impacto en  aspectos sociales, políticos, culturales, económicos y/o tecnológicos en los contextos regional, nacional e internacional"/>
        <s v="P2 - Movilidad docente para el fortalecimiento de la investigación"/>
        <s v="P3 - Articulación con el sector externo para el fortalecimiento de la investigación"/>
        <s v="P1 - Apropiación de proyectos de investigación de base tecnológica"/>
        <s v="P2 - Consolidación del Centro de Investigaciones Científicas y Tecnológicas de la Universidad del Atlántico"/>
        <s v="P1 - Fortalecimiento de los programas de educación contínua con  pertinencia regional, nacional e internacional a través de la modernización de los procesos. "/>
        <s v="P1 - Gestión de alianzas, convenios y proyectos para el  fomento del desarrollo  sostenible según la agenda (ODS), regional, nacional e internacional"/>
        <s v="P2 - Fortalecimiento de la gestión de la Innovación y emprendimiento"/>
        <s v="P3 - Proyección de los egresados como generadores de transformación y construcción social."/>
        <s v="P4 - Creación del Observatorio de Productividad y Desarrollo Social"/>
        <s v="P1 - Fortalecimiento de los procesos de promoción y acceso a la cultura de la población."/>
        <s v="P2 - Divulgación y posicionamiento de productos artísticos y museográficos."/>
        <s v="P3 - Fortalecimiento a la gestión de actividades, proyectos y programas de proyección social."/>
        <s v="P1 - Creación de políticas institucionales en RSU"/>
        <s v="P2 - Fortalecer la participación en las iniciativas locales y globales de la agenda 2030 para el desarrollo sostenible. "/>
        <s v="P3 - Posicionamiento del servicio social  de  asesoría  jurídica, representación  legal  y  litigio  estratégico del  consultorio  jurídico  y Centro de  Conciliación como solucionadores y mediadores de conflictos socio-jurídicos.  "/>
        <s v="P4 - Fortalecimiento de la función social de la universidad, en temas de memoria, identidad y patrimonio."/>
        <s v="P1 - Promoción al acceso, permanencia y graduación estudiantil"/>
        <s v="P2 - Fortalecimiento de ayudas socioeconómicas para el éxito estudiantil"/>
        <s v="P1 - Cultura ciudadana, equidad y convivencia"/>
        <s v="P2 - Territorio artístico y cultural que construye una sociedad diversa e inclusiva"/>
        <s v="P1 - Promoción y mantenimiento de la salud en la comunidad universitaria"/>
        <s v="P2 - Yo trabajo con bienestar integral"/>
        <s v="P3 - Integración deportiva y participación en la sociedad"/>
        <s v="P1 - Mejoramiento y efectividad de procesos administrativos y académicos. "/>
        <s v="P2 - Modernización de las herramientas tecnológicas y los sistemas de gestión."/>
        <s v="P3 - Planeación estratégica y fortalecimiento de los sistemas de gestión. "/>
        <s v="P4 - Fomento de sostenibilidad ambiental.  "/>
        <s v="P5 - Comunicación organizacional y logística institucional."/>
        <s v="P6 - Cooperación internacional y relacionamiento estratégico."/>
        <s v="P1 - Equidad, bienestar y desarrollo laboral"/>
        <s v="P1 - Diseño y adecuación de infraestructura inclusiva, sostenible y especializada en todas las sedes."/>
        <s v="P2 - Sostenimiento de la infraestructura física en todas las sedes. "/>
        <s v="P3 - Campus atractivo armónico con el medio ambiente. "/>
        <s v="P4 - Dotación y mantenimiento de infraestructura de redes de comunicación e infraestructura computacional."/>
        <s v="P5 - Dotación de espacios administrativos y académicos."/>
      </sharedItems>
    </cacheField>
    <cacheField name="val.proye" numFmtId="10">
      <sharedItems containsSemiMixedTypes="0" containsString="0" containsNumber="1" minValue="0" maxValue="0.3"/>
    </cacheField>
    <cacheField name="#" numFmtId="0">
      <sharedItems containsSemiMixedTypes="0" containsString="0" containsNumber="1" containsInteger="1" minValue="1" maxValue="55"/>
    </cacheField>
    <cacheField name="Fil.filtro" numFmtId="0">
      <sharedItems containsMixedTypes="1" containsNumber="1" containsInteger="1" minValue="3" maxValue="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
  <r>
    <x v="0"/>
    <x v="0"/>
    <n v="4.1538461538461529E-3"/>
    <n v="0.03"/>
    <n v="0.13846153846153844"/>
  </r>
  <r>
    <x v="0"/>
    <x v="1"/>
    <n v="1.0112857142857142E-2"/>
    <n v="0.06"/>
    <n v="0.16854761904761903"/>
  </r>
  <r>
    <x v="0"/>
    <x v="2"/>
    <s v=""/>
    <s v=""/>
    <s v=""/>
  </r>
  <r>
    <x v="0"/>
    <x v="3"/>
    <n v="7.0199999999999999E-2"/>
    <n v="0.08"/>
    <n v="0.87749999999999995"/>
  </r>
  <r>
    <x v="0"/>
    <x v="2"/>
    <s v=""/>
    <s v=""/>
    <s v=""/>
  </r>
  <r>
    <x v="0"/>
    <x v="2"/>
    <s v=""/>
    <s v=""/>
    <s v=""/>
  </r>
  <r>
    <x v="0"/>
    <x v="2"/>
    <s v=""/>
    <s v=""/>
    <s v=""/>
  </r>
  <r>
    <x v="0"/>
    <x v="4"/>
    <n v="2.7379999999999998E-2"/>
    <n v="0.04"/>
    <n v="0.68449999999999989"/>
  </r>
  <r>
    <x v="0"/>
    <x v="2"/>
    <s v=""/>
    <s v=""/>
    <s v=""/>
  </r>
  <r>
    <x v="0"/>
    <x v="5"/>
    <n v="2.0894622883530015E-2"/>
    <n v="0.06"/>
    <n v="0.34824371472550025"/>
  </r>
  <r>
    <x v="0"/>
    <x v="2"/>
    <s v=""/>
    <s v=""/>
    <s v=""/>
  </r>
  <r>
    <x v="0"/>
    <x v="2"/>
    <s v=""/>
    <s v=""/>
    <s v=""/>
  </r>
  <r>
    <x v="0"/>
    <x v="6"/>
    <n v="1.7885000000000005E-2"/>
    <n v="2.5000000000000001E-2"/>
    <n v="0.71540000000000015"/>
  </r>
  <r>
    <x v="0"/>
    <x v="7"/>
    <n v="9.4750000000000025E-3"/>
    <n v="2.5000000000000001E-2"/>
    <n v="0.37900000000000006"/>
  </r>
  <r>
    <x v="0"/>
    <x v="2"/>
    <s v=""/>
    <s v=""/>
    <s v=""/>
  </r>
  <r>
    <x v="0"/>
    <x v="2"/>
    <s v=""/>
    <s v=""/>
    <s v=""/>
  </r>
  <r>
    <x v="0"/>
    <x v="8"/>
    <n v="6.6666666666666662E-3"/>
    <n v="0.04"/>
    <n v="0.16666666666666666"/>
  </r>
  <r>
    <x v="0"/>
    <x v="9"/>
    <n v="3.1167619047619048E-2"/>
    <n v="0.08"/>
    <n v="0.38959523809523811"/>
  </r>
  <r>
    <x v="0"/>
    <x v="2"/>
    <s v=""/>
    <s v=""/>
    <s v=""/>
  </r>
  <r>
    <x v="0"/>
    <x v="2"/>
    <s v=""/>
    <s v=""/>
    <s v=""/>
  </r>
  <r>
    <x v="0"/>
    <x v="2"/>
    <s v=""/>
    <s v=""/>
    <s v=""/>
  </r>
  <r>
    <x v="0"/>
    <x v="10"/>
    <n v="0"/>
    <n v="0.04"/>
    <n v="0"/>
  </r>
  <r>
    <x v="0"/>
    <x v="2"/>
    <s v=""/>
    <s v=""/>
    <s v=""/>
  </r>
  <r>
    <x v="0"/>
    <x v="11"/>
    <n v="0"/>
    <n v="1.4999999999999999E-2"/>
    <n v="0"/>
  </r>
  <r>
    <x v="0"/>
    <x v="12"/>
    <n v="1.4999999999999999E-2"/>
    <n v="1.4999999999999999E-2"/>
    <n v="1"/>
  </r>
  <r>
    <x v="0"/>
    <x v="13"/>
    <n v="1.2E-2"/>
    <n v="0.03"/>
    <n v="0.4"/>
  </r>
  <r>
    <x v="0"/>
    <x v="14"/>
    <n v="6.3750000000000005E-3"/>
    <n v="0.05"/>
    <n v="0.1275"/>
  </r>
  <r>
    <x v="0"/>
    <x v="2"/>
    <s v=""/>
    <s v=""/>
    <s v=""/>
  </r>
  <r>
    <x v="0"/>
    <x v="15"/>
    <n v="0"/>
    <n v="0.01"/>
    <n v="0"/>
  </r>
  <r>
    <x v="0"/>
    <x v="16"/>
    <n v="0"/>
    <n v="0.01"/>
    <n v="0"/>
  </r>
  <r>
    <x v="0"/>
    <x v="17"/>
    <n v="6.6000000000000008E-3"/>
    <n v="0.06"/>
    <n v="0.11000000000000001"/>
  </r>
  <r>
    <x v="0"/>
    <x v="2"/>
    <s v=""/>
    <s v=""/>
    <s v=""/>
  </r>
  <r>
    <x v="0"/>
    <x v="2"/>
    <s v=""/>
    <s v=""/>
    <s v=""/>
  </r>
  <r>
    <x v="0"/>
    <x v="18"/>
    <n v="2.2000000000000002E-2"/>
    <n v="0.06"/>
    <n v="0.3666666666666667"/>
  </r>
  <r>
    <x v="0"/>
    <x v="2"/>
    <s v=""/>
    <s v=""/>
    <s v=""/>
  </r>
  <r>
    <x v="0"/>
    <x v="2"/>
    <s v=""/>
    <s v=""/>
    <s v=""/>
  </r>
  <r>
    <x v="0"/>
    <x v="19"/>
    <n v="2.9957575757575756E-2"/>
    <n v="0.05"/>
    <n v="0.5991515151515151"/>
  </r>
  <r>
    <x v="0"/>
    <x v="2"/>
    <s v=""/>
    <s v=""/>
    <s v=""/>
  </r>
  <r>
    <x v="0"/>
    <x v="2"/>
    <s v=""/>
    <s v=""/>
    <s v=""/>
  </r>
  <r>
    <x v="0"/>
    <x v="2"/>
    <s v=""/>
    <s v=""/>
    <s v=""/>
  </r>
  <r>
    <x v="0"/>
    <x v="2"/>
    <s v=""/>
    <s v=""/>
    <s v=""/>
  </r>
  <r>
    <x v="0"/>
    <x v="20"/>
    <n v="0"/>
    <n v="0.01"/>
    <n v="0"/>
  </r>
  <r>
    <x v="0"/>
    <x v="21"/>
    <n v="0"/>
    <n v="7.6923076923076927E-3"/>
    <n v="0"/>
  </r>
  <r>
    <x v="0"/>
    <x v="2"/>
    <s v=""/>
    <s v=""/>
    <s v=""/>
  </r>
  <r>
    <x v="0"/>
    <x v="22"/>
    <n v="5.6230769230769236E-4"/>
    <n v="7.6923076923076927E-3"/>
    <n v="7.3099999999999998E-2"/>
  </r>
  <r>
    <x v="0"/>
    <x v="2"/>
    <s v=""/>
    <s v=""/>
    <s v=""/>
  </r>
  <r>
    <x v="0"/>
    <x v="23"/>
    <n v="0"/>
    <n v="3.8461538461538464E-3"/>
    <n v="0"/>
  </r>
  <r>
    <x v="0"/>
    <x v="24"/>
    <n v="5.7787509520182776E-3"/>
    <n v="7.6923076923076927E-3"/>
    <n v="0.75123762376237602"/>
  </r>
  <r>
    <x v="0"/>
    <x v="2"/>
    <s v=""/>
    <s v=""/>
    <s v=""/>
  </r>
  <r>
    <x v="0"/>
    <x v="25"/>
    <n v="0"/>
    <n v="7.6923076923076927E-3"/>
    <n v="0"/>
  </r>
  <r>
    <x v="0"/>
    <x v="2"/>
    <s v=""/>
    <s v=""/>
    <s v=""/>
  </r>
  <r>
    <x v="0"/>
    <x v="26"/>
    <n v="2.3653846153846156E-3"/>
    <n v="1.5384615384615385E-2"/>
    <n v="0.15375"/>
  </r>
  <r>
    <x v="0"/>
    <x v="2"/>
    <s v=""/>
    <s v=""/>
    <s v=""/>
  </r>
  <r>
    <x v="0"/>
    <x v="2"/>
    <s v=""/>
    <s v=""/>
    <s v=""/>
  </r>
  <r>
    <x v="0"/>
    <x v="2"/>
    <s v=""/>
    <s v=""/>
    <s v=""/>
  </r>
  <r>
    <x v="0"/>
    <x v="27"/>
    <n v="0"/>
    <n v="2.5714285714285717E-2"/>
    <n v="0"/>
  </r>
  <r>
    <x v="0"/>
    <x v="2"/>
    <s v=""/>
    <s v=""/>
    <s v=""/>
  </r>
  <r>
    <x v="0"/>
    <x v="2"/>
    <s v=""/>
    <s v=""/>
    <s v=""/>
  </r>
  <r>
    <x v="0"/>
    <x v="28"/>
    <n v="5.000000000000001E-3"/>
    <n v="1.7142857142857144E-2"/>
    <n v="0.29166666666666669"/>
  </r>
  <r>
    <x v="0"/>
    <x v="2"/>
    <s v=""/>
    <s v=""/>
    <s v=""/>
  </r>
  <r>
    <x v="0"/>
    <x v="29"/>
    <n v="0"/>
    <n v="1.7142857142857144E-2"/>
    <n v="0"/>
  </r>
  <r>
    <x v="0"/>
    <x v="2"/>
    <s v=""/>
    <s v=""/>
    <s v=""/>
  </r>
  <r>
    <x v="1"/>
    <x v="30"/>
    <n v="9.375E-2"/>
    <n v="0.15000000000000002"/>
    <n v="0.62499999999999989"/>
  </r>
  <r>
    <x v="1"/>
    <x v="2"/>
    <s v=""/>
    <s v=""/>
    <s v=""/>
  </r>
  <r>
    <x v="1"/>
    <x v="2"/>
    <s v=""/>
    <s v=""/>
    <s v=""/>
  </r>
  <r>
    <x v="1"/>
    <x v="31"/>
    <n v="7.4999999999999997E-3"/>
    <n v="0.15"/>
    <n v="0.05"/>
  </r>
  <r>
    <x v="1"/>
    <x v="2"/>
    <s v=""/>
    <s v=""/>
    <s v=""/>
  </r>
  <r>
    <x v="1"/>
    <x v="32"/>
    <n v="3.8995714285714286E-2"/>
    <n v="0.15"/>
    <n v="0.25997142857142858"/>
  </r>
  <r>
    <x v="1"/>
    <x v="2"/>
    <s v=""/>
    <s v=""/>
    <s v=""/>
  </r>
  <r>
    <x v="1"/>
    <x v="2"/>
    <s v=""/>
    <s v=""/>
    <s v=""/>
  </r>
  <r>
    <x v="1"/>
    <x v="2"/>
    <s v=""/>
    <s v=""/>
    <s v=""/>
  </r>
  <r>
    <x v="1"/>
    <x v="2"/>
    <s v=""/>
    <s v=""/>
    <s v=""/>
  </r>
  <r>
    <x v="1"/>
    <x v="33"/>
    <n v="4.3499999999999997E-2"/>
    <n v="0.06"/>
    <n v="0.72499999999999998"/>
  </r>
  <r>
    <x v="1"/>
    <x v="2"/>
    <s v=""/>
    <s v=""/>
    <s v=""/>
  </r>
  <r>
    <x v="1"/>
    <x v="34"/>
    <n v="4.0457142857142858E-2"/>
    <n v="0.06"/>
    <n v="0.67428571428571438"/>
  </r>
  <r>
    <x v="1"/>
    <x v="2"/>
    <s v=""/>
    <s v=""/>
    <s v=""/>
  </r>
  <r>
    <x v="1"/>
    <x v="2"/>
    <s v=""/>
    <s v=""/>
    <s v=""/>
  </r>
  <r>
    <x v="1"/>
    <x v="2"/>
    <s v=""/>
    <s v=""/>
    <s v=""/>
  </r>
  <r>
    <x v="1"/>
    <x v="2"/>
    <s v=""/>
    <s v=""/>
    <s v=""/>
  </r>
  <r>
    <x v="1"/>
    <x v="2"/>
    <s v=""/>
    <s v=""/>
    <s v=""/>
  </r>
  <r>
    <x v="1"/>
    <x v="35"/>
    <n v="0"/>
    <n v="0.02"/>
    <n v="0"/>
  </r>
  <r>
    <x v="1"/>
    <x v="36"/>
    <n v="8.1250000000000003E-2"/>
    <n v="0.13"/>
    <n v="0.625"/>
  </r>
  <r>
    <x v="1"/>
    <x v="37"/>
    <n v="5.6000000000000001E-2"/>
    <n v="0.12"/>
    <n v="0.46666666666666667"/>
  </r>
  <r>
    <x v="1"/>
    <x v="2"/>
    <s v=""/>
    <s v=""/>
    <s v=""/>
  </r>
  <r>
    <x v="1"/>
    <x v="2"/>
    <s v=""/>
    <s v=""/>
    <s v=""/>
  </r>
  <r>
    <x v="1"/>
    <x v="38"/>
    <n v="0"/>
    <n v="0.04"/>
    <n v="0"/>
  </r>
  <r>
    <x v="2"/>
    <x v="39"/>
    <n v="0.17499999999999999"/>
    <n v="0.19999999999999998"/>
    <n v="0.875"/>
  </r>
  <r>
    <x v="2"/>
    <x v="2"/>
    <s v=""/>
    <s v=""/>
    <s v=""/>
  </r>
  <r>
    <x v="2"/>
    <x v="2"/>
    <s v=""/>
    <s v=""/>
    <s v=""/>
  </r>
  <r>
    <x v="2"/>
    <x v="2"/>
    <s v=""/>
    <s v=""/>
    <s v=""/>
  </r>
  <r>
    <x v="2"/>
    <x v="2"/>
    <s v=""/>
    <s v=""/>
    <s v=""/>
  </r>
  <r>
    <x v="2"/>
    <x v="2"/>
    <s v=""/>
    <s v=""/>
    <s v=""/>
  </r>
  <r>
    <x v="2"/>
    <x v="2"/>
    <s v=""/>
    <s v=""/>
    <s v=""/>
  </r>
  <r>
    <x v="2"/>
    <x v="2"/>
    <s v=""/>
    <s v=""/>
    <s v=""/>
  </r>
  <r>
    <x v="2"/>
    <x v="40"/>
    <n v="7.4999999999999997E-2"/>
    <n v="7.4999999999999997E-2"/>
    <n v="1"/>
  </r>
  <r>
    <x v="2"/>
    <x v="41"/>
    <n v="7.4999999999999997E-2"/>
    <n v="7.4999999999999997E-2"/>
    <n v="1"/>
  </r>
  <r>
    <x v="2"/>
    <x v="42"/>
    <n v="0.05"/>
    <n v="7.5000000000000011E-2"/>
    <n v="0.66666666666666663"/>
  </r>
  <r>
    <x v="2"/>
    <x v="2"/>
    <s v=""/>
    <s v=""/>
    <s v=""/>
  </r>
  <r>
    <x v="2"/>
    <x v="2"/>
    <s v=""/>
    <s v=""/>
    <s v=""/>
  </r>
  <r>
    <x v="2"/>
    <x v="43"/>
    <n v="0"/>
    <n v="7.5000000000000011E-2"/>
    <n v="0"/>
  </r>
  <r>
    <x v="2"/>
    <x v="2"/>
    <s v=""/>
    <s v=""/>
    <s v=""/>
  </r>
  <r>
    <x v="2"/>
    <x v="2"/>
    <s v=""/>
    <s v=""/>
    <s v=""/>
  </r>
  <r>
    <x v="2"/>
    <x v="44"/>
    <n v="1.8750000000000003E-2"/>
    <n v="2.5000000000000001E-2"/>
    <n v="0.75000000000000011"/>
  </r>
  <r>
    <x v="2"/>
    <x v="45"/>
    <n v="0"/>
    <n v="2.5000000000000001E-2"/>
    <n v="0"/>
  </r>
  <r>
    <x v="2"/>
    <x v="46"/>
    <n v="0"/>
    <n v="0.05"/>
    <n v="0"/>
  </r>
  <r>
    <x v="2"/>
    <x v="47"/>
    <n v="0.02"/>
    <n v="0.02"/>
    <n v="1"/>
  </r>
  <r>
    <x v="2"/>
    <x v="48"/>
    <n v="8.3999999999999995E-3"/>
    <n v="0.02"/>
    <n v="0.42"/>
  </r>
  <r>
    <x v="2"/>
    <x v="49"/>
    <n v="0"/>
    <n v="0.02"/>
    <n v="0"/>
  </r>
  <r>
    <x v="2"/>
    <x v="50"/>
    <n v="0.03"/>
    <n v="0.03"/>
    <n v="1"/>
  </r>
  <r>
    <x v="2"/>
    <x v="51"/>
    <n v="2E-3"/>
    <n v="0.02"/>
    <n v="0.1"/>
  </r>
  <r>
    <x v="2"/>
    <x v="52"/>
    <n v="0.02"/>
    <n v="0.02"/>
    <n v="1"/>
  </r>
  <r>
    <x v="2"/>
    <x v="53"/>
    <n v="1.06E-2"/>
    <n v="0.02"/>
    <n v="0.53"/>
  </r>
  <r>
    <x v="2"/>
    <x v="54"/>
    <n v="0"/>
    <n v="0.1"/>
    <n v="0"/>
  </r>
  <r>
    <x v="2"/>
    <x v="2"/>
    <s v=""/>
    <s v=""/>
    <s v=""/>
  </r>
  <r>
    <x v="2"/>
    <x v="2"/>
    <s v=""/>
    <s v=""/>
    <s v=""/>
  </r>
  <r>
    <x v="2"/>
    <x v="55"/>
    <n v="1.2E-2"/>
    <n v="0.05"/>
    <n v="0.24"/>
  </r>
  <r>
    <x v="2"/>
    <x v="56"/>
    <n v="0"/>
    <n v="0.05"/>
    <n v="0"/>
  </r>
  <r>
    <x v="3"/>
    <x v="57"/>
    <n v="0"/>
    <n v="0.1"/>
    <n v="0"/>
  </r>
  <r>
    <x v="3"/>
    <x v="58"/>
    <n v="0.1"/>
    <n v="0.1"/>
    <n v="1"/>
  </r>
  <r>
    <x v="3"/>
    <x v="59"/>
    <n v="0"/>
    <n v="0.1"/>
    <n v="0"/>
  </r>
  <r>
    <x v="3"/>
    <x v="60"/>
    <n v="0"/>
    <n v="0.2"/>
    <n v="0"/>
  </r>
  <r>
    <x v="3"/>
    <x v="61"/>
    <n v="2.2857142857142857E-2"/>
    <n v="0.12"/>
    <n v="0.19047619047619049"/>
  </r>
  <r>
    <x v="3"/>
    <x v="2"/>
    <s v=""/>
    <s v=""/>
    <s v=""/>
  </r>
  <r>
    <x v="3"/>
    <x v="2"/>
    <s v=""/>
    <s v=""/>
    <s v=""/>
  </r>
  <r>
    <x v="3"/>
    <x v="62"/>
    <n v="8.8888888888888889E-3"/>
    <n v="0.04"/>
    <n v="0.22222222222222221"/>
  </r>
  <r>
    <x v="3"/>
    <x v="63"/>
    <n v="1.8000000000000002E-2"/>
    <n v="0.04"/>
    <n v="0.45000000000000007"/>
  </r>
  <r>
    <x v="3"/>
    <x v="64"/>
    <n v="0.3"/>
    <n v="0.3"/>
    <n v="1"/>
  </r>
  <r>
    <x v="4"/>
    <x v="65"/>
    <n v="2.8571428571428571E-2"/>
    <n v="0.05"/>
    <n v="0.5714285714285714"/>
  </r>
  <r>
    <x v="4"/>
    <x v="66"/>
    <n v="0"/>
    <n v="0.05"/>
    <n v="0"/>
  </r>
  <r>
    <x v="4"/>
    <x v="67"/>
    <n v="2.4247999999999999E-2"/>
    <n v="0.04"/>
    <n v="0.60619999999999996"/>
  </r>
  <r>
    <x v="4"/>
    <x v="68"/>
    <n v="2.6400000000000007E-2"/>
    <n v="0.08"/>
    <n v="0.33000000000000007"/>
  </r>
  <r>
    <x v="4"/>
    <x v="2"/>
    <s v=""/>
    <s v=""/>
    <s v=""/>
  </r>
  <r>
    <x v="4"/>
    <x v="69"/>
    <n v="1.8933333333333333E-2"/>
    <n v="0.08"/>
    <n v="0.23666666666666666"/>
  </r>
  <r>
    <x v="4"/>
    <x v="2"/>
    <s v=""/>
    <s v=""/>
    <s v=""/>
  </r>
  <r>
    <x v="4"/>
    <x v="70"/>
    <n v="0.04"/>
    <n v="0.04"/>
    <n v="1"/>
  </r>
  <r>
    <x v="4"/>
    <x v="71"/>
    <n v="8.5200000000000012E-2"/>
    <n v="0.12"/>
    <n v="0.71000000000000008"/>
  </r>
  <r>
    <x v="4"/>
    <x v="72"/>
    <n v="4.0500000000000001E-2"/>
    <n v="4.4999999999999998E-2"/>
    <n v="0.9"/>
  </r>
  <r>
    <x v="4"/>
    <x v="73"/>
    <n v="9.8999999999999991E-3"/>
    <n v="4.4999999999999998E-2"/>
    <n v="0.22"/>
  </r>
  <r>
    <x v="4"/>
    <x v="74"/>
    <n v="0.06"/>
    <n v="0.09"/>
    <n v="0.66666666666666663"/>
  </r>
  <r>
    <x v="4"/>
    <x v="2"/>
    <s v=""/>
    <s v=""/>
    <s v=""/>
  </r>
  <r>
    <x v="4"/>
    <x v="2"/>
    <s v=""/>
    <s v=""/>
    <s v=""/>
  </r>
  <r>
    <x v="4"/>
    <x v="75"/>
    <n v="0"/>
    <n v="0.12"/>
    <n v="0"/>
  </r>
  <r>
    <x v="4"/>
    <x v="2"/>
    <s v=""/>
    <s v=""/>
    <s v=""/>
  </r>
  <r>
    <x v="4"/>
    <x v="76"/>
    <n v="0.12"/>
    <n v="0.12"/>
    <n v="1"/>
  </r>
  <r>
    <x v="4"/>
    <x v="77"/>
    <n v="7.4999999999999997E-2"/>
    <n v="0.12"/>
    <n v="0.625"/>
  </r>
  <r>
    <x v="5"/>
    <x v="78"/>
    <n v="0"/>
    <n v="0"/>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r>
    <x v="5"/>
    <x v="2"/>
    <s v=""/>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
  <r>
    <s v="L1"/>
    <n v="17"/>
    <x v="0"/>
    <s v=""/>
    <s v="L1M1"/>
    <n v="3"/>
    <x v="0"/>
    <n v="1"/>
    <s v=""/>
    <s v="L1M1P1"/>
    <x v="0"/>
    <n v="1.4266703296703296E-2"/>
    <n v="1"/>
    <s v=""/>
  </r>
  <r>
    <s v="L1"/>
    <n v="16"/>
    <x v="0"/>
    <s v=""/>
    <s v="L1M1"/>
    <n v="2"/>
    <x v="0"/>
    <n v="1"/>
    <s v=""/>
    <s v="L1M1P2"/>
    <x v="1"/>
    <n v="9.758E-2"/>
    <n v="2"/>
    <s v=""/>
  </r>
  <r>
    <s v="L1"/>
    <n v="15"/>
    <x v="0"/>
    <s v=""/>
    <s v="L1M1"/>
    <n v="1"/>
    <x v="0"/>
    <n v="1"/>
    <n v="2.6548265236046666E-2"/>
    <s v="L1M1P3"/>
    <x v="2"/>
    <n v="2.0894622883530015E-2"/>
    <n v="3"/>
    <n v="3"/>
  </r>
  <r>
    <s v="L1"/>
    <n v="14"/>
    <x v="0"/>
    <s v=""/>
    <s v="L1M2"/>
    <n v="3"/>
    <x v="1"/>
    <n v="2"/>
    <s v=""/>
    <s v="L1M2P1"/>
    <x v="3"/>
    <n v="2.7360000000000009E-2"/>
    <n v="4"/>
    <s v=""/>
  </r>
  <r>
    <s v="L1"/>
    <n v="13"/>
    <x v="0"/>
    <s v=""/>
    <s v="L1M2"/>
    <n v="2"/>
    <x v="1"/>
    <n v="2"/>
    <s v=""/>
    <s v="L1M2P2"/>
    <x v="4"/>
    <n v="2.8084821428571431E-2"/>
    <n v="5"/>
    <s v=""/>
  </r>
  <r>
    <s v="L1"/>
    <n v="12"/>
    <x v="0"/>
    <s v=""/>
    <s v="L1M2"/>
    <n v="1"/>
    <x v="1"/>
    <n v="2"/>
    <n v="1.2422297619047623E-2"/>
    <s v="L1M2P3"/>
    <x v="5"/>
    <n v="6.6666666666666662E-3"/>
    <n v="6"/>
    <n v="6"/>
  </r>
  <r>
    <s v="L1"/>
    <n v="11"/>
    <x v="0"/>
    <s v=""/>
    <s v="L1M3"/>
    <n v="3"/>
    <x v="2"/>
    <n v="3"/>
    <s v=""/>
    <s v="L1M3P1"/>
    <x v="6"/>
    <n v="3.1167619047619048E-2"/>
    <n v="7"/>
    <s v=""/>
  </r>
  <r>
    <s v="L1"/>
    <n v="10"/>
    <x v="0"/>
    <s v=""/>
    <s v="L1M3"/>
    <n v="2"/>
    <x v="2"/>
    <n v="3"/>
    <s v=""/>
    <s v="L1M3P2"/>
    <x v="7"/>
    <n v="0"/>
    <n v="8"/>
    <s v=""/>
  </r>
  <r>
    <s v="L1"/>
    <n v="9"/>
    <x v="0"/>
    <s v=""/>
    <s v="L1M3"/>
    <n v="1"/>
    <x v="2"/>
    <n v="3"/>
    <n v="8.4835238095238106E-3"/>
    <s v="L1M3P3"/>
    <x v="8"/>
    <n v="1.1250000000000001E-2"/>
    <n v="9"/>
    <n v="9"/>
  </r>
  <r>
    <s v="L1"/>
    <n v="8"/>
    <x v="0"/>
    <s v=""/>
    <s v="L1M4"/>
    <n v="4"/>
    <x v="3"/>
    <n v="4"/>
    <s v=""/>
    <s v="L1M4P1"/>
    <x v="9"/>
    <n v="1.4999999999999999E-2"/>
    <n v="10"/>
    <s v=""/>
  </r>
  <r>
    <s v="L1"/>
    <n v="7"/>
    <x v="0"/>
    <s v=""/>
    <s v="L1M4"/>
    <n v="3"/>
    <x v="3"/>
    <n v="4"/>
    <s v=""/>
    <s v="L1M4P2"/>
    <x v="10"/>
    <n v="1.2E-2"/>
    <n v="11"/>
    <s v=""/>
  </r>
  <r>
    <s v="L1"/>
    <n v="6"/>
    <x v="0"/>
    <s v=""/>
    <s v="L1M4"/>
    <n v="2"/>
    <x v="3"/>
    <n v="4"/>
    <s v=""/>
    <s v="L1M4P3"/>
    <x v="11"/>
    <n v="6.3750000000000005E-3"/>
    <n v="12"/>
    <s v=""/>
  </r>
  <r>
    <s v="L1"/>
    <n v="5"/>
    <x v="0"/>
    <s v=""/>
    <s v="L1M4"/>
    <n v="1"/>
    <x v="3"/>
    <n v="4"/>
    <n v="6.6750000000000004E-3"/>
    <s v="L1M4P4"/>
    <x v="12"/>
    <n v="0"/>
    <n v="13"/>
    <n v="13"/>
  </r>
  <r>
    <s v="L1"/>
    <n v="4"/>
    <x v="0"/>
    <s v=""/>
    <s v="L1M5"/>
    <n v="4"/>
    <x v="4"/>
    <n v="5"/>
    <s v=""/>
    <s v="L1M5P1"/>
    <x v="13"/>
    <n v="2.8600000000000004E-2"/>
    <n v="14"/>
    <s v=""/>
  </r>
  <r>
    <s v="L1"/>
    <n v="3"/>
    <x v="0"/>
    <s v=""/>
    <s v="L1M5"/>
    <n v="3"/>
    <x v="4"/>
    <n v="5"/>
    <s v=""/>
    <s v="L1M5P2"/>
    <x v="14"/>
    <n v="2.9957575757575756E-2"/>
    <n v="15"/>
    <s v=""/>
  </r>
  <r>
    <s v="L1"/>
    <n v="2"/>
    <x v="0"/>
    <s v=""/>
    <s v="L1M5"/>
    <n v="2"/>
    <x v="4"/>
    <n v="5"/>
    <s v=""/>
    <s v="L1M5P3"/>
    <x v="15"/>
    <n v="8.7064432597105858E-3"/>
    <n v="16"/>
    <s v=""/>
  </r>
  <r>
    <s v="L1"/>
    <n v="1"/>
    <x v="0"/>
    <n v="6.8581890468075363E-2"/>
    <s v="L1M5"/>
    <n v="1"/>
    <x v="4"/>
    <n v="5"/>
    <n v="1.4452803803457271E-2"/>
    <s v="L1M5P4"/>
    <x v="16"/>
    <n v="5.000000000000001E-3"/>
    <n v="17"/>
    <n v="17"/>
  </r>
  <r>
    <s v="L2"/>
    <n v="7"/>
    <x v="1"/>
    <s v=""/>
    <s v="L2M1"/>
    <n v="2"/>
    <x v="5"/>
    <n v="6"/>
    <s v=""/>
    <s v="L2M1P1"/>
    <x v="17"/>
    <n v="9.375E-2"/>
    <n v="18"/>
    <s v=""/>
  </r>
  <r>
    <s v="L2"/>
    <n v="6"/>
    <x v="1"/>
    <s v=""/>
    <s v="L2M1"/>
    <n v="1"/>
    <x v="5"/>
    <n v="6"/>
    <n v="3.3750000000000002E-2"/>
    <s v="L2M1P2"/>
    <x v="18"/>
    <n v="7.4999999999999997E-3"/>
    <n v="19"/>
    <n v="19"/>
  </r>
  <r>
    <s v="L2"/>
    <n v="5"/>
    <x v="1"/>
    <s v=""/>
    <s v="L2M2"/>
    <n v="3"/>
    <x v="6"/>
    <n v="7"/>
    <s v=""/>
    <s v="L2M2P1"/>
    <x v="19"/>
    <n v="0.12295285714285714"/>
    <n v="20"/>
    <s v=""/>
  </r>
  <r>
    <s v="L2"/>
    <n v="4"/>
    <x v="1"/>
    <s v=""/>
    <s v="L2M2"/>
    <n v="2"/>
    <x v="6"/>
    <n v="7"/>
    <s v=""/>
    <s v="L2M2P2"/>
    <x v="20"/>
    <n v="2.525714285714286E-2"/>
    <n v="21"/>
    <s v=""/>
  </r>
  <r>
    <s v="L2"/>
    <n v="3"/>
    <x v="1"/>
    <s v=""/>
    <s v="L2M2"/>
    <n v="1"/>
    <x v="6"/>
    <n v="7"/>
    <n v="6.2736666666666663E-2"/>
    <s v="L2M2P3"/>
    <x v="21"/>
    <n v="0.04"/>
    <n v="22"/>
    <n v="22"/>
  </r>
  <r>
    <s v="L2"/>
    <n v="2"/>
    <x v="1"/>
    <s v=""/>
    <s v="L2M3"/>
    <n v="2"/>
    <x v="7"/>
    <n v="8"/>
    <s v=""/>
    <s v="L2M3P1"/>
    <x v="22"/>
    <n v="8.1250000000000003E-2"/>
    <n v="23"/>
    <s v=""/>
  </r>
  <r>
    <s v="L2"/>
    <n v="1"/>
    <x v="1"/>
    <n v="0.14223666666666668"/>
    <s v="L2M3"/>
    <n v="1"/>
    <x v="7"/>
    <n v="8"/>
    <n v="4.5749999999999999E-2"/>
    <s v="L2M3P2"/>
    <x v="23"/>
    <n v="5.6000000000000001E-2"/>
    <n v="24"/>
    <n v="24"/>
  </r>
  <r>
    <s v="L3"/>
    <n v="12"/>
    <x v="2"/>
    <s v=""/>
    <s v="L3M1"/>
    <n v="1"/>
    <x v="8"/>
    <n v="9"/>
    <n v="4.3749999999999997E-2"/>
    <s v="L3M1P1"/>
    <x v="24"/>
    <n v="0.17499999999999999"/>
    <n v="25"/>
    <n v="25"/>
  </r>
  <r>
    <s v="L3"/>
    <n v="11"/>
    <x v="2"/>
    <s v=""/>
    <s v="L3M2"/>
    <n v="4"/>
    <x v="9"/>
    <n v="10"/>
    <s v=""/>
    <s v="L3M2P1"/>
    <x v="25"/>
    <n v="0.15"/>
    <n v="26"/>
    <s v=""/>
  </r>
  <r>
    <s v="L3"/>
    <n v="10"/>
    <x v="2"/>
    <s v=""/>
    <s v="L3M2"/>
    <n v="3"/>
    <x v="9"/>
    <n v="10"/>
    <s v=""/>
    <s v="L3M2P2"/>
    <x v="26"/>
    <n v="0.05"/>
    <n v="27"/>
    <s v=""/>
  </r>
  <r>
    <s v="L3"/>
    <n v="9"/>
    <x v="2"/>
    <s v=""/>
    <s v="L3M2"/>
    <n v="2"/>
    <x v="9"/>
    <n v="10"/>
    <s v=""/>
    <s v="L3M2P3"/>
    <x v="27"/>
    <n v="1.8750000000000003E-2"/>
    <n v="28"/>
    <s v=""/>
  </r>
  <r>
    <s v="L3"/>
    <n v="8"/>
    <x v="2"/>
    <s v=""/>
    <s v="L3M2"/>
    <n v="1"/>
    <x v="9"/>
    <n v="10"/>
    <n v="5.46875E-2"/>
    <s v="L3M2P4"/>
    <x v="28"/>
    <n v="0"/>
    <n v="29"/>
    <n v="29"/>
  </r>
  <r>
    <s v="L3"/>
    <n v="7"/>
    <x v="2"/>
    <s v=""/>
    <s v="L3M3"/>
    <n v="3"/>
    <x v="10"/>
    <n v="11"/>
    <s v=""/>
    <s v="L3M3P1"/>
    <x v="29"/>
    <n v="2.8400000000000002E-2"/>
    <n v="30"/>
    <s v=""/>
  </r>
  <r>
    <s v="L3"/>
    <n v="6"/>
    <x v="2"/>
    <s v=""/>
    <s v="L3M3"/>
    <n v="2"/>
    <x v="10"/>
    <n v="11"/>
    <s v=""/>
    <s v="L3M3P2"/>
    <x v="30"/>
    <n v="0.03"/>
    <n v="31"/>
    <s v=""/>
  </r>
  <r>
    <s v="L3"/>
    <n v="5"/>
    <x v="2"/>
    <s v=""/>
    <s v="L3M3"/>
    <n v="1"/>
    <x v="10"/>
    <n v="11"/>
    <n v="2.2749999999999999E-2"/>
    <s v="L3M3P3"/>
    <x v="31"/>
    <n v="3.2599999999999997E-2"/>
    <n v="32"/>
    <n v="32"/>
  </r>
  <r>
    <s v="L3"/>
    <n v="4"/>
    <x v="2"/>
    <s v=""/>
    <s v="L3M4"/>
    <n v="4"/>
    <x v="11"/>
    <n v="12"/>
    <s v=""/>
    <s v="L3M4P1"/>
    <x v="32"/>
    <n v="0"/>
    <n v="33"/>
    <s v=""/>
  </r>
  <r>
    <s v="L3"/>
    <n v="3"/>
    <x v="2"/>
    <s v=""/>
    <s v="L3M4"/>
    <n v="3"/>
    <x v="11"/>
    <n v="12"/>
    <s v=""/>
    <s v="L3M4P2"/>
    <x v="33"/>
    <n v="2.4E-2"/>
    <n v="34"/>
    <s v=""/>
  </r>
  <r>
    <s v="L3"/>
    <n v="2"/>
    <x v="2"/>
    <s v=""/>
    <s v="L3M4"/>
    <n v="2"/>
    <x v="11"/>
    <n v="12"/>
    <s v=""/>
    <s v="L3M4P3"/>
    <x v="34"/>
    <n v="0"/>
    <n v="35"/>
    <s v=""/>
  </r>
  <r>
    <s v="L3"/>
    <n v="1"/>
    <x v="2"/>
    <n v="0.12718750000000001"/>
    <s v="L3M4"/>
    <n v="1"/>
    <x v="11"/>
    <n v="12"/>
    <n v="6.0000000000000001E-3"/>
    <s v="L3M4P4"/>
    <x v="35"/>
    <n v="0"/>
    <n v="36"/>
    <n v="36"/>
  </r>
  <r>
    <s v="L4"/>
    <n v="7"/>
    <x v="3"/>
    <s v=""/>
    <s v="L4M1"/>
    <n v="2"/>
    <x v="12"/>
    <n v="13"/>
    <s v=""/>
    <s v="L4M1P1"/>
    <x v="36"/>
    <n v="0.1"/>
    <n v="37"/>
    <s v=""/>
  </r>
  <r>
    <s v="L4"/>
    <n v="6"/>
    <x v="3"/>
    <s v=""/>
    <s v="L4M1"/>
    <n v="1"/>
    <x v="12"/>
    <n v="13"/>
    <n v="3.3333333333333333E-2"/>
    <s v="L4M1P2"/>
    <x v="37"/>
    <n v="0"/>
    <n v="38"/>
    <n v="38"/>
  </r>
  <r>
    <s v="L4"/>
    <n v="5"/>
    <x v="3"/>
    <s v=""/>
    <s v="L4M2"/>
    <n v="2"/>
    <x v="13"/>
    <n v="14"/>
    <s v=""/>
    <s v="L4M2P1"/>
    <x v="38"/>
    <n v="4.9746031746031746E-2"/>
    <n v="39"/>
    <s v=""/>
  </r>
  <r>
    <s v="L4"/>
    <n v="4"/>
    <x v="3"/>
    <s v=""/>
    <s v="L4M2"/>
    <n v="1"/>
    <x v="13"/>
    <n v="14"/>
    <n v="1.658201058201058E-2"/>
    <s v="L4M2P2"/>
    <x v="39"/>
    <n v="0"/>
    <n v="40"/>
    <n v="40"/>
  </r>
  <r>
    <s v="L4"/>
    <n v="3"/>
    <x v="3"/>
    <s v=""/>
    <s v="L4M3"/>
    <n v="3"/>
    <x v="14"/>
    <n v="15"/>
    <s v=""/>
    <s v="L4M3P1"/>
    <x v="40"/>
    <n v="0.3"/>
    <n v="41"/>
    <s v=""/>
  </r>
  <r>
    <s v="L4"/>
    <n v="2"/>
    <x v="3"/>
    <s v=""/>
    <s v="L4M3"/>
    <n v="2"/>
    <x v="14"/>
    <n v="15"/>
    <s v=""/>
    <s v="L4M3P2"/>
    <x v="41"/>
    <n v="0"/>
    <n v="42"/>
    <s v=""/>
  </r>
  <r>
    <s v="L4"/>
    <n v="1"/>
    <x v="3"/>
    <n v="0.14991534391534389"/>
    <s v="L4M3"/>
    <n v="1"/>
    <x v="14"/>
    <n v="15"/>
    <n v="9.9999999999999992E-2"/>
    <s v="L4M3P3"/>
    <x v="42"/>
    <n v="0"/>
    <n v="43"/>
    <n v="43"/>
  </r>
  <r>
    <s v="L5"/>
    <n v="12"/>
    <x v="4"/>
    <s v=""/>
    <s v="L5M1"/>
    <n v="6"/>
    <x v="15"/>
    <n v="16"/>
    <s v=""/>
    <s v="L5M1P1"/>
    <x v="43"/>
    <n v="2.8571428571428571E-2"/>
    <n v="44"/>
    <s v=""/>
  </r>
  <r>
    <s v="L5"/>
    <n v="11"/>
    <x v="4"/>
    <s v=""/>
    <s v="L5M1"/>
    <n v="5"/>
    <x v="15"/>
    <n v="16"/>
    <s v=""/>
    <s v="L5M1P2"/>
    <x v="44"/>
    <n v="5.0648000000000006E-2"/>
    <n v="45"/>
    <s v=""/>
  </r>
  <r>
    <s v="L5"/>
    <n v="10"/>
    <x v="4"/>
    <s v=""/>
    <s v="L5M1"/>
    <n v="4"/>
    <x v="15"/>
    <n v="16"/>
    <s v=""/>
    <s v="L5M1P3"/>
    <x v="45"/>
    <n v="5.8933333333333338E-2"/>
    <n v="46"/>
    <s v=""/>
  </r>
  <r>
    <s v="L5"/>
    <n v="9"/>
    <x v="4"/>
    <s v=""/>
    <s v="L5M1"/>
    <n v="3"/>
    <x v="15"/>
    <n v="16"/>
    <s v=""/>
    <s v="L5M1P4"/>
    <x v="46"/>
    <n v="8.5200000000000012E-2"/>
    <n v="47"/>
    <s v=""/>
  </r>
  <r>
    <s v="L5"/>
    <n v="8"/>
    <x v="4"/>
    <s v=""/>
    <s v="L5M1"/>
    <n v="2"/>
    <x v="15"/>
    <n v="16"/>
    <s v=""/>
    <s v="L5M1P5"/>
    <x v="47"/>
    <n v="0"/>
    <n v="48"/>
    <s v=""/>
  </r>
  <r>
    <s v="L5"/>
    <n v="7"/>
    <x v="4"/>
    <s v=""/>
    <s v="L5M1"/>
    <n v="1"/>
    <x v="15"/>
    <n v="16"/>
    <n v="9.1250920634920643E-2"/>
    <s v="L5M1P6"/>
    <x v="48"/>
    <n v="5.04E-2"/>
    <n v="49"/>
    <n v="49"/>
  </r>
  <r>
    <s v="L5"/>
    <n v="6"/>
    <x v="4"/>
    <s v=""/>
    <s v="L5M2"/>
    <n v="1"/>
    <x v="16"/>
    <n v="17"/>
    <n v="1.9999999999999997E-2"/>
    <s v="L5M2P1"/>
    <x v="49"/>
    <n v="0.06"/>
    <n v="50"/>
    <n v="50"/>
  </r>
  <r>
    <s v="L5"/>
    <n v="5"/>
    <x v="4"/>
    <s v=""/>
    <s v="L5M3"/>
    <n v="5"/>
    <x v="17"/>
    <n v="18"/>
    <s v=""/>
    <s v="L5M3P1"/>
    <x v="50"/>
    <n v="0"/>
    <n v="51"/>
    <s v=""/>
  </r>
  <r>
    <s v="L5"/>
    <n v="4"/>
    <x v="4"/>
    <s v=""/>
    <s v="L5M3"/>
    <n v="4"/>
    <x v="17"/>
    <n v="18"/>
    <s v=""/>
    <s v="L5M3P2"/>
    <x v="51"/>
    <n v="0.12"/>
    <n v="52"/>
    <s v=""/>
  </r>
  <r>
    <s v="L5"/>
    <n v="3"/>
    <x v="4"/>
    <s v=""/>
    <s v="L5M3"/>
    <n v="3"/>
    <x v="17"/>
    <n v="18"/>
    <s v=""/>
    <s v="L5M3P3"/>
    <x v="52"/>
    <n v="7.4999999999999997E-2"/>
    <n v="53"/>
    <s v=""/>
  </r>
  <r>
    <s v="L5"/>
    <n v="2"/>
    <x v="4"/>
    <s v=""/>
    <s v="L5M3"/>
    <n v="2"/>
    <x v="17"/>
    <n v="18"/>
    <s v=""/>
    <s v="L5M3P4"/>
    <x v="53"/>
    <n v="0"/>
    <n v="54"/>
    <s v=""/>
  </r>
  <r>
    <s v="L5"/>
    <n v="1"/>
    <x v="4"/>
    <n v="0.17625092063492065"/>
    <s v="L5M3"/>
    <n v="1"/>
    <x v="17"/>
    <n v="18"/>
    <n v="6.5000000000000002E-2"/>
    <s v="L5M3P5"/>
    <x v="54"/>
    <n v="0"/>
    <n v="55"/>
    <n v="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549551-35DA-4642-BB6C-CC9069BBABA0}" name="TablaDinámica4" cacheId="0" applyNumberFormats="0" applyBorderFormats="0" applyFontFormats="0" applyPatternFormats="0" applyAlignmentFormats="0" applyWidthHeightFormats="1" dataCaption="Valores" grandTotalCaption="PROMEDIO DE CUMPLIMIENTO" updatedVersion="8" minRefreshableVersion="3" useAutoFormatting="1" rowGrandTotals="0" colGrandTotals="0" itemPrintTitles="1" createdVersion="7" indent="0" outline="1" outlineData="1" multipleFieldFilters="0" rowHeaderCaption="METAS">
  <location ref="B12:C17" firstHeaderRow="1" firstDataRow="1" firstDataCol="1"/>
  <pivotFields count="5">
    <pivotField axis="axisRow" showAll="0" defaultSubtotal="0">
      <items count="6">
        <item sd="0" x="0"/>
        <item sd="0" x="1"/>
        <item sd="0" x="2"/>
        <item sd="0" x="3"/>
        <item sd="0" x="4"/>
        <item h="1" x="5"/>
      </items>
    </pivotField>
    <pivotField axis="axisRow" showAll="0" defaultSubtotal="0">
      <items count="79">
        <item h="1" x="2"/>
        <item x="0"/>
        <item x="72"/>
        <item x="6"/>
        <item x="8"/>
        <item x="11"/>
        <item x="12"/>
        <item x="13"/>
        <item x="15"/>
        <item x="16"/>
        <item x="20"/>
        <item x="23"/>
        <item x="35"/>
        <item x="36"/>
        <item x="38"/>
        <item x="40"/>
        <item x="41"/>
        <item x="44"/>
        <item x="45"/>
        <item x="46"/>
        <item x="47"/>
        <item x="48"/>
        <item x="49"/>
        <item x="50"/>
        <item x="51"/>
        <item x="52"/>
        <item x="53"/>
        <item x="55"/>
        <item x="56"/>
        <item x="57"/>
        <item x="58"/>
        <item x="59"/>
        <item x="60"/>
        <item x="62"/>
        <item x="63"/>
        <item x="64"/>
        <item x="65"/>
        <item x="66"/>
        <item x="67"/>
        <item x="70"/>
        <item x="71"/>
        <item x="73"/>
        <item x="76"/>
        <item x="1"/>
        <item x="3"/>
        <item x="4"/>
        <item x="5"/>
        <item x="7"/>
        <item x="9"/>
        <item x="10"/>
        <item x="14"/>
        <item x="17"/>
        <item x="18"/>
        <item x="19"/>
        <item x="21"/>
        <item x="22"/>
        <item x="24"/>
        <item x="25"/>
        <item x="26"/>
        <item x="27"/>
        <item x="28"/>
        <item x="29"/>
        <item x="30"/>
        <item x="31"/>
        <item x="32"/>
        <item x="33"/>
        <item x="34"/>
        <item x="37"/>
        <item x="39"/>
        <item x="42"/>
        <item x="43"/>
        <item x="54"/>
        <item x="61"/>
        <item x="68"/>
        <item x="69"/>
        <item x="74"/>
        <item x="75"/>
        <item x="77"/>
        <item x="78"/>
      </items>
    </pivotField>
    <pivotField showAll="0" defaultSubtotal="0"/>
    <pivotField showAll="0" defaultSubtotal="0"/>
    <pivotField dataField="1" showAll="0" defaultSubtotal="0"/>
  </pivotFields>
  <rowFields count="2">
    <field x="0"/>
    <field x="1"/>
  </rowFields>
  <rowItems count="5">
    <i>
      <x/>
    </i>
    <i>
      <x v="1"/>
    </i>
    <i>
      <x v="2"/>
    </i>
    <i>
      <x v="3"/>
    </i>
    <i>
      <x v="4"/>
    </i>
  </rowItems>
  <colItems count="1">
    <i/>
  </colItems>
  <dataFields count="1">
    <dataField name="Promedio de cumpli" fld="4" subtotal="average" baseField="1" baseItem="3" numFmtId="10"/>
  </dataFields>
  <formats count="27">
    <format dxfId="61">
      <pivotArea dataOnly="0" labelOnly="1" outline="0" axis="axisValues" fieldPosition="0"/>
    </format>
    <format dxfId="60">
      <pivotArea grandRow="1" outline="0" collapsedLevelsAreSubtotals="1" fieldPosition="0"/>
    </format>
    <format dxfId="59">
      <pivotArea dataOnly="0" labelOnly="1" grandRow="1" outline="0" fieldPosition="0"/>
    </format>
    <format dxfId="58">
      <pivotArea grandRow="1" outline="0" collapsedLevelsAreSubtotals="1" fieldPosition="0"/>
    </format>
    <format dxfId="57">
      <pivotArea dataOnly="0" labelOnly="1" grandRow="1" outline="0" fieldPosition="0"/>
    </format>
    <format dxfId="56">
      <pivotArea grandRow="1" outline="0" collapsedLevelsAreSubtotals="1" fieldPosition="0"/>
    </format>
    <format dxfId="55">
      <pivotArea dataOnly="0" labelOnly="1" grandRow="1" outline="0" fieldPosition="0"/>
    </format>
    <format dxfId="54">
      <pivotArea grandRow="1" outline="0" collapsedLevelsAreSubtotals="1" fieldPosition="0"/>
    </format>
    <format dxfId="53">
      <pivotArea dataOnly="0" labelOnly="1" grandRow="1" outline="0" fieldPosition="0"/>
    </format>
    <format dxfId="52">
      <pivotArea dataOnly="0" labelOnly="1" outline="0" axis="axisValues" fieldPosition="0"/>
    </format>
    <format dxfId="51">
      <pivotArea field="0" type="button" dataOnly="0" labelOnly="1" outline="0" axis="axisRow" fieldPosition="0"/>
    </format>
    <format dxfId="50">
      <pivotArea outline="0" fieldPosition="0">
        <references count="1">
          <reference field="4294967294" count="1">
            <x v="0"/>
          </reference>
        </references>
      </pivotArea>
    </format>
    <format dxfId="49">
      <pivotArea field="0" type="button" dataOnly="0" labelOnly="1" outline="0" axis="axisRow" fieldPosition="0"/>
    </format>
    <format dxfId="48">
      <pivotArea field="0" type="button" dataOnly="0" labelOnly="1" outline="0" axis="axisRow" fieldPosition="0"/>
    </format>
    <format dxfId="47">
      <pivotArea dataOnly="0" labelOnly="1" outline="0" axis="axisValues" fieldPosition="0"/>
    </format>
    <format dxfId="46">
      <pivotArea type="all" dataOnly="0" outline="0" fieldPosition="0"/>
    </format>
    <format dxfId="45">
      <pivotArea field="0" type="button" dataOnly="0" labelOnly="1" outline="0" axis="axisRow" fieldPosition="0"/>
    </format>
    <format dxfId="44">
      <pivotArea dataOnly="0" labelOnly="1" outline="0" axis="axisValues" fieldPosition="0"/>
    </format>
    <format dxfId="43">
      <pivotArea type="all" dataOnly="0" outline="0" fieldPosition="0"/>
    </format>
    <format dxfId="42">
      <pivotArea field="0" type="button" dataOnly="0" labelOnly="1" outline="0" axis="axisRow" fieldPosition="0"/>
    </format>
    <format dxfId="41">
      <pivotArea dataOnly="0" labelOnly="1" outline="0" axis="axisValues" fieldPosition="0"/>
    </format>
    <format dxfId="40">
      <pivotArea type="all" dataOnly="0" outline="0" fieldPosition="0"/>
    </format>
    <format dxfId="39">
      <pivotArea field="0" type="button" dataOnly="0" labelOnly="1" outline="0" axis="axisRow" fieldPosition="0"/>
    </format>
    <format dxfId="38">
      <pivotArea dataOnly="0" labelOnly="1" outline="0" axis="axisValues" fieldPosition="0"/>
    </format>
    <format dxfId="37">
      <pivotArea type="all" dataOnly="0" outline="0" fieldPosition="0"/>
    </format>
    <format dxfId="36">
      <pivotArea field="0" type="button" dataOnly="0" labelOnly="1" outline="0" axis="axisRow" fieldPosition="0"/>
    </format>
    <format dxfId="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17ABD9-2096-4C4B-A6F3-AEB3D5EAD0A0}" name="TablaDinámica5" cacheId="1"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outline="1" outlineData="1" compactData="0" rowHeaderCaption="Líneas">
  <location ref="G12:L17" firstHeaderRow="0" firstDataRow="1" firstDataCol="3"/>
  <pivotFields count="14">
    <pivotField compact="0" showAll="0" defaultSubtotal="0"/>
    <pivotField compact="0" showAll="0" defaultSubtotal="0"/>
    <pivotField axis="axisRow" compact="0" showAll="0" defaultSubtotal="0">
      <items count="5">
        <item sd="0" x="0"/>
        <item sd="0" x="1"/>
        <item sd="0" x="2"/>
        <item sd="0" x="3"/>
        <item sd="0" x="4"/>
      </items>
    </pivotField>
    <pivotField dataField="1" compact="0" showAll="0" defaultSubtotal="0"/>
    <pivotField compact="0" showAll="0" defaultSubtotal="0"/>
    <pivotField compact="0" showAll="0" defaultSubtotal="0"/>
    <pivotField axis="axisRow" compact="0" showAll="0" defaultSubtotal="0">
      <items count="18">
        <item x="5"/>
        <item x="15"/>
        <item x="12"/>
        <item sd="0" x="9"/>
        <item x="13"/>
        <item x="16"/>
        <item x="6"/>
        <item x="1"/>
        <item x="17"/>
        <item x="7"/>
        <item x="2"/>
        <item x="14"/>
        <item sd="0" x="11"/>
        <item x="4"/>
        <item x="8"/>
        <item x="10"/>
        <item x="0"/>
        <item x="3"/>
      </items>
    </pivotField>
    <pivotField compact="0" showAll="0" defaultSubtotal="0"/>
    <pivotField dataField="1" compact="0" showAll="0" defaultSubtotal="0"/>
    <pivotField compact="0" showAll="0" defaultSubtotal="0"/>
    <pivotField axis="axisRow" compact="0" showAll="0" defaultSubtotal="0">
      <items count="55">
        <item x="3"/>
        <item x="19"/>
        <item x="17"/>
        <item x="29"/>
        <item x="25"/>
        <item x="0"/>
        <item x="14"/>
        <item x="23"/>
        <item x="26"/>
        <item x="4"/>
        <item x="18"/>
        <item x="5"/>
        <item x="2"/>
        <item x="27"/>
        <item x="28"/>
        <item x="6"/>
        <item x="7"/>
        <item x="8"/>
        <item x="9"/>
        <item x="10"/>
        <item x="11"/>
        <item x="12"/>
        <item x="13"/>
        <item x="15"/>
        <item x="16"/>
        <item x="22"/>
        <item x="24"/>
        <item x="32"/>
        <item x="33"/>
        <item x="35"/>
        <item x="36"/>
        <item x="37"/>
        <item x="38"/>
        <item x="39"/>
        <item x="40"/>
        <item x="41"/>
        <item x="43"/>
        <item x="44"/>
        <item x="46"/>
        <item x="49"/>
        <item x="50"/>
        <item x="51"/>
        <item x="52"/>
        <item x="53"/>
        <item x="54"/>
        <item x="1"/>
        <item x="20"/>
        <item x="21"/>
        <item x="30"/>
        <item x="31"/>
        <item x="34"/>
        <item x="42"/>
        <item x="45"/>
        <item x="47"/>
        <item x="48"/>
      </items>
    </pivotField>
    <pivotField dataField="1" compact="0" numFmtId="10" showAll="0" defaultSubtotal="0"/>
    <pivotField compact="0" subtotalTop="0" showAll="0" defaultSubtotal="0"/>
    <pivotField compact="0" subtotalTop="0" showAll="0" defaultSubtotal="0"/>
  </pivotFields>
  <rowFields count="3">
    <field x="2"/>
    <field x="6"/>
    <field x="10"/>
  </rowFields>
  <rowItems count="5">
    <i>
      <x/>
    </i>
    <i>
      <x v="1"/>
    </i>
    <i>
      <x v="2"/>
    </i>
    <i>
      <x v="3"/>
    </i>
    <i>
      <x v="4"/>
    </i>
  </rowItems>
  <colFields count="1">
    <field x="-2"/>
  </colFields>
  <colItems count="3">
    <i>
      <x/>
    </i>
    <i i="1">
      <x v="1"/>
    </i>
    <i i="2">
      <x v="2"/>
    </i>
  </colItems>
  <dataFields count="3">
    <dataField name="Cumplimiento línea" fld="3" baseField="2" baseItem="0" numFmtId="10"/>
    <dataField name="Cumplimiento motor" fld="8" baseField="2" baseItem="0" numFmtId="10"/>
    <dataField name="Cumplimiento proyecto" fld="11" baseField="2" baseItem="0" numFmtId="10"/>
  </dataFields>
  <formats count="69">
    <format dxfId="130">
      <pivotArea type="all" dataOnly="0" outline="0" fieldPosition="0"/>
    </format>
    <format dxfId="129">
      <pivotArea field="2" type="button" dataOnly="0" labelOnly="1" outline="0" axis="axisRow" fieldPosition="0"/>
    </format>
    <format dxfId="128">
      <pivotArea dataOnly="0" labelOnly="1" fieldPosition="0">
        <references count="1">
          <reference field="2" count="0"/>
        </references>
      </pivotArea>
    </format>
    <format dxfId="127">
      <pivotArea dataOnly="0" labelOnly="1" grandRow="1" outline="0" fieldPosition="0"/>
    </format>
    <format dxfId="126">
      <pivotArea dataOnly="0" labelOnly="1" fieldPosition="0">
        <references count="2">
          <reference field="2" count="1" selected="0">
            <x v="0"/>
          </reference>
          <reference field="6" count="3">
            <x v="7"/>
            <x v="10"/>
            <x v="13"/>
          </reference>
        </references>
      </pivotArea>
    </format>
    <format dxfId="125">
      <pivotArea dataOnly="0" labelOnly="1" fieldPosition="0">
        <references count="2">
          <reference field="2" count="1" selected="0">
            <x v="1"/>
          </reference>
          <reference field="6" count="3">
            <x v="0"/>
            <x v="6"/>
            <x v="9"/>
          </reference>
        </references>
      </pivotArea>
    </format>
    <format dxfId="124">
      <pivotArea dataOnly="0" labelOnly="1" fieldPosition="0">
        <references count="2">
          <reference field="2" count="1" selected="0">
            <x v="2"/>
          </reference>
          <reference field="6" count="2">
            <x v="3"/>
            <x v="12"/>
          </reference>
        </references>
      </pivotArea>
    </format>
    <format dxfId="123">
      <pivotArea dataOnly="0" labelOnly="1" fieldPosition="0">
        <references count="2">
          <reference field="2" count="1" selected="0">
            <x v="3"/>
          </reference>
          <reference field="6" count="3">
            <x v="2"/>
            <x v="4"/>
            <x v="11"/>
          </reference>
        </references>
      </pivotArea>
    </format>
    <format dxfId="122">
      <pivotArea dataOnly="0" labelOnly="1" fieldPosition="0">
        <references count="2">
          <reference field="2" count="1" selected="0">
            <x v="4"/>
          </reference>
          <reference field="6" count="3">
            <x v="1"/>
            <x v="5"/>
            <x v="8"/>
          </reference>
        </references>
      </pivotArea>
    </format>
    <format dxfId="121">
      <pivotArea dataOnly="0" labelOnly="1" fieldPosition="0">
        <references count="3">
          <reference field="2" count="1" selected="0">
            <x v="0"/>
          </reference>
          <reference field="6" count="1" selected="0">
            <x v="7"/>
          </reference>
          <reference field="10" count="3">
            <x v="0"/>
            <x v="9"/>
            <x v="11"/>
          </reference>
        </references>
      </pivotArea>
    </format>
    <format dxfId="120">
      <pivotArea dataOnly="0" labelOnly="1" fieldPosition="0">
        <references count="3">
          <reference field="2" count="1" selected="0">
            <x v="0"/>
          </reference>
          <reference field="6" count="1" selected="0">
            <x v="13"/>
          </reference>
          <reference field="10" count="1">
            <x v="6"/>
          </reference>
        </references>
      </pivotArea>
    </format>
    <format dxfId="119">
      <pivotArea dataOnly="0" labelOnly="1" fieldPosition="0">
        <references count="3">
          <reference field="2" count="1" selected="0">
            <x v="1"/>
          </reference>
          <reference field="6" count="1" selected="0">
            <x v="0"/>
          </reference>
          <reference field="10" count="2">
            <x v="2"/>
            <x v="10"/>
          </reference>
        </references>
      </pivotArea>
    </format>
    <format dxfId="118">
      <pivotArea dataOnly="0" labelOnly="1" fieldPosition="0">
        <references count="3">
          <reference field="2" count="1" selected="0">
            <x v="1"/>
          </reference>
          <reference field="6" count="1" selected="0">
            <x v="6"/>
          </reference>
          <reference field="10" count="1">
            <x v="1"/>
          </reference>
        </references>
      </pivotArea>
    </format>
    <format dxfId="117">
      <pivotArea dataOnly="0" labelOnly="1" fieldPosition="0">
        <references count="3">
          <reference field="2" count="1" selected="0">
            <x v="1"/>
          </reference>
          <reference field="6" count="1" selected="0">
            <x v="9"/>
          </reference>
          <reference field="10" count="1">
            <x v="7"/>
          </reference>
        </references>
      </pivotArea>
    </format>
    <format dxfId="116">
      <pivotArea dataOnly="0" labelOnly="1" fieldPosition="0">
        <references count="3">
          <reference field="2" count="1" selected="0">
            <x v="2"/>
          </reference>
          <reference field="6" count="1" selected="0">
            <x v="3"/>
          </reference>
          <reference field="10" count="4">
            <x v="4"/>
            <x v="8"/>
            <x v="13"/>
            <x v="14"/>
          </reference>
        </references>
      </pivotArea>
    </format>
    <format dxfId="115">
      <pivotArea outline="0" fieldPosition="0">
        <references count="1">
          <reference field="4294967294" count="1">
            <x v="2"/>
          </reference>
        </references>
      </pivotArea>
    </format>
    <format dxfId="114">
      <pivotArea field="2" type="button" dataOnly="0" labelOnly="1" outline="0" axis="axisRow" fieldPosition="0"/>
    </format>
    <format dxfId="113">
      <pivotArea field="6" type="button" dataOnly="0" labelOnly="1" outline="0" axis="axisRow" fieldPosition="1"/>
    </format>
    <format dxfId="112">
      <pivotArea field="10" type="button" dataOnly="0" labelOnly="1" outline="0" axis="axisRow" fieldPosition="2"/>
    </format>
    <format dxfId="111">
      <pivotArea dataOnly="0" labelOnly="1" outline="0" axis="axisValues" fieldPosition="0"/>
    </format>
    <format dxfId="110">
      <pivotArea field="2" type="button" dataOnly="0" labelOnly="1" outline="0" axis="axisRow" fieldPosition="0"/>
    </format>
    <format dxfId="109">
      <pivotArea field="6" type="button" dataOnly="0" labelOnly="1" outline="0" axis="axisRow" fieldPosition="1"/>
    </format>
    <format dxfId="108">
      <pivotArea field="10" type="button" dataOnly="0" labelOnly="1" outline="0" axis="axisRow" fieldPosition="2"/>
    </format>
    <format dxfId="107">
      <pivotArea dataOnly="0" labelOnly="1" outline="0" axis="axisValues" fieldPosition="0"/>
    </format>
    <format dxfId="106">
      <pivotArea grandRow="1" outline="0" collapsedLevelsAreSubtotals="1" fieldPosition="0"/>
    </format>
    <format dxfId="105">
      <pivotArea dataOnly="0" labelOnly="1" grandRow="1" outline="0" fieldPosition="0"/>
    </format>
    <format dxfId="104">
      <pivotArea grandRow="1" outline="0" collapsedLevelsAreSubtotals="1" fieldPosition="0"/>
    </format>
    <format dxfId="103">
      <pivotArea dataOnly="0" labelOnly="1" grandRow="1" outline="0" fieldPosition="0"/>
    </format>
    <format dxfId="102">
      <pivotArea outline="0" collapsedLevelsAreSubtotals="1" fieldPosition="0"/>
    </format>
    <format dxfId="101">
      <pivotArea dataOnly="0" labelOnly="1" outline="0" fieldPosition="0">
        <references count="1">
          <reference field="2" count="0"/>
        </references>
      </pivotArea>
    </format>
    <format dxfId="100">
      <pivotArea dataOnly="0" labelOnly="1" grandRow="1" outline="0" fieldPosition="0"/>
    </format>
    <format dxfId="99">
      <pivotArea outline="0" collapsedLevelsAreSubtotals="1" fieldPosition="0"/>
    </format>
    <format dxfId="98">
      <pivotArea dataOnly="0" labelOnly="1" outline="0" fieldPosition="0">
        <references count="1">
          <reference field="2" count="0"/>
        </references>
      </pivotArea>
    </format>
    <format dxfId="97">
      <pivotArea dataOnly="0" labelOnly="1" grandRow="1" outline="0" fieldPosition="0"/>
    </format>
    <format dxfId="96">
      <pivotArea outline="0" collapsedLevelsAreSubtotals="1" fieldPosition="0"/>
    </format>
    <format dxfId="95">
      <pivotArea dataOnly="0" labelOnly="1" outline="0" fieldPosition="0">
        <references count="1">
          <reference field="2" count="0"/>
        </references>
      </pivotArea>
    </format>
    <format dxfId="94">
      <pivotArea dataOnly="0" labelOnly="1" grandRow="1" outline="0" fieldPosition="0"/>
    </format>
    <format dxfId="93">
      <pivotArea field="10" type="button" dataOnly="0" labelOnly="1" outline="0" axis="axisRow" fieldPosition="2"/>
    </format>
    <format dxfId="92">
      <pivotArea dataOnly="0" labelOnly="1" outline="0" axis="axisValues" fieldPosition="0"/>
    </format>
    <format dxfId="91">
      <pivotArea outline="0" fieldPosition="0">
        <references count="1">
          <reference field="4294967294" count="1">
            <x v="1"/>
          </reference>
        </references>
      </pivotArea>
    </format>
    <format dxfId="90">
      <pivotArea outline="0" fieldPosition="0">
        <references count="1">
          <reference field="4294967294" count="1">
            <x v="0"/>
          </reference>
        </references>
      </pivotArea>
    </format>
    <format dxfId="89">
      <pivotArea field="2" type="button" dataOnly="0" labelOnly="1" outline="0" axis="axisRow" fieldPosition="0"/>
    </format>
    <format dxfId="88">
      <pivotArea dataOnly="0" labelOnly="1" outline="0" fieldPosition="0">
        <references count="1">
          <reference field="4294967294" count="1">
            <x v="0"/>
          </reference>
        </references>
      </pivotArea>
    </format>
    <format dxfId="87">
      <pivotArea dataOnly="0" labelOnly="1" outline="0" fieldPosition="0">
        <references count="1">
          <reference field="4294967294" count="2">
            <x v="1"/>
            <x v="2"/>
          </reference>
        </references>
      </pivotArea>
    </format>
    <format dxfId="86">
      <pivotArea dataOnly="0" labelOnly="1" outline="0" fieldPosition="0">
        <references count="1">
          <reference field="4294967294" count="1">
            <x v="0"/>
          </reference>
        </references>
      </pivotArea>
    </format>
    <format dxfId="85">
      <pivotArea type="all" dataOnly="0" outline="0" fieldPosition="0"/>
    </format>
    <format dxfId="84">
      <pivotArea outline="0" collapsedLevelsAreSubtotals="1" fieldPosition="0"/>
    </format>
    <format dxfId="83">
      <pivotArea field="2" type="button" dataOnly="0" labelOnly="1" outline="0" axis="axisRow" fieldPosition="0"/>
    </format>
    <format dxfId="82">
      <pivotArea field="6" type="button" dataOnly="0" labelOnly="1" outline="0" axis="axisRow" fieldPosition="1"/>
    </format>
    <format dxfId="81">
      <pivotArea field="10" type="button" dataOnly="0" labelOnly="1" outline="0" axis="axisRow" fieldPosition="2"/>
    </format>
    <format dxfId="80">
      <pivotArea dataOnly="0" labelOnly="1" outline="0" fieldPosition="0">
        <references count="1">
          <reference field="2" count="0"/>
        </references>
      </pivotArea>
    </format>
    <format dxfId="79">
      <pivotArea dataOnly="0" labelOnly="1" outline="0" fieldPosition="0">
        <references count="1">
          <reference field="4294967294" count="3">
            <x v="0"/>
            <x v="1"/>
            <x v="2"/>
          </reference>
        </references>
      </pivotArea>
    </format>
    <format dxfId="78">
      <pivotArea type="all" dataOnly="0" outline="0" fieldPosition="0"/>
    </format>
    <format dxfId="77">
      <pivotArea outline="0" collapsedLevelsAreSubtotals="1" fieldPosition="0"/>
    </format>
    <format dxfId="76">
      <pivotArea field="2" type="button" dataOnly="0" labelOnly="1" outline="0" axis="axisRow" fieldPosition="0"/>
    </format>
    <format dxfId="75">
      <pivotArea field="6" type="button" dataOnly="0" labelOnly="1" outline="0" axis="axisRow" fieldPosition="1"/>
    </format>
    <format dxfId="74">
      <pivotArea field="10" type="button" dataOnly="0" labelOnly="1" outline="0" axis="axisRow" fieldPosition="2"/>
    </format>
    <format dxfId="73">
      <pivotArea dataOnly="0" labelOnly="1" outline="0" fieldPosition="0">
        <references count="1">
          <reference field="2" count="0"/>
        </references>
      </pivotArea>
    </format>
    <format dxfId="72">
      <pivotArea dataOnly="0" labelOnly="1" outline="0" fieldPosition="0">
        <references count="1">
          <reference field="4294967294" count="3">
            <x v="0"/>
            <x v="1"/>
            <x v="2"/>
          </reference>
        </references>
      </pivotArea>
    </format>
    <format dxfId="71">
      <pivotArea dataOnly="0" labelOnly="1" outline="0" fieldPosition="0">
        <references count="1">
          <reference field="4294967294" count="1">
            <x v="1"/>
          </reference>
        </references>
      </pivotArea>
    </format>
    <format dxfId="70">
      <pivotArea field="2" type="button" dataOnly="0" labelOnly="1" outline="0" axis="axisRow" fieldPosition="0"/>
    </format>
    <format dxfId="69">
      <pivotArea field="6" type="button" dataOnly="0" labelOnly="1" outline="0" axis="axisRow" fieldPosition="1"/>
    </format>
    <format dxfId="68">
      <pivotArea field="10" type="button" dataOnly="0" labelOnly="1" outline="0" axis="axisRow" fieldPosition="2"/>
    </format>
    <format dxfId="67">
      <pivotArea dataOnly="0" labelOnly="1" outline="0" fieldPosition="0">
        <references count="1">
          <reference field="4294967294" count="3">
            <x v="0"/>
            <x v="1"/>
            <x v="2"/>
          </reference>
        </references>
      </pivotArea>
    </format>
    <format dxfId="66">
      <pivotArea field="2" type="button" dataOnly="0" labelOnly="1" outline="0" axis="axisRow" fieldPosition="0"/>
    </format>
    <format dxfId="65">
      <pivotArea field="6" type="button" dataOnly="0" labelOnly="1" outline="0" axis="axisRow" fieldPosition="1"/>
    </format>
    <format dxfId="64">
      <pivotArea field="10" type="button" dataOnly="0" labelOnly="1" outline="0" axis="axisRow" fieldPosition="2"/>
    </format>
    <format dxfId="63">
      <pivotArea dataOnly="0" labelOnly="1" outline="0" fieldPosition="0">
        <references count="1">
          <reference field="4294967294" count="3">
            <x v="0"/>
            <x v="1"/>
            <x v="2"/>
          </reference>
        </references>
      </pivotArea>
    </format>
    <format dxfId="6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CABC1E-F246-4857-9DF4-473BD7C6A364}" name="Tabla4" displayName="Tabla4" ref="D199:L365" totalsRowShown="0" headerRowDxfId="34">
  <autoFilter ref="D199:L365" xr:uid="{E0CABC1E-F246-4857-9DF4-473BD7C6A364}"/>
  <tableColumns count="9">
    <tableColumn id="1" xr3:uid="{813E25C5-6834-4617-ACD4-17CA2FAD95B7}" name="FILA">
      <calculatedColumnFormula>FORMULACIÓN!A12</calculatedColumnFormula>
    </tableColumn>
    <tableColumn id="2" xr3:uid="{46873E7A-EC3D-4B8D-B13E-04292D287205}" name="REP" dataDxfId="33">
      <calculatedColumnFormula>COUNTIF($C$200:C200,C200)</calculatedColumnFormula>
    </tableColumn>
    <tableColumn id="3" xr3:uid="{3135B6C1-EC71-4EF1-892B-FFA25EEAC191}" name="ID">
      <calculatedColumnFormula>'SEGUIMIENTO Y EVALUACIÓN'!AL12&amp;"GOAL"&amp;LEN(FORMULACIÓN!F12)</calculatedColumnFormula>
    </tableColumn>
    <tableColumn id="4" xr3:uid="{D55221F5-F3D0-4187-92EE-E79BC31AB6D0}" name="IDLINE">
      <calculatedColumnFormula>LEFT(F200,2)</calculatedColumnFormula>
    </tableColumn>
    <tableColumn id="5" xr3:uid="{B4B7DF3A-0884-4A60-B13B-9CF53A6004AF}" name="LINE">
      <calculatedColumnFormula>IFERROR(INDEX(lin,VLOOKUP(G200,$E$191:$F$195,2,FALSE),1),"")</calculatedColumnFormula>
    </tableColumn>
    <tableColumn id="6" xr3:uid="{F2223C8A-9AFB-41B9-A3F4-8649F1FAB273}" name="META">
      <calculatedColumnFormula>IF(E200=1,INDEX(FORMULACIÓN!$F$12:$F$261,Lists!D200,1),"")</calculatedColumnFormula>
    </tableColumn>
    <tableColumn id="7" xr3:uid="{B31EFD1F-DF8A-44B1-BA4D-29FB9BFF14EB}" name="res.pond.meta" dataDxfId="32" dataCellStyle="Porcentaje">
      <calculatedColumnFormula>IF(E200=1,SUMIF($F$200:$F$365,F200,'SEGUIMIENTO Y EVALUACIÓN'!$AV$12:$AV$261),"")</calculatedColumnFormula>
    </tableColumn>
    <tableColumn id="9" xr3:uid="{34453752-BD85-417E-855B-BEFA43EF280F}" name="pond." dataDxfId="31" dataCellStyle="Porcentaje">
      <calculatedColumnFormula>IF(E200=1,SUMIF($F$200:$F$365,F200,FORMULACIÓN!$S$12:$S$261),"")</calculatedColumnFormula>
    </tableColumn>
    <tableColumn id="10" xr3:uid="{E9CE9D3C-B090-469C-809E-E0D9A4AE594B}" name="cumpli" dataDxfId="30" dataCellStyle="Porcentaje">
      <calculatedColumnFormula>IFERROR(Tabla4[[#This Row],[res.pond.meta]]/Tabla4[[#This Row],[pond.]],"")</calculatedColumnFormula>
    </tableColumn>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65509CB-042A-4A00-B3F0-60D001220A06}" name="Tabla5" displayName="Tabla5" ref="E190:F195" totalsRowShown="0" headerRowDxfId="29">
  <autoFilter ref="E190:F195" xr:uid="{965509CB-042A-4A00-B3F0-60D001220A06}"/>
  <tableColumns count="2">
    <tableColumn id="1" xr3:uid="{DB31329B-3A7E-4526-9D67-CE07FE0D1C92}" name="ID" dataDxfId="28"/>
    <tableColumn id="2" xr3:uid="{0EB21FB2-DF0C-4C5D-885F-5A5179308F92}" name="VAL"/>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232855D-C4C1-4BAA-913F-FEDF947FB93D}" name="Tabla2" displayName="Tabla2" ref="A199:A399" totalsRowShown="0">
  <autoFilter ref="A199:A399" xr:uid="{B232855D-C4C1-4BAA-913F-FEDF947FB93D}"/>
  <tableColumns count="1">
    <tableColumn id="1" xr3:uid="{65380D03-BA07-4900-AC4D-2A81BC64EB71}" name="metas">
      <calculatedColumnFormula>LEFT(FORMULACIÓN!F12,100)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E481B8-F5C4-48EE-AF72-80A3427D3FE9}" name="Tabla1" displayName="Tabla1" ref="A30:N86" totalsRowCount="1">
  <autoFilter ref="A30:N85" xr:uid="{0D3346C2-7BBE-41BA-B17C-497DA2B61267}"/>
  <tableColumns count="14">
    <tableColumn id="1" xr3:uid="{B020DD9F-C9BD-4DA1-9CC4-18554B3BE613}" name="id.L" totalsRowLabel="Total" dataDxfId="27">
      <calculatedColumnFormula>LEFT(C31,2)</calculatedColumnFormula>
    </tableColumn>
    <tableColumn id="25" xr3:uid="{4BC5B752-7412-4F38-9154-77D90AB401A2}" name="rep.l" dataDxfId="26">
      <calculatedColumnFormula>COUNTIF($C31:C$231,C31)</calculatedColumnFormula>
    </tableColumn>
    <tableColumn id="2" xr3:uid="{7E45DED0-800F-49A1-AD25-29A0C67E5A2A}" name="Línea" dataDxfId="25">
      <calculatedColumnFormula>IFERROR(INDEX($A$14:$E$20,1,IFERROR(MATCH(RIGHT(G31,LEN(G31)-5),$A$15:$E$15,0),0)+IFERROR(MATCH(RIGHT(G31,LEN(G31)-5),$A$16:$E$16,0),0)+IFERROR(MATCH(RIGHT(G31,LEN(G31)-5),$A$17:$E$17,0),0)+IFERROR(MATCH(RIGHT(G31,LEN(G31)-5),$A$18:$E$18,0),0)+IFERROR(MATCH(RIGHT(G31,LEN(G31)-5),$A$19:$E$19,0),0)),"!!!!!!!")</calculatedColumnFormula>
    </tableColumn>
    <tableColumn id="3" xr3:uid="{0CAB91D5-AC64-4F86-80A7-601B52ECECA1}" name="val.Linea" dataDxfId="24" totalsRowDxfId="23" dataCellStyle="Porcentaje">
      <calculatedColumnFormula>IFERROR(IF(B31=1,SUMIF($C$31:$C$231,C31,$I$31:$I$231),""),"")</calculatedColumnFormula>
    </tableColumn>
    <tableColumn id="4" xr3:uid="{89066B71-A6E9-4AE1-B34B-A819F816FAAA}" name="id.M" dataDxfId="22">
      <calculatedColumnFormula>A31&amp;LEFT(G31,2)</calculatedColumnFormula>
    </tableColumn>
    <tableColumn id="23" xr3:uid="{BB2B756D-C0BB-47F4-9EA5-B9FA35C5D43E}" name="rep" dataDxfId="21">
      <calculatedColumnFormula>COUNTIF(G31:$G$231,G31)</calculatedColumnFormula>
    </tableColumn>
    <tableColumn id="5" xr3:uid="{6C51CDD1-3CEC-417B-BD1C-F8C01998E2C7}" name="Motor" dataDxfId="20">
      <calculatedColumnFormula>IFERROR(INDEX(rang,IF(H31=0,0,1),H31),"!!!!!!!")</calculatedColumnFormula>
    </tableColumn>
    <tableColumn id="11" xr3:uid="{BD3D9A76-462B-415A-8211-32C4D45B5CE5}" name="fila" dataDxfId="19">
      <calculatedColumnFormula>(IFERROR(MATCH(RIGHT($K31,LEN($K31)-5),$A$3:$R$3,0),0)+IFERROR(MATCH(RIGHT($K31,LEN($K31)-5),$A$4:$R$4,0),0)+IFERROR(MATCH(RIGHT($K31,LEN($K31)-5),$A$5:$R$5,0),0)+IFERROR(MATCH(RIGHT($K31,LEN($K31)-5),$A$6:$R$6,0),0)+IFERROR(MATCH(RIGHT($K31,LEN($K31)-5),$A$7:$R$7,0),0)+IFERROR(MATCH(RIGHT($K31,LEN($K31)-5),$A$8:$R$8,0),0)+IFERROR(MATCH(RIGHT(RIGHT($K31,LEN($K31)-5),LEN($K31)-5),$A$9:$R$9,0),0)+IFERROR(MATCH(RIGHT($K31,LEN($K31)-5),$A$10:$R$10,0),0)+IFERROR(MATCH(RIGHT($K31,LEN($K31)-5),$A$11:$R$11,0),0))</calculatedColumnFormula>
    </tableColumn>
    <tableColumn id="6" xr3:uid="{F9835104-CD3E-44B4-BE83-1534F62A53EE}" name="val.motor" dataDxfId="18" totalsRowDxfId="17" dataCellStyle="Porcentaje">
      <calculatedColumnFormula>IFERROR(IF(F31=1,VLOOKUP(E31,$S$31:$U$63,3,FALSE)*SUMIF($G$31:$G$85,G31,$L$31:$L$85),""),"")</calculatedColumnFormula>
    </tableColumn>
    <tableColumn id="7" xr3:uid="{09FC2444-5EB0-429B-A0C0-CD2E88346C6F}" name="Id.p" dataDxfId="16">
      <calculatedColumnFormula>E31&amp;LEFT(K31,2)</calculatedColumnFormula>
    </tableColumn>
    <tableColumn id="8" xr3:uid="{7D989D5E-9F29-4B88-A1C2-2B0547881968}" name="Proyecto" dataDxfId="15" totalsRowDxfId="14"/>
    <tableColumn id="10" xr3:uid="{FAAF3C81-09A3-4C05-9CB4-01BF0B4A6315}" name="val.proye" totalsRowFunction="sum" dataDxfId="13" totalsRowDxfId="12" dataCellStyle="Porcentaje">
      <calculatedColumnFormula>SUMIF('SEGUIMIENTO Y EVALUACIÓN'!$AL$12:$AL$261,J31,'SEGUIMIENTO Y EVALUACIÓN'!$AV$12:$AV$261)</calculatedColumnFormula>
    </tableColumn>
    <tableColumn id="9" xr3:uid="{22AD65C2-4C8F-43F3-AAE2-61DCD3AD0246}" name="#" dataDxfId="11" dataCellStyle="Porcentaje"/>
    <tableColumn id="12" xr3:uid="{CEAFF512-AF37-45C1-B2AB-5108FE229974}" name="Fil.filtro" dataDxfId="10" dataCellStyle="Porcentaje">
      <calculatedColumnFormula>IF(F31=1,Tabla1[[#This Row],['#]],"")</calculatedColumnFormula>
    </tableColumn>
  </tableColumns>
  <tableStyleInfo name="TableStyleLight9"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59" dT="2024-04-17T20:45:07.48" personId="{BF2069A4-70D5-4977-B68A-35D16AD3D232}" id="{671F8B88-6F67-4D4F-9957-094985609CB5}">
    <text>El cumplimiento del 2023 fue del 60% al igual que la línea del 2021, la meta es estar por encima del 60% hasta llegar al 80%</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7D31-B891-4D1E-AC94-9CEBA6A36EAA}">
  <sheetPr>
    <tabColor indexed="48"/>
  </sheetPr>
  <dimension ref="A1:L267"/>
  <sheetViews>
    <sheetView showGridLines="0" zoomScale="70" zoomScaleNormal="70" workbookViewId="0">
      <selection activeCell="A10" sqref="A10:K10"/>
    </sheetView>
  </sheetViews>
  <sheetFormatPr baseColWidth="10" defaultColWidth="11.42578125" defaultRowHeight="12.75"/>
  <cols>
    <col min="1" max="1" width="4.85546875" style="134" customWidth="1"/>
    <col min="2" max="2" width="4.42578125" style="134" customWidth="1"/>
    <col min="3" max="11" width="11.42578125" style="134"/>
    <col min="12" max="12" width="4.42578125" style="134" customWidth="1"/>
  </cols>
  <sheetData>
    <row r="1" spans="1:12" ht="4.5" customHeight="1" thickBot="1">
      <c r="A1" s="135"/>
      <c r="B1" s="136"/>
      <c r="C1" s="136"/>
      <c r="D1" s="136"/>
      <c r="E1" s="136"/>
      <c r="F1" s="136"/>
      <c r="G1" s="136"/>
      <c r="H1" s="136"/>
      <c r="I1" s="136"/>
      <c r="J1" s="136"/>
      <c r="K1" s="136"/>
      <c r="L1" s="137"/>
    </row>
    <row r="2" spans="1:12">
      <c r="A2" s="135"/>
      <c r="B2" s="136"/>
      <c r="C2" s="136"/>
      <c r="D2" s="136"/>
      <c r="E2" s="136"/>
      <c r="F2" s="136"/>
      <c r="G2" s="136"/>
      <c r="H2" s="136"/>
      <c r="I2" s="136"/>
      <c r="J2" s="136"/>
      <c r="K2" s="136"/>
      <c r="L2" s="137"/>
    </row>
    <row r="3" spans="1:12" ht="15.75">
      <c r="A3" s="241" t="s">
        <v>0</v>
      </c>
      <c r="B3" s="242"/>
      <c r="C3" s="242"/>
      <c r="D3" s="242"/>
      <c r="E3" s="242"/>
      <c r="F3" s="242"/>
      <c r="G3" s="242"/>
      <c r="H3" s="242"/>
      <c r="I3" s="242"/>
      <c r="J3" s="242"/>
      <c r="K3" s="242"/>
      <c r="L3" s="243"/>
    </row>
    <row r="4" spans="1:12">
      <c r="A4" s="138"/>
      <c r="B4" s="147"/>
      <c r="C4" s="147"/>
      <c r="D4" s="147"/>
      <c r="E4" s="147"/>
      <c r="F4" s="147"/>
      <c r="G4" s="147"/>
      <c r="H4" s="147"/>
      <c r="I4" s="147"/>
      <c r="J4" s="147"/>
      <c r="K4" s="147"/>
      <c r="L4" s="139"/>
    </row>
    <row r="5" spans="1:12">
      <c r="A5" s="244" t="s">
        <v>1</v>
      </c>
      <c r="B5" s="245"/>
      <c r="C5" s="245"/>
      <c r="D5" s="245"/>
      <c r="E5" s="245"/>
      <c r="F5" s="245"/>
      <c r="G5" s="245"/>
      <c r="H5" s="245"/>
      <c r="I5" s="245"/>
      <c r="J5" s="245"/>
      <c r="K5" s="245"/>
      <c r="L5" s="246"/>
    </row>
    <row r="6" spans="1:12" ht="18.75" customHeight="1">
      <c r="A6" s="244"/>
      <c r="B6" s="245"/>
      <c r="C6" s="245"/>
      <c r="D6" s="245"/>
      <c r="E6" s="245"/>
      <c r="F6" s="245"/>
      <c r="G6" s="245"/>
      <c r="H6" s="245"/>
      <c r="I6" s="245"/>
      <c r="J6" s="245"/>
      <c r="K6" s="245"/>
      <c r="L6" s="246"/>
    </row>
    <row r="7" spans="1:12" ht="9" customHeight="1">
      <c r="A7" s="140"/>
      <c r="B7" s="148"/>
      <c r="C7" s="148"/>
      <c r="D7" s="148"/>
      <c r="E7" s="148"/>
      <c r="F7" s="148"/>
      <c r="G7" s="148"/>
      <c r="H7" s="148"/>
      <c r="I7" s="148"/>
      <c r="J7" s="148"/>
      <c r="K7" s="148"/>
      <c r="L7" s="141"/>
    </row>
    <row r="8" spans="1:12" ht="17.45" customHeight="1">
      <c r="A8" s="247" t="s">
        <v>2</v>
      </c>
      <c r="B8" s="248"/>
      <c r="C8" s="248"/>
      <c r="D8" s="248"/>
      <c r="E8" s="248"/>
      <c r="F8" s="248"/>
      <c r="G8" s="248"/>
      <c r="H8" s="248"/>
      <c r="I8" s="248"/>
      <c r="J8" s="248"/>
      <c r="K8" s="248"/>
      <c r="L8" s="249"/>
    </row>
    <row r="9" spans="1:12" ht="9.6" customHeight="1">
      <c r="A9" s="142"/>
      <c r="B9" s="149"/>
      <c r="C9" s="149"/>
      <c r="D9" s="149"/>
      <c r="E9" s="149"/>
      <c r="F9" s="149"/>
      <c r="G9" s="149"/>
      <c r="H9" s="149"/>
      <c r="I9" s="149"/>
      <c r="J9" s="149"/>
      <c r="K9" s="149"/>
      <c r="L9" s="143"/>
    </row>
    <row r="10" spans="1:12" ht="53.1" customHeight="1">
      <c r="A10" s="250" t="s">
        <v>3</v>
      </c>
      <c r="B10" s="235"/>
      <c r="C10" s="235"/>
      <c r="D10" s="235"/>
      <c r="E10" s="235"/>
      <c r="F10" s="235"/>
      <c r="G10" s="235"/>
      <c r="H10" s="235"/>
      <c r="I10" s="235"/>
      <c r="J10" s="235"/>
      <c r="K10" s="235"/>
      <c r="L10" s="144"/>
    </row>
    <row r="11" spans="1:12">
      <c r="A11" s="142"/>
      <c r="B11" s="149"/>
      <c r="C11" s="149"/>
      <c r="D11" s="149"/>
      <c r="E11" s="149"/>
      <c r="F11" s="149"/>
      <c r="G11" s="149"/>
      <c r="H11" s="149"/>
      <c r="I11" s="149"/>
      <c r="J11" s="149"/>
      <c r="K11" s="149"/>
      <c r="L11" s="143"/>
    </row>
    <row r="12" spans="1:12">
      <c r="A12" s="138" t="s">
        <v>4</v>
      </c>
      <c r="B12" s="149"/>
      <c r="C12" s="149"/>
      <c r="D12" s="149"/>
      <c r="E12" s="149"/>
      <c r="F12" s="149"/>
      <c r="G12" s="149"/>
      <c r="H12" s="149"/>
      <c r="I12" s="149"/>
      <c r="J12" s="149"/>
      <c r="K12" s="149"/>
      <c r="L12" s="143"/>
    </row>
    <row r="13" spans="1:12" ht="14.25" customHeight="1">
      <c r="A13" s="142"/>
      <c r="B13" s="149" t="s">
        <v>5</v>
      </c>
      <c r="C13" s="149"/>
      <c r="D13" s="149"/>
      <c r="E13" s="149"/>
      <c r="F13" s="149"/>
      <c r="G13" s="149"/>
      <c r="H13" s="149"/>
      <c r="I13" s="149"/>
      <c r="J13" s="149"/>
      <c r="K13" s="149"/>
      <c r="L13" s="143"/>
    </row>
    <row r="14" spans="1:12">
      <c r="A14" s="142"/>
      <c r="B14" s="149"/>
      <c r="C14" s="149"/>
      <c r="D14" s="149"/>
      <c r="E14" s="149"/>
      <c r="F14" s="149"/>
      <c r="G14" s="149"/>
      <c r="H14" s="149"/>
      <c r="I14" s="149"/>
      <c r="J14" s="149"/>
      <c r="K14" s="149"/>
      <c r="L14" s="143"/>
    </row>
    <row r="15" spans="1:12">
      <c r="A15" s="138" t="s">
        <v>6</v>
      </c>
      <c r="B15" s="149"/>
      <c r="C15" s="149"/>
      <c r="D15" s="149"/>
      <c r="E15" s="149"/>
      <c r="F15" s="149"/>
      <c r="G15" s="149"/>
      <c r="H15" s="149"/>
      <c r="I15" s="149"/>
      <c r="J15" s="149"/>
      <c r="K15" s="149"/>
      <c r="L15" s="143"/>
    </row>
    <row r="16" spans="1:12" ht="17.45" customHeight="1">
      <c r="A16" s="142"/>
      <c r="B16" s="149" t="s">
        <v>7</v>
      </c>
      <c r="C16" s="149"/>
      <c r="D16" s="149"/>
      <c r="E16" s="149"/>
      <c r="F16" s="149"/>
      <c r="G16" s="149"/>
      <c r="H16" s="149"/>
      <c r="I16" s="149"/>
      <c r="J16" s="149"/>
      <c r="K16" s="149"/>
      <c r="L16" s="143"/>
    </row>
    <row r="17" spans="1:12">
      <c r="A17" s="142"/>
      <c r="B17" s="149"/>
      <c r="C17" s="149"/>
      <c r="D17" s="149"/>
      <c r="E17" s="149"/>
      <c r="F17" s="149"/>
      <c r="G17" s="149"/>
      <c r="H17" s="149"/>
      <c r="I17" s="149"/>
      <c r="J17" s="149"/>
      <c r="K17" s="149"/>
      <c r="L17" s="143"/>
    </row>
    <row r="18" spans="1:12">
      <c r="A18" s="138" t="s">
        <v>8</v>
      </c>
      <c r="B18" s="149"/>
      <c r="C18" s="149"/>
      <c r="D18" s="149"/>
      <c r="E18" s="149"/>
      <c r="F18" s="149"/>
      <c r="G18" s="149"/>
      <c r="H18" s="149"/>
      <c r="I18" s="149"/>
      <c r="J18" s="149"/>
      <c r="K18" s="149"/>
      <c r="L18" s="143"/>
    </row>
    <row r="19" spans="1:12" ht="14.45" customHeight="1">
      <c r="A19" s="142"/>
      <c r="B19" s="149" t="s">
        <v>9</v>
      </c>
      <c r="C19" s="149"/>
      <c r="D19" s="149"/>
      <c r="E19" s="149"/>
      <c r="F19" s="149"/>
      <c r="G19" s="149"/>
      <c r="H19" s="149"/>
      <c r="I19" s="149"/>
      <c r="J19" s="149"/>
      <c r="K19" s="149"/>
      <c r="L19" s="143"/>
    </row>
    <row r="20" spans="1:12">
      <c r="A20" s="142"/>
      <c r="B20" s="149"/>
      <c r="C20" s="149"/>
      <c r="D20" s="149"/>
      <c r="E20" s="149"/>
      <c r="F20" s="149"/>
      <c r="G20" s="149"/>
      <c r="H20" s="149"/>
      <c r="I20" s="149"/>
      <c r="J20" s="149"/>
      <c r="K20" s="149"/>
      <c r="L20" s="143"/>
    </row>
    <row r="21" spans="1:12">
      <c r="A21" s="138" t="s">
        <v>10</v>
      </c>
      <c r="B21" s="149"/>
      <c r="C21" s="149"/>
      <c r="D21" s="149"/>
      <c r="E21" s="149"/>
      <c r="F21" s="149"/>
      <c r="G21" s="149"/>
      <c r="H21" s="149"/>
      <c r="I21" s="149"/>
      <c r="J21" s="149"/>
      <c r="K21" s="149"/>
      <c r="L21" s="143"/>
    </row>
    <row r="22" spans="1:12">
      <c r="A22" s="142"/>
      <c r="B22" s="149" t="s">
        <v>11</v>
      </c>
      <c r="C22" s="149"/>
      <c r="D22" s="149"/>
      <c r="E22" s="149"/>
      <c r="F22" s="149"/>
      <c r="G22" s="149"/>
      <c r="H22" s="149"/>
      <c r="I22" s="149"/>
      <c r="J22" s="149"/>
      <c r="K22" s="149"/>
      <c r="L22" s="143"/>
    </row>
    <row r="23" spans="1:12">
      <c r="A23" s="142"/>
      <c r="B23" s="149"/>
      <c r="C23" s="149"/>
      <c r="D23" s="149"/>
      <c r="E23" s="149"/>
      <c r="F23" s="149"/>
      <c r="G23" s="149"/>
      <c r="H23" s="149"/>
      <c r="I23" s="149"/>
      <c r="J23" s="149"/>
      <c r="K23" s="149"/>
      <c r="L23" s="143"/>
    </row>
    <row r="24" spans="1:12">
      <c r="A24" s="138" t="s">
        <v>12</v>
      </c>
      <c r="B24" s="149"/>
      <c r="C24" s="149"/>
      <c r="D24" s="149"/>
      <c r="E24" s="149"/>
      <c r="F24" s="149"/>
      <c r="G24" s="149"/>
      <c r="H24" s="149"/>
      <c r="I24" s="149"/>
      <c r="J24" s="149"/>
      <c r="K24" s="149"/>
      <c r="L24" s="143"/>
    </row>
    <row r="25" spans="1:12" ht="14.25" customHeight="1">
      <c r="A25" s="142"/>
      <c r="B25" s="149" t="s">
        <v>13</v>
      </c>
      <c r="C25" s="149"/>
      <c r="D25" s="149"/>
      <c r="E25" s="149"/>
      <c r="F25" s="149"/>
      <c r="G25" s="149"/>
      <c r="H25" s="149"/>
      <c r="I25" s="149"/>
      <c r="J25" s="149"/>
      <c r="K25" s="149"/>
      <c r="L25" s="143"/>
    </row>
    <row r="26" spans="1:12">
      <c r="A26" s="142"/>
      <c r="B26" s="149"/>
      <c r="C26" s="149"/>
      <c r="D26" s="149"/>
      <c r="E26" s="149"/>
      <c r="F26" s="149"/>
      <c r="G26" s="149"/>
      <c r="H26" s="149"/>
      <c r="I26" s="149"/>
      <c r="J26" s="149"/>
      <c r="K26" s="149"/>
      <c r="L26" s="143"/>
    </row>
    <row r="27" spans="1:12">
      <c r="A27" s="138" t="s">
        <v>14</v>
      </c>
      <c r="B27" s="149"/>
      <c r="C27" s="149"/>
      <c r="D27" s="149"/>
      <c r="E27" s="149"/>
      <c r="F27" s="149"/>
      <c r="G27" s="149"/>
      <c r="H27" s="149"/>
      <c r="I27" s="149"/>
      <c r="J27" s="149"/>
      <c r="K27" s="149"/>
      <c r="L27" s="143"/>
    </row>
    <row r="28" spans="1:12" ht="15" customHeight="1">
      <c r="A28" s="142"/>
      <c r="B28" s="149" t="s">
        <v>15</v>
      </c>
      <c r="C28" s="149"/>
      <c r="D28" s="149"/>
      <c r="E28" s="149"/>
      <c r="F28" s="149"/>
      <c r="G28" s="149"/>
      <c r="H28" s="149"/>
      <c r="I28" s="149"/>
      <c r="J28" s="149"/>
      <c r="K28" s="149"/>
      <c r="L28" s="143"/>
    </row>
    <row r="29" spans="1:12">
      <c r="A29" s="142"/>
      <c r="B29" s="149"/>
      <c r="C29" s="149"/>
      <c r="D29" s="149"/>
      <c r="E29" s="149"/>
      <c r="F29" s="149"/>
      <c r="G29" s="149"/>
      <c r="H29" s="149"/>
      <c r="I29" s="149"/>
      <c r="J29" s="149"/>
      <c r="K29" s="149"/>
      <c r="L29" s="143"/>
    </row>
    <row r="30" spans="1:12">
      <c r="A30" s="138" t="s">
        <v>16</v>
      </c>
      <c r="B30" s="149"/>
      <c r="C30" s="149"/>
      <c r="D30" s="149"/>
      <c r="E30" s="149"/>
      <c r="F30" s="149"/>
      <c r="G30" s="149"/>
      <c r="H30" s="149"/>
      <c r="I30" s="149"/>
      <c r="J30" s="149"/>
      <c r="K30" s="149"/>
      <c r="L30" s="143"/>
    </row>
    <row r="31" spans="1:12" ht="17.45" customHeight="1">
      <c r="A31" s="138"/>
      <c r="B31" s="149" t="s">
        <v>17</v>
      </c>
      <c r="C31" s="149"/>
      <c r="D31" s="149"/>
      <c r="E31" s="149"/>
      <c r="F31" s="149"/>
      <c r="G31" s="149"/>
      <c r="H31" s="149"/>
      <c r="I31" s="149"/>
      <c r="J31" s="149"/>
      <c r="K31" s="149"/>
      <c r="L31" s="143"/>
    </row>
    <row r="32" spans="1:12">
      <c r="A32" s="142"/>
      <c r="C32" s="149"/>
      <c r="D32" s="149"/>
      <c r="E32" s="149"/>
      <c r="F32" s="149"/>
      <c r="G32" s="149"/>
      <c r="H32" s="149"/>
      <c r="I32" s="149"/>
      <c r="J32" s="149"/>
      <c r="K32" s="149"/>
      <c r="L32" s="143"/>
    </row>
    <row r="33" spans="1:12">
      <c r="A33" s="138" t="s">
        <v>18</v>
      </c>
      <c r="B33" s="149"/>
      <c r="C33" s="149"/>
      <c r="D33" s="149"/>
      <c r="E33" s="149"/>
      <c r="F33" s="149"/>
      <c r="G33" s="149"/>
      <c r="H33" s="149"/>
      <c r="I33" s="149"/>
      <c r="J33" s="149"/>
      <c r="K33" s="149"/>
      <c r="L33" s="143"/>
    </row>
    <row r="34" spans="1:12" ht="17.25" customHeight="1">
      <c r="A34" s="142"/>
      <c r="B34" s="149" t="s">
        <v>19</v>
      </c>
      <c r="C34" s="149"/>
      <c r="D34" s="149"/>
      <c r="E34" s="149"/>
      <c r="F34" s="149"/>
      <c r="G34" s="149"/>
      <c r="H34" s="149"/>
      <c r="I34" s="149"/>
      <c r="J34" s="149"/>
      <c r="K34" s="149"/>
      <c r="L34" s="143"/>
    </row>
    <row r="35" spans="1:12">
      <c r="A35" s="142"/>
      <c r="B35" s="149"/>
      <c r="C35" s="149"/>
      <c r="D35" s="149"/>
      <c r="E35" s="149"/>
      <c r="F35" s="149"/>
      <c r="G35" s="149"/>
      <c r="H35" s="149"/>
      <c r="I35" s="149"/>
      <c r="J35" s="149"/>
      <c r="K35" s="149"/>
      <c r="L35" s="143"/>
    </row>
    <row r="36" spans="1:12">
      <c r="A36" s="138" t="s">
        <v>20</v>
      </c>
      <c r="B36" s="149"/>
      <c r="C36" s="149"/>
      <c r="D36" s="149"/>
      <c r="E36" s="149"/>
      <c r="F36" s="149"/>
      <c r="G36" s="149"/>
      <c r="H36" s="149"/>
      <c r="I36" s="149"/>
      <c r="J36" s="149"/>
      <c r="K36" s="149"/>
      <c r="L36" s="143"/>
    </row>
    <row r="37" spans="1:12">
      <c r="A37" s="142"/>
      <c r="B37" s="251" t="s">
        <v>21</v>
      </c>
      <c r="C37" s="251"/>
      <c r="D37" s="251"/>
      <c r="E37" s="251"/>
      <c r="F37" s="251"/>
      <c r="G37" s="251"/>
      <c r="H37" s="251"/>
      <c r="I37" s="251"/>
      <c r="J37" s="251"/>
      <c r="K37" s="251"/>
      <c r="L37" s="252"/>
    </row>
    <row r="38" spans="1:12">
      <c r="A38" s="142"/>
      <c r="B38" s="149"/>
      <c r="C38" s="149"/>
      <c r="D38" s="149"/>
      <c r="E38" s="149"/>
      <c r="F38" s="149"/>
      <c r="G38" s="149"/>
      <c r="H38" s="149"/>
      <c r="I38" s="149"/>
      <c r="J38" s="149"/>
      <c r="K38" s="149"/>
      <c r="L38" s="143"/>
    </row>
    <row r="39" spans="1:12">
      <c r="A39" s="138" t="s">
        <v>22</v>
      </c>
      <c r="B39" s="149"/>
      <c r="C39" s="149"/>
      <c r="D39" s="149"/>
      <c r="E39" s="149"/>
      <c r="F39" s="149"/>
      <c r="G39" s="149"/>
      <c r="H39" s="149"/>
      <c r="I39" s="149"/>
      <c r="J39" s="149"/>
      <c r="K39" s="149"/>
      <c r="L39" s="143"/>
    </row>
    <row r="40" spans="1:12">
      <c r="A40" s="138"/>
      <c r="B40" s="149"/>
      <c r="C40" s="149"/>
      <c r="D40" s="149"/>
      <c r="E40" s="149"/>
      <c r="F40" s="149"/>
      <c r="G40" s="149"/>
      <c r="H40" s="149"/>
      <c r="I40" s="149"/>
      <c r="J40" s="149"/>
      <c r="K40" s="149"/>
      <c r="L40" s="143"/>
    </row>
    <row r="41" spans="1:12">
      <c r="A41" s="142"/>
      <c r="B41" s="150" t="s">
        <v>23</v>
      </c>
      <c r="C41" s="149"/>
      <c r="D41" s="149"/>
      <c r="E41" s="149"/>
      <c r="F41" s="149"/>
      <c r="G41" s="149"/>
      <c r="H41" s="149"/>
      <c r="I41" s="149"/>
      <c r="J41" s="149"/>
      <c r="K41" s="149"/>
      <c r="L41" s="143"/>
    </row>
    <row r="42" spans="1:12">
      <c r="A42" s="142"/>
      <c r="B42" s="170" t="s">
        <v>24</v>
      </c>
      <c r="C42" s="149"/>
      <c r="D42" s="149"/>
      <c r="E42" s="149"/>
      <c r="F42" s="149"/>
      <c r="G42" s="149"/>
      <c r="H42" s="149"/>
      <c r="I42" s="149"/>
      <c r="J42" s="149"/>
      <c r="K42" s="149"/>
      <c r="L42" s="143"/>
    </row>
    <row r="43" spans="1:12">
      <c r="A43" s="142"/>
      <c r="B43" s="170"/>
      <c r="C43" s="149"/>
      <c r="D43" s="149"/>
      <c r="E43" s="149"/>
      <c r="F43" s="149"/>
      <c r="G43" s="149"/>
      <c r="H43" s="149"/>
      <c r="I43" s="149"/>
      <c r="J43" s="149"/>
      <c r="K43" s="149"/>
      <c r="L43" s="143"/>
    </row>
    <row r="44" spans="1:12">
      <c r="A44" s="142"/>
      <c r="B44" s="150" t="s">
        <v>25</v>
      </c>
      <c r="C44" s="149"/>
      <c r="D44" s="149"/>
      <c r="E44" s="149"/>
      <c r="F44" s="149"/>
      <c r="G44" s="149"/>
      <c r="H44" s="149"/>
      <c r="I44" s="149"/>
      <c r="J44" s="149"/>
      <c r="K44" s="149"/>
      <c r="L44" s="143"/>
    </row>
    <row r="45" spans="1:12">
      <c r="A45" s="142"/>
      <c r="B45" s="149" t="s">
        <v>26</v>
      </c>
      <c r="C45" s="149"/>
      <c r="D45" s="149"/>
      <c r="E45" s="149"/>
      <c r="F45" s="149"/>
      <c r="G45" s="149"/>
      <c r="H45" s="149"/>
      <c r="I45" s="149"/>
      <c r="J45" s="149"/>
      <c r="K45" s="149"/>
      <c r="L45" s="143"/>
    </row>
    <row r="46" spans="1:12">
      <c r="A46" s="142"/>
      <c r="B46" s="170"/>
      <c r="C46" s="149"/>
      <c r="D46" s="149"/>
      <c r="E46" s="149"/>
      <c r="F46" s="149"/>
      <c r="G46" s="149"/>
      <c r="H46" s="149"/>
      <c r="I46" s="149"/>
      <c r="J46" s="149"/>
      <c r="K46" s="149"/>
      <c r="L46" s="143"/>
    </row>
    <row r="47" spans="1:12">
      <c r="A47" s="142"/>
      <c r="B47" s="150" t="s">
        <v>27</v>
      </c>
      <c r="C47" s="149"/>
      <c r="D47" s="149"/>
      <c r="E47" s="149"/>
      <c r="F47" s="149"/>
      <c r="G47" s="149"/>
      <c r="H47" s="149"/>
      <c r="I47" s="149"/>
      <c r="J47" s="149"/>
      <c r="K47" s="149"/>
      <c r="L47" s="143"/>
    </row>
    <row r="48" spans="1:12">
      <c r="A48" s="142"/>
      <c r="B48" s="149" t="s">
        <v>28</v>
      </c>
      <c r="C48" s="149"/>
      <c r="D48" s="149"/>
      <c r="E48" s="149"/>
      <c r="F48" s="149"/>
      <c r="G48" s="149"/>
      <c r="H48" s="149"/>
      <c r="I48" s="149"/>
      <c r="J48" s="149"/>
      <c r="K48" s="149"/>
      <c r="L48" s="143"/>
    </row>
    <row r="49" spans="1:12">
      <c r="A49" s="142"/>
      <c r="B49" s="149"/>
      <c r="C49" s="149"/>
      <c r="D49" s="149"/>
      <c r="E49" s="149"/>
      <c r="F49" s="149"/>
      <c r="G49" s="149"/>
      <c r="H49" s="149"/>
      <c r="I49" s="149"/>
      <c r="J49" s="149"/>
      <c r="K49" s="149"/>
      <c r="L49" s="143"/>
    </row>
    <row r="50" spans="1:12">
      <c r="A50" s="142"/>
      <c r="B50" s="150" t="s">
        <v>29</v>
      </c>
      <c r="C50" s="149"/>
      <c r="D50" s="149"/>
      <c r="E50" s="149"/>
      <c r="F50" s="149"/>
      <c r="G50" s="149"/>
      <c r="H50" s="149"/>
      <c r="I50" s="149"/>
      <c r="J50" s="149"/>
      <c r="K50" s="149"/>
      <c r="L50" s="143"/>
    </row>
    <row r="51" spans="1:12">
      <c r="A51" s="142"/>
      <c r="B51" s="238" t="s">
        <v>30</v>
      </c>
      <c r="C51" s="238"/>
      <c r="D51" s="238"/>
      <c r="E51" s="238"/>
      <c r="F51" s="238"/>
      <c r="G51" s="238"/>
      <c r="H51" s="238"/>
      <c r="I51" s="238"/>
      <c r="J51" s="238"/>
      <c r="K51" s="169"/>
      <c r="L51" s="143"/>
    </row>
    <row r="52" spans="1:12">
      <c r="A52" s="142"/>
      <c r="C52" s="149" t="s">
        <v>31</v>
      </c>
      <c r="D52" s="149"/>
      <c r="E52" s="149"/>
      <c r="F52" s="149"/>
      <c r="G52" s="149"/>
      <c r="H52" s="149"/>
      <c r="I52" s="149"/>
      <c r="J52" s="149"/>
      <c r="K52" s="149"/>
      <c r="L52" s="143"/>
    </row>
    <row r="53" spans="1:12">
      <c r="A53" s="142"/>
      <c r="C53" s="149" t="s">
        <v>32</v>
      </c>
      <c r="D53" s="149"/>
      <c r="E53" s="149"/>
      <c r="F53" s="149"/>
      <c r="G53" s="149"/>
      <c r="H53" s="149"/>
      <c r="I53" s="149"/>
      <c r="J53" s="149"/>
      <c r="K53" s="149"/>
      <c r="L53" s="143"/>
    </row>
    <row r="54" spans="1:12">
      <c r="A54" s="142"/>
      <c r="C54" s="151" t="s">
        <v>33</v>
      </c>
      <c r="E54" s="149"/>
      <c r="F54" s="149"/>
      <c r="G54" s="149"/>
      <c r="H54" s="149"/>
      <c r="I54" s="149"/>
      <c r="J54" s="149"/>
      <c r="K54" s="149"/>
      <c r="L54" s="143"/>
    </row>
    <row r="55" spans="1:12">
      <c r="A55" s="142"/>
      <c r="C55" s="149" t="s">
        <v>34</v>
      </c>
      <c r="D55" s="149"/>
      <c r="E55" s="149"/>
      <c r="F55" s="149"/>
      <c r="G55" s="149"/>
      <c r="H55" s="149"/>
      <c r="I55" s="149"/>
      <c r="J55" s="149"/>
      <c r="K55" s="149"/>
      <c r="L55" s="143"/>
    </row>
    <row r="56" spans="1:12">
      <c r="A56" s="142"/>
      <c r="C56" s="170" t="s">
        <v>35</v>
      </c>
      <c r="D56" s="149"/>
      <c r="E56" s="149"/>
      <c r="F56" s="149"/>
      <c r="G56" s="149"/>
      <c r="H56" s="149"/>
      <c r="I56" s="149"/>
      <c r="J56" s="149"/>
      <c r="K56" s="149"/>
      <c r="L56" s="143"/>
    </row>
    <row r="57" spans="1:12">
      <c r="A57" s="142"/>
      <c r="C57" s="170"/>
      <c r="D57" s="149"/>
      <c r="E57" s="149"/>
      <c r="F57" s="149"/>
      <c r="G57" s="149"/>
      <c r="H57" s="149"/>
      <c r="I57" s="149"/>
      <c r="J57" s="149"/>
      <c r="K57" s="149"/>
      <c r="L57" s="143"/>
    </row>
    <row r="58" spans="1:12">
      <c r="A58" s="138" t="s">
        <v>36</v>
      </c>
      <c r="C58" s="170"/>
      <c r="D58" s="149"/>
      <c r="E58" s="149"/>
      <c r="F58" s="149"/>
      <c r="G58" s="149"/>
      <c r="H58" s="149"/>
      <c r="I58" s="149"/>
      <c r="J58" s="149"/>
      <c r="K58" s="149"/>
      <c r="L58" s="143"/>
    </row>
    <row r="59" spans="1:12">
      <c r="A59" s="142"/>
      <c r="C59" s="170"/>
      <c r="D59" s="149"/>
      <c r="E59" s="149"/>
      <c r="F59" s="149"/>
      <c r="G59" s="149"/>
      <c r="H59" s="149"/>
      <c r="I59" s="149"/>
      <c r="J59" s="149"/>
      <c r="K59" s="149"/>
      <c r="L59" s="143"/>
    </row>
    <row r="60" spans="1:12">
      <c r="A60" s="142"/>
      <c r="B60" s="150" t="s">
        <v>37</v>
      </c>
      <c r="C60" s="170"/>
      <c r="D60" s="149"/>
      <c r="E60" s="149"/>
      <c r="F60" s="149"/>
      <c r="G60" s="149"/>
      <c r="H60" s="149"/>
      <c r="I60" s="149"/>
      <c r="J60" s="149"/>
      <c r="K60" s="149"/>
      <c r="L60" s="143"/>
    </row>
    <row r="61" spans="1:12">
      <c r="A61" s="142"/>
      <c r="C61" s="170" t="s">
        <v>38</v>
      </c>
      <c r="D61" s="149"/>
      <c r="E61" s="149"/>
      <c r="F61" s="149"/>
      <c r="G61" s="149"/>
      <c r="H61" s="149"/>
      <c r="I61" s="149"/>
      <c r="J61" s="149"/>
      <c r="K61" s="149"/>
      <c r="L61" s="143"/>
    </row>
    <row r="62" spans="1:12">
      <c r="A62" s="142"/>
      <c r="C62" s="170"/>
      <c r="D62" s="149"/>
      <c r="E62" s="149"/>
      <c r="F62" s="149"/>
      <c r="G62" s="149"/>
      <c r="H62" s="149"/>
      <c r="I62" s="149"/>
      <c r="J62" s="149"/>
      <c r="K62" s="149"/>
      <c r="L62" s="143"/>
    </row>
    <row r="63" spans="1:12">
      <c r="A63" s="142"/>
      <c r="B63" s="152" t="s">
        <v>39</v>
      </c>
      <c r="C63" s="170"/>
      <c r="D63" s="149"/>
      <c r="E63" s="149"/>
      <c r="F63" s="149"/>
      <c r="G63" s="149"/>
      <c r="H63" s="149"/>
      <c r="I63" s="149"/>
      <c r="J63" s="149"/>
      <c r="K63" s="149"/>
      <c r="L63" s="143"/>
    </row>
    <row r="64" spans="1:12" ht="29.25" customHeight="1">
      <c r="A64" s="142"/>
      <c r="C64" s="240" t="s">
        <v>40</v>
      </c>
      <c r="D64" s="240"/>
      <c r="E64" s="240"/>
      <c r="F64" s="240"/>
      <c r="G64" s="240"/>
      <c r="H64" s="240"/>
      <c r="I64" s="240"/>
      <c r="J64" s="240"/>
      <c r="K64" s="240"/>
      <c r="L64" s="145"/>
    </row>
    <row r="65" spans="1:12">
      <c r="A65" s="142"/>
      <c r="C65" s="170"/>
      <c r="D65" s="149"/>
      <c r="E65" s="149"/>
      <c r="F65" s="149"/>
      <c r="G65" s="149"/>
      <c r="H65" s="149"/>
      <c r="I65" s="149"/>
      <c r="J65" s="149"/>
      <c r="K65" s="149"/>
      <c r="L65" s="143"/>
    </row>
    <row r="66" spans="1:12">
      <c r="A66" s="142"/>
      <c r="B66" s="152" t="s">
        <v>41</v>
      </c>
      <c r="C66" s="170"/>
      <c r="D66" s="149"/>
      <c r="E66" s="149"/>
      <c r="F66" s="149"/>
      <c r="G66" s="149"/>
      <c r="H66" s="149"/>
      <c r="I66" s="149"/>
      <c r="J66" s="149"/>
      <c r="K66" s="149"/>
      <c r="L66" s="143"/>
    </row>
    <row r="67" spans="1:12" ht="31.5" customHeight="1">
      <c r="A67" s="142"/>
      <c r="C67" s="240" t="s">
        <v>40</v>
      </c>
      <c r="D67" s="240"/>
      <c r="E67" s="240"/>
      <c r="F67" s="240"/>
      <c r="G67" s="240"/>
      <c r="H67" s="240"/>
      <c r="I67" s="240"/>
      <c r="J67" s="240"/>
      <c r="K67" s="240"/>
      <c r="L67" s="143"/>
    </row>
    <row r="68" spans="1:12">
      <c r="A68" s="142"/>
      <c r="C68" s="170"/>
      <c r="D68" s="149"/>
      <c r="E68" s="149"/>
      <c r="F68" s="149"/>
      <c r="G68" s="149"/>
      <c r="H68" s="149"/>
      <c r="I68" s="149"/>
      <c r="J68" s="149"/>
      <c r="K68" s="149"/>
      <c r="L68" s="143"/>
    </row>
    <row r="69" spans="1:12">
      <c r="A69" s="142"/>
      <c r="B69" s="152" t="s">
        <v>42</v>
      </c>
      <c r="C69" s="170"/>
      <c r="D69" s="149"/>
      <c r="E69" s="149"/>
      <c r="F69" s="149"/>
      <c r="G69" s="149"/>
      <c r="H69" s="149"/>
      <c r="I69" s="149"/>
      <c r="J69" s="149"/>
      <c r="K69" s="149"/>
      <c r="L69" s="143"/>
    </row>
    <row r="70" spans="1:12" ht="32.25" customHeight="1">
      <c r="A70" s="142"/>
      <c r="C70" s="240" t="s">
        <v>40</v>
      </c>
      <c r="D70" s="240"/>
      <c r="E70" s="240"/>
      <c r="F70" s="240"/>
      <c r="G70" s="240"/>
      <c r="H70" s="240"/>
      <c r="I70" s="240"/>
      <c r="J70" s="240"/>
      <c r="K70" s="240"/>
      <c r="L70" s="143"/>
    </row>
    <row r="71" spans="1:12">
      <c r="A71" s="142"/>
      <c r="C71" s="170"/>
      <c r="D71" s="149"/>
      <c r="E71" s="149"/>
      <c r="F71" s="149"/>
      <c r="G71" s="149"/>
      <c r="H71" s="149"/>
      <c r="I71" s="149"/>
      <c r="J71" s="149"/>
      <c r="K71" s="149"/>
      <c r="L71" s="143"/>
    </row>
    <row r="72" spans="1:12">
      <c r="A72" s="142"/>
      <c r="B72" s="152" t="s">
        <v>43</v>
      </c>
      <c r="C72" s="170"/>
      <c r="D72" s="149"/>
      <c r="E72" s="149"/>
      <c r="F72" s="149"/>
      <c r="G72" s="149"/>
      <c r="H72" s="149"/>
      <c r="I72" s="149"/>
      <c r="J72" s="149"/>
      <c r="K72" s="149"/>
      <c r="L72" s="143"/>
    </row>
    <row r="73" spans="1:12" ht="33" customHeight="1">
      <c r="A73" s="142"/>
      <c r="C73" s="240" t="s">
        <v>44</v>
      </c>
      <c r="D73" s="240"/>
      <c r="E73" s="240"/>
      <c r="F73" s="240"/>
      <c r="G73" s="240"/>
      <c r="H73" s="240"/>
      <c r="I73" s="240"/>
      <c r="J73" s="240"/>
      <c r="K73" s="240"/>
      <c r="L73" s="143"/>
    </row>
    <row r="74" spans="1:12">
      <c r="A74" s="142"/>
      <c r="C74" s="170"/>
      <c r="D74" s="149"/>
      <c r="E74" s="149"/>
      <c r="F74" s="149"/>
      <c r="G74" s="149"/>
      <c r="H74" s="149"/>
      <c r="I74" s="149"/>
      <c r="J74" s="149"/>
      <c r="K74" s="149"/>
      <c r="L74" s="143"/>
    </row>
    <row r="75" spans="1:12">
      <c r="A75" s="142"/>
      <c r="B75" s="152" t="s">
        <v>45</v>
      </c>
      <c r="C75" s="170"/>
      <c r="D75" s="149"/>
      <c r="E75" s="149"/>
      <c r="F75" s="149"/>
      <c r="G75" s="149"/>
      <c r="H75" s="149"/>
      <c r="I75" s="149"/>
      <c r="J75" s="149"/>
      <c r="K75" s="149"/>
      <c r="L75" s="143"/>
    </row>
    <row r="76" spans="1:12" ht="41.25" customHeight="1">
      <c r="A76" s="142"/>
      <c r="C76" s="240" t="s">
        <v>46</v>
      </c>
      <c r="D76" s="240"/>
      <c r="E76" s="240"/>
      <c r="F76" s="240"/>
      <c r="G76" s="240"/>
      <c r="H76" s="240"/>
      <c r="I76" s="240"/>
      <c r="J76" s="240"/>
      <c r="K76" s="240"/>
      <c r="L76" s="143"/>
    </row>
    <row r="77" spans="1:12">
      <c r="A77" s="142"/>
      <c r="C77" s="169"/>
      <c r="D77" s="169"/>
      <c r="E77" s="169"/>
      <c r="F77" s="169"/>
      <c r="G77" s="169"/>
      <c r="H77" s="169"/>
      <c r="I77" s="169"/>
      <c r="J77" s="169"/>
      <c r="K77" s="169"/>
      <c r="L77" s="143"/>
    </row>
    <row r="78" spans="1:12">
      <c r="A78" s="138" t="s">
        <v>47</v>
      </c>
      <c r="B78" s="149"/>
      <c r="C78" s="149"/>
      <c r="D78" s="149"/>
      <c r="E78" s="149"/>
      <c r="F78" s="149"/>
      <c r="G78" s="149"/>
      <c r="H78" s="149"/>
      <c r="I78" s="149"/>
      <c r="J78" s="149"/>
      <c r="K78" s="149"/>
      <c r="L78" s="143"/>
    </row>
    <row r="79" spans="1:12" ht="30.75" customHeight="1">
      <c r="A79" s="142"/>
      <c r="B79" s="235" t="s">
        <v>48</v>
      </c>
      <c r="C79" s="235"/>
      <c r="D79" s="235"/>
      <c r="E79" s="235"/>
      <c r="F79" s="235"/>
      <c r="G79" s="235"/>
      <c r="H79" s="235"/>
      <c r="I79" s="235"/>
      <c r="J79" s="235"/>
      <c r="K79" s="235"/>
      <c r="L79" s="239"/>
    </row>
    <row r="80" spans="1:12">
      <c r="A80" s="142"/>
      <c r="B80" s="149"/>
      <c r="C80" s="149"/>
      <c r="D80" s="149"/>
      <c r="E80" s="149"/>
      <c r="F80" s="149"/>
      <c r="G80" s="149"/>
      <c r="H80" s="149"/>
      <c r="I80" s="149"/>
      <c r="J80" s="149"/>
      <c r="K80" s="149"/>
      <c r="L80" s="143"/>
    </row>
    <row r="81" spans="1:12">
      <c r="A81" s="138" t="s">
        <v>49</v>
      </c>
      <c r="B81" s="149"/>
      <c r="C81" s="149"/>
      <c r="D81" s="149"/>
      <c r="E81" s="149"/>
      <c r="F81" s="149"/>
      <c r="G81" s="149"/>
      <c r="H81" s="149"/>
      <c r="I81" s="149"/>
      <c r="J81" s="149"/>
      <c r="K81" s="149"/>
      <c r="L81" s="143"/>
    </row>
    <row r="82" spans="1:12" ht="54.75" customHeight="1">
      <c r="A82" s="142"/>
      <c r="B82" s="238" t="s">
        <v>50</v>
      </c>
      <c r="C82" s="238"/>
      <c r="D82" s="238"/>
      <c r="E82" s="238"/>
      <c r="F82" s="238"/>
      <c r="G82" s="238"/>
      <c r="H82" s="238"/>
      <c r="I82" s="238"/>
      <c r="J82" s="238"/>
      <c r="K82" s="238"/>
      <c r="L82" s="145"/>
    </row>
    <row r="83" spans="1:12">
      <c r="A83" s="142"/>
      <c r="B83" s="150" t="s">
        <v>51</v>
      </c>
      <c r="C83" s="170"/>
      <c r="D83" s="170"/>
      <c r="E83" s="170"/>
      <c r="G83" s="170"/>
      <c r="H83" s="153" t="s">
        <v>52</v>
      </c>
      <c r="I83" s="153"/>
      <c r="J83" s="170"/>
      <c r="K83" s="170"/>
      <c r="L83" s="171"/>
    </row>
    <row r="84" spans="1:12">
      <c r="A84" s="142"/>
      <c r="B84" s="154"/>
      <c r="C84" s="153" t="s">
        <v>53</v>
      </c>
      <c r="D84" s="153"/>
      <c r="E84" s="155"/>
      <c r="F84" s="155"/>
      <c r="G84" s="153"/>
      <c r="H84" s="153" t="s">
        <v>54</v>
      </c>
      <c r="I84" s="146">
        <v>0.2</v>
      </c>
      <c r="J84" s="153"/>
      <c r="K84" s="153"/>
      <c r="L84" s="171"/>
    </row>
    <row r="85" spans="1:12">
      <c r="A85" s="142"/>
      <c r="B85" s="154"/>
      <c r="C85" s="153" t="s">
        <v>54</v>
      </c>
      <c r="D85" s="156">
        <v>0.2</v>
      </c>
      <c r="E85" s="155"/>
      <c r="F85" s="155"/>
      <c r="G85" s="153"/>
      <c r="H85" s="153" t="s">
        <v>54</v>
      </c>
      <c r="I85" s="146">
        <v>0.2</v>
      </c>
      <c r="J85" s="153"/>
      <c r="K85" s="153"/>
      <c r="L85" s="171"/>
    </row>
    <row r="86" spans="1:12">
      <c r="A86" s="142"/>
      <c r="B86" s="154"/>
      <c r="C86" s="153" t="s">
        <v>55</v>
      </c>
      <c r="D86" s="156">
        <v>0.1</v>
      </c>
      <c r="E86" s="155"/>
      <c r="F86" s="155"/>
      <c r="G86" s="153"/>
      <c r="H86" s="153" t="s">
        <v>54</v>
      </c>
      <c r="I86" s="146">
        <v>0.2</v>
      </c>
      <c r="J86" s="153"/>
      <c r="K86" s="153"/>
      <c r="L86" s="171"/>
    </row>
    <row r="87" spans="1:12">
      <c r="A87" s="142"/>
      <c r="B87" s="154"/>
      <c r="C87" s="153" t="s">
        <v>56</v>
      </c>
      <c r="D87" s="156">
        <v>0.3</v>
      </c>
      <c r="E87" s="155"/>
      <c r="F87" s="155"/>
      <c r="G87" s="153"/>
      <c r="H87" s="153" t="s">
        <v>55</v>
      </c>
      <c r="I87" s="156">
        <v>0.1</v>
      </c>
      <c r="J87" s="153"/>
      <c r="K87" s="153"/>
      <c r="L87" s="171"/>
    </row>
    <row r="88" spans="1:12">
      <c r="A88" s="142"/>
      <c r="B88" s="154"/>
      <c r="C88" s="153" t="s">
        <v>57</v>
      </c>
      <c r="D88" s="156">
        <v>0.4</v>
      </c>
      <c r="E88" s="155"/>
      <c r="F88" s="155"/>
      <c r="G88" s="153"/>
      <c r="H88" s="153" t="s">
        <v>55</v>
      </c>
      <c r="I88" s="156">
        <v>0.1</v>
      </c>
      <c r="J88" s="153"/>
      <c r="K88" s="153"/>
      <c r="L88" s="171"/>
    </row>
    <row r="89" spans="1:12">
      <c r="A89" s="142"/>
      <c r="B89" s="154"/>
      <c r="C89" s="153" t="s">
        <v>58</v>
      </c>
      <c r="D89" s="156">
        <f>SUM(D85:D88)</f>
        <v>1</v>
      </c>
      <c r="E89" s="155"/>
      <c r="F89" s="155"/>
      <c r="G89" s="153"/>
      <c r="H89" s="153" t="s">
        <v>56</v>
      </c>
      <c r="I89" s="156">
        <v>0.3</v>
      </c>
      <c r="J89" s="153"/>
      <c r="K89" s="153"/>
      <c r="L89" s="171"/>
    </row>
    <row r="90" spans="1:12">
      <c r="A90" s="142"/>
      <c r="B90" s="170"/>
      <c r="C90" s="153"/>
      <c r="D90" s="153"/>
      <c r="E90" s="155"/>
      <c r="F90" s="155"/>
      <c r="G90" s="153"/>
      <c r="H90" s="153" t="s">
        <v>57</v>
      </c>
      <c r="I90" s="156">
        <v>0.4</v>
      </c>
      <c r="J90" s="153"/>
      <c r="K90" s="153"/>
      <c r="L90" s="171"/>
    </row>
    <row r="91" spans="1:12">
      <c r="A91" s="142"/>
      <c r="B91" s="149"/>
      <c r="C91" s="157"/>
      <c r="D91" s="157"/>
      <c r="E91" s="155"/>
      <c r="F91" s="155"/>
      <c r="G91" s="157"/>
      <c r="J91" s="157"/>
      <c r="K91" s="157"/>
      <c r="L91" s="143"/>
    </row>
    <row r="92" spans="1:12">
      <c r="A92" s="138" t="s">
        <v>59</v>
      </c>
      <c r="B92" s="149"/>
      <c r="C92" s="149"/>
      <c r="D92" s="149"/>
      <c r="E92" s="149"/>
      <c r="F92" s="149"/>
      <c r="G92" s="149"/>
      <c r="H92" s="149"/>
      <c r="I92" s="149"/>
      <c r="J92" s="149"/>
      <c r="K92" s="149"/>
      <c r="L92" s="143"/>
    </row>
    <row r="93" spans="1:12">
      <c r="A93" s="142"/>
      <c r="B93" s="149" t="s">
        <v>60</v>
      </c>
      <c r="C93" s="149"/>
      <c r="D93" s="149"/>
      <c r="E93" s="149"/>
      <c r="F93" s="149"/>
      <c r="G93" s="149"/>
      <c r="H93" s="149"/>
      <c r="I93" s="149"/>
      <c r="J93" s="149"/>
      <c r="K93" s="149"/>
      <c r="L93" s="143"/>
    </row>
    <row r="94" spans="1:12">
      <c r="A94" s="142"/>
      <c r="B94" s="170"/>
      <c r="C94" s="149"/>
      <c r="D94" s="149"/>
      <c r="E94" s="149"/>
      <c r="F94" s="149"/>
      <c r="G94" s="149"/>
      <c r="H94" s="149"/>
      <c r="I94" s="149"/>
      <c r="J94" s="149"/>
      <c r="K94" s="149"/>
      <c r="L94" s="143"/>
    </row>
    <row r="95" spans="1:12">
      <c r="A95" s="138" t="s">
        <v>61</v>
      </c>
      <c r="B95" s="149"/>
      <c r="C95" s="149"/>
      <c r="D95" s="149"/>
      <c r="E95" s="149"/>
      <c r="F95" s="149"/>
      <c r="G95" s="149"/>
      <c r="H95" s="149"/>
      <c r="I95" s="149"/>
      <c r="J95" s="149"/>
      <c r="K95" s="149"/>
      <c r="L95" s="143"/>
    </row>
    <row r="96" spans="1:12">
      <c r="A96" s="138"/>
      <c r="B96" s="149"/>
      <c r="C96" s="149"/>
      <c r="D96" s="149"/>
      <c r="E96" s="149"/>
      <c r="F96" s="149"/>
      <c r="G96" s="149"/>
      <c r="H96" s="149"/>
      <c r="I96" s="149"/>
      <c r="J96" s="149"/>
      <c r="K96" s="149"/>
      <c r="L96" s="143"/>
    </row>
    <row r="97" spans="1:12" ht="12.75" customHeight="1">
      <c r="A97" s="142"/>
      <c r="B97" s="147" t="s">
        <v>62</v>
      </c>
      <c r="C97" s="149"/>
      <c r="D97" s="149"/>
      <c r="E97" s="149"/>
      <c r="F97" s="149"/>
      <c r="G97" s="149"/>
      <c r="H97" s="149"/>
      <c r="I97" s="149"/>
      <c r="J97" s="149"/>
      <c r="K97" s="149"/>
      <c r="L97" s="143"/>
    </row>
    <row r="98" spans="1:12" ht="51" customHeight="1">
      <c r="A98" s="142"/>
      <c r="B98" s="235" t="s">
        <v>63</v>
      </c>
      <c r="C98" s="235"/>
      <c r="D98" s="235"/>
      <c r="E98" s="235"/>
      <c r="F98" s="235"/>
      <c r="G98" s="235"/>
      <c r="H98" s="235"/>
      <c r="I98" s="235"/>
      <c r="J98" s="235"/>
      <c r="K98" s="235"/>
      <c r="L98" s="143"/>
    </row>
    <row r="99" spans="1:12">
      <c r="A99" s="142"/>
      <c r="B99" s="170"/>
      <c r="C99" s="149"/>
      <c r="D99" s="149"/>
      <c r="E99" s="149"/>
      <c r="F99" s="149"/>
      <c r="G99" s="149"/>
      <c r="H99" s="149"/>
      <c r="I99" s="149"/>
      <c r="J99" s="149"/>
      <c r="K99" s="149"/>
      <c r="L99" s="143"/>
    </row>
    <row r="100" spans="1:12" ht="12.75" customHeight="1">
      <c r="A100" s="142"/>
      <c r="B100" s="147" t="s">
        <v>64</v>
      </c>
      <c r="C100" s="149"/>
      <c r="D100" s="149"/>
      <c r="E100" s="149"/>
      <c r="F100" s="149"/>
      <c r="G100" s="149"/>
      <c r="H100" s="149"/>
      <c r="I100" s="149"/>
      <c r="J100" s="149"/>
      <c r="K100" s="149"/>
      <c r="L100" s="143"/>
    </row>
    <row r="101" spans="1:12" ht="41.25" customHeight="1">
      <c r="A101" s="142"/>
      <c r="B101" s="235" t="s">
        <v>65</v>
      </c>
      <c r="C101" s="235"/>
      <c r="D101" s="235"/>
      <c r="E101" s="235"/>
      <c r="F101" s="235"/>
      <c r="G101" s="235"/>
      <c r="H101" s="235"/>
      <c r="I101" s="235"/>
      <c r="J101" s="235"/>
      <c r="K101" s="235"/>
      <c r="L101" s="143"/>
    </row>
    <row r="102" spans="1:12">
      <c r="A102" s="142"/>
      <c r="B102" s="149"/>
      <c r="C102" s="149"/>
      <c r="D102" s="149"/>
      <c r="E102" s="149"/>
      <c r="F102" s="149"/>
      <c r="G102" s="149"/>
      <c r="H102" s="149"/>
      <c r="I102" s="149"/>
      <c r="J102" s="149"/>
      <c r="K102" s="149"/>
      <c r="L102" s="143"/>
    </row>
    <row r="103" spans="1:12" ht="20.25" customHeight="1">
      <c r="A103" s="142"/>
      <c r="B103" s="147" t="s">
        <v>66</v>
      </c>
      <c r="C103" s="149"/>
      <c r="D103" s="149"/>
      <c r="E103" s="149"/>
      <c r="F103" s="149"/>
      <c r="G103" s="149"/>
      <c r="H103" s="149"/>
      <c r="I103" s="149"/>
      <c r="J103" s="149"/>
      <c r="K103" s="149"/>
      <c r="L103" s="143"/>
    </row>
    <row r="104" spans="1:12" ht="45" customHeight="1">
      <c r="A104" s="142"/>
      <c r="B104" s="235" t="s">
        <v>67</v>
      </c>
      <c r="C104" s="235"/>
      <c r="D104" s="235"/>
      <c r="E104" s="235"/>
      <c r="F104" s="235"/>
      <c r="G104" s="235"/>
      <c r="H104" s="235"/>
      <c r="I104" s="235"/>
      <c r="J104" s="235"/>
      <c r="K104" s="235"/>
      <c r="L104" s="143"/>
    </row>
    <row r="105" spans="1:12">
      <c r="A105" s="142"/>
      <c r="B105" s="149"/>
      <c r="C105" s="149"/>
      <c r="D105" s="149"/>
      <c r="E105" s="149"/>
      <c r="F105" s="149"/>
      <c r="G105" s="149"/>
      <c r="H105" s="149"/>
      <c r="I105" s="149"/>
      <c r="J105" s="149"/>
      <c r="K105" s="149"/>
      <c r="L105" s="143"/>
    </row>
    <row r="106" spans="1:12" ht="12.75" customHeight="1">
      <c r="A106" s="142"/>
      <c r="B106" s="147" t="s">
        <v>68</v>
      </c>
      <c r="C106" s="149"/>
      <c r="D106" s="149"/>
      <c r="E106" s="149"/>
      <c r="F106" s="149"/>
      <c r="G106" s="149"/>
      <c r="H106" s="149"/>
      <c r="I106" s="149"/>
      <c r="J106" s="149"/>
      <c r="K106" s="149"/>
      <c r="L106" s="143"/>
    </row>
    <row r="107" spans="1:12" ht="33" customHeight="1">
      <c r="A107" s="142"/>
      <c r="B107" s="238" t="s">
        <v>69</v>
      </c>
      <c r="C107" s="238"/>
      <c r="D107" s="238"/>
      <c r="E107" s="238"/>
      <c r="F107" s="238"/>
      <c r="G107" s="238"/>
      <c r="H107" s="238"/>
      <c r="I107" s="238"/>
      <c r="J107" s="238"/>
      <c r="K107" s="238"/>
      <c r="L107" s="143"/>
    </row>
    <row r="108" spans="1:12">
      <c r="A108" s="142"/>
      <c r="B108" s="149"/>
      <c r="C108" s="149"/>
      <c r="D108" s="149"/>
      <c r="E108" s="149"/>
      <c r="F108" s="149"/>
      <c r="G108" s="149"/>
      <c r="H108" s="149"/>
      <c r="I108" s="149"/>
      <c r="J108" s="149"/>
      <c r="K108" s="149"/>
      <c r="L108" s="143"/>
    </row>
    <row r="109" spans="1:12">
      <c r="A109" s="138" t="s">
        <v>70</v>
      </c>
      <c r="B109" s="149"/>
      <c r="C109" s="149"/>
      <c r="D109" s="149"/>
      <c r="E109" s="149"/>
      <c r="F109" s="149"/>
      <c r="G109" s="149"/>
      <c r="H109" s="149"/>
      <c r="I109" s="149"/>
      <c r="J109" s="149"/>
      <c r="K109" s="149"/>
      <c r="L109" s="143"/>
    </row>
    <row r="110" spans="1:12" ht="12.75" customHeight="1">
      <c r="A110" s="138"/>
      <c r="B110" s="149"/>
      <c r="C110" s="149"/>
      <c r="D110" s="149"/>
      <c r="E110" s="149"/>
      <c r="F110" s="149"/>
      <c r="G110" s="149"/>
      <c r="H110" s="149"/>
      <c r="I110" s="149"/>
      <c r="J110" s="149"/>
      <c r="K110" s="149"/>
      <c r="L110" s="143"/>
    </row>
    <row r="111" spans="1:12">
      <c r="A111" s="142"/>
      <c r="B111" s="147" t="s">
        <v>71</v>
      </c>
      <c r="C111" s="149"/>
      <c r="D111" s="149"/>
      <c r="E111" s="149"/>
      <c r="F111" s="149"/>
      <c r="G111" s="149"/>
      <c r="H111" s="149"/>
      <c r="I111" s="149"/>
      <c r="J111" s="149"/>
      <c r="K111" s="149"/>
      <c r="L111" s="143"/>
    </row>
    <row r="112" spans="1:12" ht="57.75" customHeight="1">
      <c r="A112" s="142"/>
      <c r="B112" s="235" t="str">
        <f>B98</f>
        <v>Si los recursos del proyecto provienen del nivel central(recursos asignados para el funcionamiento o que procesada de leyes, decretos, acuerdos, resoluciones, o cualquier otra fuentes asignada por la nación o gobernación sobre la cual la Universidad no tiene potestad para establecer valor a girársele sus cuentas) indique el valor en pesos para el proyecto. Tenga en cuenta que se está cuantificando el proyecto no las actividades.</v>
      </c>
      <c r="C112" s="235"/>
      <c r="D112" s="235"/>
      <c r="E112" s="235"/>
      <c r="F112" s="235"/>
      <c r="G112" s="235"/>
      <c r="H112" s="235"/>
      <c r="I112" s="235"/>
      <c r="J112" s="235"/>
      <c r="K112" s="235"/>
      <c r="L112" s="143"/>
    </row>
    <row r="113" spans="1:12" ht="12.75" customHeight="1">
      <c r="A113" s="142"/>
      <c r="B113" s="170"/>
      <c r="C113" s="149"/>
      <c r="D113" s="149"/>
      <c r="E113" s="149"/>
      <c r="F113" s="149"/>
      <c r="G113" s="149"/>
      <c r="H113" s="149"/>
      <c r="I113" s="149"/>
      <c r="J113" s="149"/>
      <c r="K113" s="149"/>
      <c r="L113" s="143"/>
    </row>
    <row r="114" spans="1:12">
      <c r="A114" s="142"/>
      <c r="B114" s="147" t="s">
        <v>72</v>
      </c>
      <c r="C114" s="149"/>
      <c r="D114" s="149"/>
      <c r="E114" s="149"/>
      <c r="F114" s="149"/>
      <c r="G114" s="149"/>
      <c r="H114" s="149"/>
      <c r="I114" s="149"/>
      <c r="J114" s="149"/>
      <c r="K114" s="149"/>
      <c r="L114" s="143"/>
    </row>
    <row r="115" spans="1:12" ht="47.25" customHeight="1">
      <c r="A115" s="142"/>
      <c r="B115" s="235" t="str">
        <f>B101</f>
        <v>Si los recursos del proyecto provienen de autogestión(recusos de procedan de postgrados, venta de servicios o gestion que procedan del Departamento de Extensión) indique el valor en pesos para el proyecto. Tenga en cuenta que se está cuantificando el proyecto no las actividades.</v>
      </c>
      <c r="C115" s="235"/>
      <c r="D115" s="235"/>
      <c r="E115" s="235"/>
      <c r="F115" s="235"/>
      <c r="G115" s="235"/>
      <c r="H115" s="235"/>
      <c r="I115" s="235"/>
      <c r="J115" s="235"/>
      <c r="K115" s="235"/>
      <c r="L115" s="143"/>
    </row>
    <row r="116" spans="1:12" ht="12.75" customHeight="1">
      <c r="A116" s="142"/>
      <c r="B116" s="149"/>
      <c r="C116" s="149"/>
      <c r="D116" s="149"/>
      <c r="E116" s="149"/>
      <c r="F116" s="149"/>
      <c r="G116" s="149"/>
      <c r="H116" s="149"/>
      <c r="I116" s="149"/>
      <c r="J116" s="149"/>
      <c r="K116" s="149"/>
      <c r="L116" s="143"/>
    </row>
    <row r="117" spans="1:12">
      <c r="A117" s="142"/>
      <c r="B117" s="147" t="s">
        <v>73</v>
      </c>
      <c r="C117" s="149"/>
      <c r="D117" s="149"/>
      <c r="E117" s="149"/>
      <c r="F117" s="149"/>
      <c r="G117" s="149"/>
      <c r="H117" s="149"/>
      <c r="I117" s="149"/>
      <c r="J117" s="149"/>
      <c r="K117" s="149"/>
      <c r="L117" s="143"/>
    </row>
    <row r="118" spans="1:12" ht="51.75" customHeight="1">
      <c r="A118" s="142"/>
      <c r="B118" s="235" t="str">
        <f>B104</f>
        <v>Si los recursos del proyecto provienen de convenios(recursos provenientes de Minciencias, Sistema General de Regalías, contratos o convenios gestionadas a través del Departamento de Investigación) indique el valor en pesos para el proyecto según el tipo de convenio. Tenga en cuenta que se está cuantificando el proyecto no las actividades.</v>
      </c>
      <c r="C118" s="235"/>
      <c r="D118" s="235"/>
      <c r="E118" s="235"/>
      <c r="F118" s="235"/>
      <c r="G118" s="235"/>
      <c r="H118" s="235"/>
      <c r="I118" s="235"/>
      <c r="J118" s="235"/>
      <c r="K118" s="235"/>
      <c r="L118" s="143"/>
    </row>
    <row r="119" spans="1:12" ht="12.75" customHeight="1">
      <c r="A119" s="142"/>
      <c r="B119" s="149"/>
      <c r="C119" s="149"/>
      <c r="D119" s="149"/>
      <c r="E119" s="149"/>
      <c r="F119" s="149"/>
      <c r="G119" s="149"/>
      <c r="H119" s="149"/>
      <c r="I119" s="149"/>
      <c r="J119" s="149"/>
      <c r="K119" s="149"/>
      <c r="L119" s="143"/>
    </row>
    <row r="120" spans="1:12" ht="12.75" customHeight="1">
      <c r="A120" s="142"/>
      <c r="B120" s="147" t="s">
        <v>74</v>
      </c>
      <c r="C120" s="149"/>
      <c r="D120" s="149"/>
      <c r="E120" s="149"/>
      <c r="F120" s="149"/>
      <c r="G120" s="149"/>
      <c r="H120" s="149"/>
      <c r="I120" s="149"/>
      <c r="J120" s="149"/>
      <c r="K120" s="149"/>
      <c r="L120" s="143"/>
    </row>
    <row r="121" spans="1:12" ht="36" customHeight="1">
      <c r="A121" s="142"/>
      <c r="B121" s="238" t="str">
        <f>B107</f>
        <v>Celda formulada, no diligenciar.
Se autorrellena el valor correspondiente a la sumatoria de los recursos.</v>
      </c>
      <c r="C121" s="238"/>
      <c r="D121" s="238"/>
      <c r="E121" s="238"/>
      <c r="F121" s="238"/>
      <c r="G121" s="238"/>
      <c r="H121" s="238"/>
      <c r="I121" s="238"/>
      <c r="J121" s="238"/>
      <c r="K121" s="238"/>
      <c r="L121" s="143"/>
    </row>
    <row r="122" spans="1:12" ht="12.75" customHeight="1">
      <c r="A122" s="158"/>
      <c r="B122"/>
      <c r="C122"/>
      <c r="D122"/>
      <c r="E122"/>
      <c r="F122"/>
      <c r="G122"/>
      <c r="H122"/>
      <c r="I122"/>
      <c r="J122"/>
      <c r="K122"/>
      <c r="L122" s="159"/>
    </row>
    <row r="123" spans="1:12">
      <c r="A123" s="138" t="s">
        <v>75</v>
      </c>
      <c r="B123" s="149"/>
      <c r="C123" s="149"/>
      <c r="D123" s="149"/>
      <c r="E123" s="149"/>
      <c r="F123" s="149"/>
      <c r="G123" s="149"/>
      <c r="H123" s="149"/>
      <c r="I123" s="149"/>
      <c r="J123" s="149"/>
      <c r="K123" s="149"/>
      <c r="L123" s="159"/>
    </row>
    <row r="124" spans="1:12">
      <c r="A124" s="138"/>
      <c r="B124" s="149"/>
      <c r="C124" s="149"/>
      <c r="D124" s="149"/>
      <c r="E124" s="149"/>
      <c r="F124" s="149"/>
      <c r="G124" s="149"/>
      <c r="H124" s="149"/>
      <c r="I124" s="149"/>
      <c r="J124" s="149"/>
      <c r="K124" s="149"/>
      <c r="L124" s="159"/>
    </row>
    <row r="125" spans="1:12" ht="12.75" customHeight="1">
      <c r="A125" s="142"/>
      <c r="B125" s="147" t="s">
        <v>76</v>
      </c>
      <c r="C125" s="149"/>
      <c r="D125" s="149"/>
      <c r="E125" s="149"/>
      <c r="F125" s="149"/>
      <c r="G125" s="149"/>
      <c r="H125" s="149"/>
      <c r="I125" s="149"/>
      <c r="J125" s="149"/>
      <c r="K125" s="149"/>
      <c r="L125" s="159"/>
    </row>
    <row r="126" spans="1:12" ht="55.5" customHeight="1">
      <c r="A126" s="142"/>
      <c r="B126" s="235" t="str">
        <f>B112</f>
        <v>Si los recursos del proyecto provienen del nivel central(recursos asignados para el funcionamiento o que procesada de leyes, decretos, acuerdos, resoluciones, o cualquier otra fuentes asignada por la nación o gobernación sobre la cual la Universidad no tiene potestad para establecer valor a girársele sus cuentas) indique el valor en pesos para el proyecto. Tenga en cuenta que se está cuantificando el proyecto no las actividades.</v>
      </c>
      <c r="C126" s="235"/>
      <c r="D126" s="235"/>
      <c r="E126" s="235"/>
      <c r="F126" s="235"/>
      <c r="G126" s="235"/>
      <c r="H126" s="235"/>
      <c r="I126" s="235"/>
      <c r="J126" s="235"/>
      <c r="K126" s="235"/>
      <c r="L126" s="159"/>
    </row>
    <row r="127" spans="1:12">
      <c r="A127" s="142"/>
      <c r="B127" s="170"/>
      <c r="C127" s="149"/>
      <c r="D127" s="149"/>
      <c r="E127" s="149"/>
      <c r="F127" s="149"/>
      <c r="G127" s="149"/>
      <c r="H127" s="149"/>
      <c r="I127" s="149"/>
      <c r="J127" s="149"/>
      <c r="K127" s="149"/>
      <c r="L127" s="159"/>
    </row>
    <row r="128" spans="1:12" ht="12.75" customHeight="1">
      <c r="A128" s="142"/>
      <c r="B128" s="147" t="s">
        <v>77</v>
      </c>
      <c r="C128" s="149"/>
      <c r="D128" s="149"/>
      <c r="E128" s="149"/>
      <c r="F128" s="149"/>
      <c r="G128" s="149"/>
      <c r="H128" s="149"/>
      <c r="I128" s="149"/>
      <c r="J128" s="149"/>
      <c r="K128" s="149"/>
      <c r="L128" s="159"/>
    </row>
    <row r="129" spans="1:12" ht="44.25" customHeight="1">
      <c r="A129" s="142"/>
      <c r="B129" s="235" t="str">
        <f>B115</f>
        <v>Si los recursos del proyecto provienen de autogestión(recusos de procedan de postgrados, venta de servicios o gestion que procedan del Departamento de Extensión) indique el valor en pesos para el proyecto. Tenga en cuenta que se está cuantificando el proyecto no las actividades.</v>
      </c>
      <c r="C129" s="235"/>
      <c r="D129" s="235"/>
      <c r="E129" s="235"/>
      <c r="F129" s="235"/>
      <c r="G129" s="235"/>
      <c r="H129" s="235"/>
      <c r="I129" s="235"/>
      <c r="J129" s="235"/>
      <c r="K129" s="235"/>
      <c r="L129" s="159"/>
    </row>
    <row r="130" spans="1:12" ht="15" customHeight="1">
      <c r="A130" s="142"/>
      <c r="B130" s="149"/>
      <c r="C130" s="149"/>
      <c r="D130" s="149"/>
      <c r="E130" s="149"/>
      <c r="F130" s="149"/>
      <c r="G130" s="149"/>
      <c r="H130" s="149"/>
      <c r="I130" s="149"/>
      <c r="J130" s="149"/>
      <c r="K130" s="149"/>
      <c r="L130" s="159"/>
    </row>
    <row r="131" spans="1:12">
      <c r="A131" s="142"/>
      <c r="B131" s="147" t="s">
        <v>78</v>
      </c>
      <c r="C131" s="149"/>
      <c r="D131" s="149"/>
      <c r="E131" s="149"/>
      <c r="F131" s="149"/>
      <c r="G131" s="149"/>
      <c r="H131" s="149"/>
      <c r="I131" s="149"/>
      <c r="J131" s="149"/>
      <c r="K131" s="149"/>
      <c r="L131" s="159"/>
    </row>
    <row r="132" spans="1:12" ht="41.25" customHeight="1">
      <c r="A132" s="142"/>
      <c r="B132" s="235" t="str">
        <f>B118</f>
        <v>Si los recursos del proyecto provienen de convenios(recursos provenientes de Minciencias, Sistema General de Regalías, contratos o convenios gestionadas a través del Departamento de Investigación) indique el valor en pesos para el proyecto según el tipo de convenio. Tenga en cuenta que se está cuantificando el proyecto no las actividades.</v>
      </c>
      <c r="C132" s="235"/>
      <c r="D132" s="235"/>
      <c r="E132" s="235"/>
      <c r="F132" s="235"/>
      <c r="G132" s="235"/>
      <c r="H132" s="235"/>
      <c r="I132" s="235"/>
      <c r="J132" s="235"/>
      <c r="K132" s="235"/>
      <c r="L132" s="159"/>
    </row>
    <row r="133" spans="1:12">
      <c r="A133" s="142"/>
      <c r="B133" s="149"/>
      <c r="C133" s="149"/>
      <c r="D133" s="149"/>
      <c r="E133" s="149"/>
      <c r="F133" s="149"/>
      <c r="G133" s="149"/>
      <c r="H133" s="149"/>
      <c r="I133" s="149"/>
      <c r="J133" s="149"/>
      <c r="K133" s="149"/>
      <c r="L133" s="159"/>
    </row>
    <row r="134" spans="1:12" ht="15" customHeight="1">
      <c r="A134" s="142"/>
      <c r="B134" s="147" t="s">
        <v>79</v>
      </c>
      <c r="C134" s="149"/>
      <c r="D134" s="149"/>
      <c r="E134" s="149"/>
      <c r="F134" s="149"/>
      <c r="G134" s="149"/>
      <c r="H134" s="149"/>
      <c r="I134" s="149"/>
      <c r="J134" s="149"/>
      <c r="K134" s="149"/>
      <c r="L134" s="159"/>
    </row>
    <row r="135" spans="1:12" ht="26.25" customHeight="1">
      <c r="A135" s="142"/>
      <c r="B135" s="238" t="str">
        <f>B121</f>
        <v>Celda formulada, no diligenciar.
Se autorrellena el valor correspondiente a la sumatoria de los recursos.</v>
      </c>
      <c r="C135" s="238"/>
      <c r="D135" s="238"/>
      <c r="E135" s="238"/>
      <c r="F135" s="238"/>
      <c r="G135" s="238"/>
      <c r="H135" s="238"/>
      <c r="I135" s="238"/>
      <c r="J135" s="238"/>
      <c r="K135" s="238"/>
      <c r="L135" s="159"/>
    </row>
    <row r="136" spans="1:12" ht="12.75" customHeight="1">
      <c r="A136" s="158"/>
      <c r="B136"/>
      <c r="C136"/>
      <c r="D136"/>
      <c r="E136"/>
      <c r="F136"/>
      <c r="G136"/>
      <c r="H136"/>
      <c r="I136"/>
      <c r="J136"/>
      <c r="K136"/>
      <c r="L136" s="159"/>
    </row>
    <row r="137" spans="1:12" ht="14.25" customHeight="1">
      <c r="A137" s="138" t="s">
        <v>80</v>
      </c>
      <c r="B137" s="149"/>
      <c r="C137" s="149"/>
      <c r="D137" s="149"/>
      <c r="E137" s="149"/>
      <c r="F137" s="149"/>
      <c r="G137" s="149"/>
      <c r="H137" s="149"/>
      <c r="I137" s="149"/>
      <c r="J137" s="149"/>
      <c r="K137" s="149"/>
      <c r="L137" s="159"/>
    </row>
    <row r="138" spans="1:12" ht="15" customHeight="1">
      <c r="A138" s="138"/>
      <c r="B138" s="149"/>
      <c r="C138" s="149"/>
      <c r="D138" s="149"/>
      <c r="E138" s="149"/>
      <c r="F138" s="149"/>
      <c r="G138" s="149"/>
      <c r="H138" s="149"/>
      <c r="I138" s="149"/>
      <c r="J138" s="149"/>
      <c r="K138" s="149"/>
      <c r="L138" s="159"/>
    </row>
    <row r="139" spans="1:12" ht="12.75" customHeight="1">
      <c r="A139" s="142"/>
      <c r="B139" s="147" t="s">
        <v>81</v>
      </c>
      <c r="C139" s="149"/>
      <c r="D139" s="149"/>
      <c r="E139" s="149"/>
      <c r="F139" s="149"/>
      <c r="G139" s="149"/>
      <c r="H139" s="149"/>
      <c r="I139" s="149"/>
      <c r="J139" s="149"/>
      <c r="K139" s="149"/>
      <c r="L139" s="159"/>
    </row>
    <row r="140" spans="1:12" ht="60" customHeight="1">
      <c r="A140" s="142"/>
      <c r="B140" s="235" t="str">
        <f>B126</f>
        <v>Si los recursos del proyecto provienen del nivel central(recursos asignados para el funcionamiento o que procesada de leyes, decretos, acuerdos, resoluciones, o cualquier otra fuentes asignada por la nación o gobernación sobre la cual la Universidad no tiene potestad para establecer valor a girársele sus cuentas) indique el valor en pesos para el proyecto. Tenga en cuenta que se está cuantificando el proyecto no las actividades.</v>
      </c>
      <c r="C140" s="235"/>
      <c r="D140" s="235"/>
      <c r="E140" s="235"/>
      <c r="F140" s="235"/>
      <c r="G140" s="235"/>
      <c r="H140" s="235"/>
      <c r="I140" s="235"/>
      <c r="J140" s="235"/>
      <c r="K140" s="235"/>
      <c r="L140" s="159"/>
    </row>
    <row r="141" spans="1:12">
      <c r="A141" s="142"/>
      <c r="B141" s="170"/>
      <c r="C141" s="149"/>
      <c r="D141" s="149"/>
      <c r="E141" s="149"/>
      <c r="F141" s="149"/>
      <c r="G141" s="149"/>
      <c r="H141" s="149"/>
      <c r="I141" s="149"/>
      <c r="J141" s="149"/>
      <c r="K141" s="149"/>
      <c r="L141" s="159"/>
    </row>
    <row r="142" spans="1:12">
      <c r="A142" s="142"/>
      <c r="B142" s="147" t="s">
        <v>82</v>
      </c>
      <c r="C142" s="149"/>
      <c r="D142" s="149"/>
      <c r="E142" s="149"/>
      <c r="F142" s="149"/>
      <c r="G142" s="149"/>
      <c r="H142" s="149"/>
      <c r="I142" s="149"/>
      <c r="J142" s="149"/>
      <c r="K142" s="149"/>
      <c r="L142" s="159"/>
    </row>
    <row r="143" spans="1:12" ht="49.5" customHeight="1">
      <c r="A143" s="142"/>
      <c r="B143" s="235" t="str">
        <f>B129</f>
        <v>Si los recursos del proyecto provienen de autogestión(recusos de procedan de postgrados, venta de servicios o gestion que procedan del Departamento de Extensión) indique el valor en pesos para el proyecto. Tenga en cuenta que se está cuantificando el proyecto no las actividades.</v>
      </c>
      <c r="C143" s="235"/>
      <c r="D143" s="235"/>
      <c r="E143" s="235"/>
      <c r="F143" s="235"/>
      <c r="G143" s="235"/>
      <c r="H143" s="235"/>
      <c r="I143" s="235"/>
      <c r="J143" s="235"/>
      <c r="K143" s="235"/>
      <c r="L143" s="159"/>
    </row>
    <row r="144" spans="1:12">
      <c r="A144" s="142"/>
      <c r="B144" s="149"/>
      <c r="C144" s="149"/>
      <c r="D144" s="149"/>
      <c r="E144" s="149"/>
      <c r="F144" s="149"/>
      <c r="G144" s="149"/>
      <c r="H144" s="149"/>
      <c r="I144" s="149"/>
      <c r="J144" s="149"/>
      <c r="K144" s="149"/>
      <c r="L144" s="159"/>
    </row>
    <row r="145" spans="1:12" ht="15" customHeight="1">
      <c r="A145" s="142"/>
      <c r="B145" s="147" t="s">
        <v>83</v>
      </c>
      <c r="C145" s="149"/>
      <c r="D145" s="149"/>
      <c r="E145" s="149"/>
      <c r="F145" s="149"/>
      <c r="G145" s="149"/>
      <c r="H145" s="149"/>
      <c r="I145" s="149"/>
      <c r="J145" s="149"/>
      <c r="K145" s="149"/>
      <c r="L145" s="159"/>
    </row>
    <row r="146" spans="1:12" ht="40.5" customHeight="1">
      <c r="A146" s="142"/>
      <c r="B146" s="235" t="str">
        <f>B132</f>
        <v>Si los recursos del proyecto provienen de convenios(recursos provenientes de Minciencias, Sistema General de Regalías, contratos o convenios gestionadas a través del Departamento de Investigación) indique el valor en pesos para el proyecto según el tipo de convenio. Tenga en cuenta que se está cuantificando el proyecto no las actividades.</v>
      </c>
      <c r="C146" s="235"/>
      <c r="D146" s="235"/>
      <c r="E146" s="235"/>
      <c r="F146" s="235"/>
      <c r="G146" s="235"/>
      <c r="H146" s="235"/>
      <c r="I146" s="235"/>
      <c r="J146" s="235"/>
      <c r="K146" s="235"/>
      <c r="L146" s="159"/>
    </row>
    <row r="147" spans="1:12">
      <c r="A147" s="142"/>
      <c r="B147" s="149"/>
      <c r="C147" s="149"/>
      <c r="D147" s="149"/>
      <c r="E147" s="149"/>
      <c r="F147" s="149"/>
      <c r="G147" s="149"/>
      <c r="H147" s="149"/>
      <c r="I147" s="149"/>
      <c r="J147" s="149"/>
      <c r="K147" s="149"/>
      <c r="L147" s="159"/>
    </row>
    <row r="148" spans="1:12">
      <c r="A148" s="142"/>
      <c r="B148" s="147" t="s">
        <v>84</v>
      </c>
      <c r="C148" s="149"/>
      <c r="D148" s="149"/>
      <c r="E148" s="149"/>
      <c r="F148" s="149"/>
      <c r="G148" s="149"/>
      <c r="H148" s="149"/>
      <c r="I148" s="149"/>
      <c r="J148" s="149"/>
      <c r="K148" s="149"/>
      <c r="L148" s="159"/>
    </row>
    <row r="149" spans="1:12" ht="30.75" customHeight="1">
      <c r="A149" s="142"/>
      <c r="B149" s="238" t="str">
        <f>B135</f>
        <v>Celda formulada, no diligenciar.
Se autorrellena el valor correspondiente a la sumatoria de los recursos.</v>
      </c>
      <c r="C149" s="238"/>
      <c r="D149" s="238"/>
      <c r="E149" s="238"/>
      <c r="F149" s="238"/>
      <c r="G149" s="238"/>
      <c r="H149" s="238"/>
      <c r="I149" s="238"/>
      <c r="J149" s="238"/>
      <c r="K149" s="238"/>
      <c r="L149" s="159"/>
    </row>
    <row r="150" spans="1:12" ht="17.25" customHeight="1">
      <c r="A150" s="158"/>
      <c r="B150"/>
      <c r="C150"/>
      <c r="D150"/>
      <c r="E150"/>
      <c r="F150"/>
      <c r="G150"/>
      <c r="H150"/>
      <c r="I150"/>
      <c r="J150"/>
      <c r="K150"/>
      <c r="L150" s="159"/>
    </row>
    <row r="151" spans="1:12">
      <c r="A151" s="138" t="s">
        <v>85</v>
      </c>
      <c r="B151"/>
      <c r="C151"/>
      <c r="D151"/>
      <c r="E151"/>
      <c r="F151"/>
      <c r="G151"/>
      <c r="H151"/>
      <c r="I151"/>
      <c r="J151"/>
      <c r="K151"/>
      <c r="L151" s="159"/>
    </row>
    <row r="152" spans="1:12" ht="14.25" customHeight="1">
      <c r="A152" s="158"/>
      <c r="B152" s="27" t="s">
        <v>86</v>
      </c>
      <c r="C152"/>
      <c r="D152"/>
      <c r="E152"/>
      <c r="F152"/>
      <c r="G152"/>
      <c r="H152"/>
      <c r="I152"/>
      <c r="J152"/>
      <c r="K152"/>
      <c r="L152" s="159"/>
    </row>
    <row r="153" spans="1:12" ht="13.5" thickBot="1">
      <c r="A153" s="160"/>
      <c r="B153" s="89"/>
      <c r="C153" s="89"/>
      <c r="D153" s="89"/>
      <c r="E153" s="89"/>
      <c r="F153" s="89"/>
      <c r="G153" s="89"/>
      <c r="H153" s="89"/>
      <c r="I153" s="89"/>
      <c r="J153" s="89"/>
      <c r="K153" s="89"/>
      <c r="L153" s="161"/>
    </row>
    <row r="154" spans="1:12" ht="29.45" customHeight="1">
      <c r="A154" s="231" t="s">
        <v>87</v>
      </c>
      <c r="B154" s="232"/>
      <c r="C154" s="232"/>
      <c r="D154" s="232"/>
      <c r="E154" s="232"/>
      <c r="F154" s="232"/>
      <c r="G154" s="232"/>
      <c r="H154" s="232"/>
      <c r="I154" s="232"/>
      <c r="J154" s="232"/>
      <c r="K154" s="232"/>
      <c r="L154" s="233"/>
    </row>
    <row r="155" spans="1:12">
      <c r="A155" s="142"/>
      <c r="B155" s="170"/>
      <c r="C155" s="149"/>
      <c r="D155" s="149"/>
      <c r="E155" s="149"/>
      <c r="F155" s="149"/>
      <c r="G155" s="149"/>
      <c r="H155" s="149"/>
      <c r="I155" s="149"/>
      <c r="J155" s="149"/>
      <c r="K155" s="149"/>
      <c r="L155" s="143"/>
    </row>
    <row r="156" spans="1:12" ht="43.5" customHeight="1">
      <c r="A156" s="236" t="s">
        <v>88</v>
      </c>
      <c r="B156" s="237"/>
      <c r="C156" s="237"/>
      <c r="D156" s="237"/>
      <c r="E156" s="237"/>
      <c r="F156" s="237"/>
      <c r="G156" s="237"/>
      <c r="H156" s="237"/>
      <c r="I156" s="237"/>
      <c r="J156" s="237"/>
      <c r="K156" s="237"/>
      <c r="L156" s="144"/>
    </row>
    <row r="157" spans="1:12">
      <c r="A157" s="163"/>
      <c r="L157" s="164"/>
    </row>
    <row r="158" spans="1:12">
      <c r="A158" s="165" t="s">
        <v>89</v>
      </c>
      <c r="L158" s="164"/>
    </row>
    <row r="159" spans="1:12">
      <c r="A159" s="165"/>
      <c r="L159" s="164"/>
    </row>
    <row r="160" spans="1:12">
      <c r="A160" s="142"/>
      <c r="B160" s="147" t="s">
        <v>90</v>
      </c>
      <c r="C160" s="149"/>
      <c r="D160" s="149"/>
      <c r="E160" s="149"/>
      <c r="F160" s="149"/>
      <c r="G160" s="149"/>
      <c r="H160" s="149"/>
      <c r="I160" s="149"/>
      <c r="J160" s="149"/>
      <c r="K160" s="149"/>
      <c r="L160" s="143"/>
    </row>
    <row r="161" spans="1:12">
      <c r="A161" s="142"/>
      <c r="B161" s="238" t="s">
        <v>91</v>
      </c>
      <c r="C161" s="238"/>
      <c r="D161" s="238"/>
      <c r="E161" s="238"/>
      <c r="F161" s="238"/>
      <c r="G161" s="238"/>
      <c r="H161" s="238"/>
      <c r="I161" s="238"/>
      <c r="J161" s="238"/>
      <c r="K161" s="238"/>
      <c r="L161" s="143"/>
    </row>
    <row r="162" spans="1:12">
      <c r="A162" s="142"/>
      <c r="B162" s="147"/>
      <c r="C162" s="149"/>
      <c r="D162" s="149"/>
      <c r="E162" s="149"/>
      <c r="F162" s="149"/>
      <c r="G162" s="149"/>
      <c r="H162" s="149"/>
      <c r="I162" s="149"/>
      <c r="J162" s="149"/>
      <c r="K162" s="149"/>
      <c r="L162" s="143"/>
    </row>
    <row r="163" spans="1:12">
      <c r="A163" s="142"/>
      <c r="B163" s="147" t="s">
        <v>92</v>
      </c>
      <c r="C163" s="149"/>
      <c r="D163" s="149"/>
      <c r="E163" s="149"/>
      <c r="F163" s="149"/>
      <c r="G163" s="149"/>
      <c r="H163" s="149"/>
      <c r="I163" s="149"/>
      <c r="J163" s="149"/>
      <c r="K163" s="149"/>
      <c r="L163" s="143"/>
    </row>
    <row r="164" spans="1:12" ht="12.75" customHeight="1">
      <c r="A164" s="142"/>
      <c r="B164" s="238" t="s">
        <v>93</v>
      </c>
      <c r="C164" s="238"/>
      <c r="D164" s="238"/>
      <c r="E164" s="238"/>
      <c r="F164" s="238"/>
      <c r="G164" s="238"/>
      <c r="H164" s="238"/>
      <c r="I164" s="238"/>
      <c r="J164" s="238"/>
      <c r="K164" s="238"/>
      <c r="L164" s="143"/>
    </row>
    <row r="165" spans="1:12" ht="12.75" customHeight="1">
      <c r="A165" s="142"/>
      <c r="B165" s="169"/>
      <c r="C165" s="169"/>
      <c r="D165" s="169"/>
      <c r="E165" s="169"/>
      <c r="F165" s="169"/>
      <c r="G165" s="169"/>
      <c r="H165" s="169"/>
      <c r="I165" s="169"/>
      <c r="J165" s="169"/>
      <c r="K165" s="169"/>
      <c r="L165" s="143"/>
    </row>
    <row r="166" spans="1:12">
      <c r="A166" s="142"/>
      <c r="B166" s="147" t="s">
        <v>94</v>
      </c>
      <c r="C166" s="149"/>
      <c r="D166" s="149"/>
      <c r="E166" s="149"/>
      <c r="F166" s="149"/>
      <c r="G166" s="149"/>
      <c r="H166" s="149"/>
      <c r="I166" s="149"/>
      <c r="J166" s="149"/>
      <c r="K166" s="149"/>
      <c r="L166" s="143"/>
    </row>
    <row r="167" spans="1:12">
      <c r="A167" s="163"/>
      <c r="B167" s="238" t="s">
        <v>95</v>
      </c>
      <c r="C167" s="238"/>
      <c r="D167" s="238"/>
      <c r="E167" s="238"/>
      <c r="F167" s="238"/>
      <c r="G167" s="238"/>
      <c r="H167" s="238"/>
      <c r="I167" s="238"/>
      <c r="J167" s="238"/>
      <c r="K167" s="238"/>
      <c r="L167" s="164"/>
    </row>
    <row r="168" spans="1:12">
      <c r="A168" s="163"/>
      <c r="B168" s="169"/>
      <c r="C168" s="169"/>
      <c r="D168" s="169"/>
      <c r="E168" s="169"/>
      <c r="F168" s="169"/>
      <c r="G168" s="169"/>
      <c r="H168" s="169"/>
      <c r="I168" s="169"/>
      <c r="J168" s="169"/>
      <c r="K168" s="169"/>
      <c r="L168" s="164"/>
    </row>
    <row r="169" spans="1:12">
      <c r="A169" s="163"/>
      <c r="B169" s="150" t="s">
        <v>96</v>
      </c>
      <c r="C169" s="170"/>
      <c r="D169" s="170"/>
      <c r="E169" s="170"/>
      <c r="F169" s="170"/>
      <c r="G169" s="170"/>
      <c r="H169" s="170"/>
      <c r="I169" s="170"/>
      <c r="J169" s="170"/>
      <c r="K169" s="170"/>
      <c r="L169" s="164"/>
    </row>
    <row r="170" spans="1:12">
      <c r="A170" s="138"/>
      <c r="B170" s="170" t="s">
        <v>95</v>
      </c>
      <c r="C170" s="170"/>
      <c r="D170" s="170"/>
      <c r="E170" s="170"/>
      <c r="F170" s="170"/>
      <c r="G170" s="170"/>
      <c r="H170" s="170"/>
      <c r="I170" s="170"/>
      <c r="J170" s="170"/>
      <c r="K170" s="170"/>
      <c r="L170" s="143"/>
    </row>
    <row r="171" spans="1:12" ht="12.75" customHeight="1">
      <c r="A171" s="142"/>
      <c r="B171" s="149"/>
      <c r="C171" s="149"/>
      <c r="D171" s="149"/>
      <c r="E171" s="149"/>
      <c r="F171" s="149"/>
      <c r="G171" s="149"/>
      <c r="H171" s="149"/>
      <c r="I171" s="149"/>
      <c r="J171" s="149"/>
      <c r="K171" s="149"/>
      <c r="L171" s="143"/>
    </row>
    <row r="172" spans="1:12" ht="12.75" customHeight="1">
      <c r="A172" s="138" t="s">
        <v>97</v>
      </c>
      <c r="B172" s="149"/>
      <c r="C172" s="149"/>
      <c r="D172" s="149"/>
      <c r="E172" s="149"/>
      <c r="F172" s="149"/>
      <c r="G172" s="149"/>
      <c r="H172" s="149"/>
      <c r="I172" s="149"/>
      <c r="J172" s="149"/>
      <c r="K172" s="149"/>
      <c r="L172" s="143"/>
    </row>
    <row r="173" spans="1:12" ht="12.75" customHeight="1">
      <c r="A173" s="138"/>
      <c r="B173" s="149"/>
      <c r="C173" s="149"/>
      <c r="D173" s="149"/>
      <c r="E173" s="149"/>
      <c r="F173" s="149"/>
      <c r="G173" s="149"/>
      <c r="H173" s="149"/>
      <c r="I173" s="149"/>
      <c r="J173" s="149"/>
      <c r="K173" s="149"/>
      <c r="L173" s="143"/>
    </row>
    <row r="174" spans="1:12">
      <c r="A174" s="142"/>
      <c r="B174" s="147" t="s">
        <v>98</v>
      </c>
      <c r="C174" s="149"/>
      <c r="D174" s="149"/>
      <c r="E174" s="149"/>
      <c r="F174" s="149"/>
      <c r="G174" s="149"/>
      <c r="H174" s="149"/>
      <c r="I174" s="149"/>
      <c r="J174" s="149"/>
      <c r="K174" s="149"/>
      <c r="L174" s="143"/>
    </row>
    <row r="175" spans="1:12" ht="31.5" customHeight="1">
      <c r="A175" s="142"/>
      <c r="B175" s="235" t="s">
        <v>99</v>
      </c>
      <c r="C175" s="235"/>
      <c r="D175" s="235"/>
      <c r="E175" s="235"/>
      <c r="F175" s="235"/>
      <c r="G175" s="235"/>
      <c r="H175" s="235"/>
      <c r="I175" s="235"/>
      <c r="J175" s="235"/>
      <c r="K175" s="235"/>
      <c r="L175" s="143"/>
    </row>
    <row r="176" spans="1:12" ht="12.75" customHeight="1">
      <c r="A176" s="142"/>
      <c r="B176" s="170"/>
      <c r="C176" s="149"/>
      <c r="D176" s="149"/>
      <c r="E176" s="149"/>
      <c r="F176" s="149"/>
      <c r="G176" s="149"/>
      <c r="H176" s="149"/>
      <c r="I176" s="149"/>
      <c r="J176" s="149"/>
      <c r="K176" s="149"/>
      <c r="L176" s="143"/>
    </row>
    <row r="177" spans="1:12">
      <c r="A177" s="142"/>
      <c r="B177" s="147" t="s">
        <v>100</v>
      </c>
      <c r="C177" s="149"/>
      <c r="D177" s="149"/>
      <c r="E177" s="149"/>
      <c r="F177" s="149"/>
      <c r="G177" s="149"/>
      <c r="H177" s="149"/>
      <c r="I177" s="149"/>
      <c r="J177" s="149"/>
      <c r="K177" s="149"/>
      <c r="L177" s="143"/>
    </row>
    <row r="178" spans="1:12" ht="28.5" customHeight="1">
      <c r="A178" s="142"/>
      <c r="B178" s="235" t="s">
        <v>99</v>
      </c>
      <c r="C178" s="235"/>
      <c r="D178" s="235"/>
      <c r="E178" s="235"/>
      <c r="F178" s="235"/>
      <c r="G178" s="235"/>
      <c r="H178" s="235"/>
      <c r="I178" s="235"/>
      <c r="J178" s="235"/>
      <c r="K178" s="235"/>
      <c r="L178" s="143"/>
    </row>
    <row r="179" spans="1:12" ht="12.75" customHeight="1">
      <c r="A179" s="142"/>
      <c r="B179" s="149"/>
      <c r="C179" s="149"/>
      <c r="D179" s="149"/>
      <c r="E179" s="149"/>
      <c r="F179" s="149"/>
      <c r="G179" s="149"/>
      <c r="H179" s="149"/>
      <c r="I179" s="149"/>
      <c r="J179" s="149"/>
      <c r="K179" s="149"/>
      <c r="L179" s="143"/>
    </row>
    <row r="180" spans="1:12" ht="12.75" customHeight="1">
      <c r="A180" s="142"/>
      <c r="B180" s="147" t="s">
        <v>101</v>
      </c>
      <c r="C180" s="149"/>
      <c r="D180" s="149"/>
      <c r="E180" s="149"/>
      <c r="F180" s="149"/>
      <c r="G180" s="149"/>
      <c r="H180" s="149"/>
      <c r="I180" s="149"/>
      <c r="J180" s="149"/>
      <c r="K180" s="149"/>
      <c r="L180" s="143"/>
    </row>
    <row r="181" spans="1:12" ht="27.75" customHeight="1">
      <c r="A181" s="163"/>
      <c r="B181" s="235" t="s">
        <v>99</v>
      </c>
      <c r="C181" s="235"/>
      <c r="D181" s="235"/>
      <c r="E181" s="235"/>
      <c r="F181" s="235"/>
      <c r="G181" s="235"/>
      <c r="H181" s="235"/>
      <c r="I181" s="235"/>
      <c r="J181" s="235"/>
      <c r="K181" s="235"/>
      <c r="L181" s="143"/>
    </row>
    <row r="182" spans="1:12">
      <c r="A182" s="138"/>
      <c r="B182" s="149"/>
      <c r="C182" s="149"/>
      <c r="D182" s="149"/>
      <c r="E182" s="149"/>
      <c r="F182" s="149"/>
      <c r="G182" s="149"/>
      <c r="H182" s="149"/>
      <c r="I182" s="149"/>
      <c r="J182" s="149"/>
      <c r="K182" s="149"/>
      <c r="L182" s="164"/>
    </row>
    <row r="183" spans="1:12">
      <c r="A183" s="138" t="s">
        <v>102</v>
      </c>
      <c r="B183" s="149"/>
      <c r="C183" s="149"/>
      <c r="D183" s="149"/>
      <c r="E183" s="149"/>
      <c r="F183" s="149"/>
      <c r="G183" s="149"/>
      <c r="H183" s="149"/>
      <c r="I183" s="149"/>
      <c r="J183" s="149"/>
      <c r="K183" s="149"/>
      <c r="L183" s="143"/>
    </row>
    <row r="184" spans="1:12">
      <c r="A184" s="142"/>
      <c r="B184" s="149"/>
      <c r="C184" s="149"/>
      <c r="D184" s="149"/>
      <c r="E184" s="149"/>
      <c r="F184" s="149"/>
      <c r="G184" s="149"/>
      <c r="H184" s="149"/>
      <c r="I184" s="149"/>
      <c r="J184" s="149"/>
      <c r="K184" s="149"/>
      <c r="L184" s="159"/>
    </row>
    <row r="185" spans="1:12">
      <c r="A185" s="142"/>
      <c r="B185" s="147" t="s">
        <v>98</v>
      </c>
      <c r="C185" s="149"/>
      <c r="D185" s="149"/>
      <c r="E185" s="149"/>
      <c r="F185" s="149"/>
      <c r="G185" s="149"/>
      <c r="H185" s="149"/>
      <c r="I185" s="149"/>
      <c r="J185" s="149"/>
      <c r="K185" s="149"/>
      <c r="L185" s="159"/>
    </row>
    <row r="186" spans="1:12" ht="33.75" customHeight="1">
      <c r="A186" s="142"/>
      <c r="B186" s="235" t="s">
        <v>99</v>
      </c>
      <c r="C186" s="235"/>
      <c r="D186" s="235"/>
      <c r="E186" s="235"/>
      <c r="F186" s="235"/>
      <c r="G186" s="235"/>
      <c r="H186" s="235"/>
      <c r="I186" s="235"/>
      <c r="J186" s="235"/>
      <c r="K186" s="235"/>
      <c r="L186" s="159"/>
    </row>
    <row r="187" spans="1:12">
      <c r="A187" s="142"/>
      <c r="B187" s="170"/>
      <c r="C187" s="149"/>
      <c r="D187" s="149"/>
      <c r="E187" s="149"/>
      <c r="F187" s="149"/>
      <c r="G187" s="149"/>
      <c r="H187" s="149"/>
      <c r="I187" s="149"/>
      <c r="J187" s="149"/>
      <c r="K187" s="149"/>
      <c r="L187" s="159"/>
    </row>
    <row r="188" spans="1:12" ht="15" customHeight="1">
      <c r="A188" s="142"/>
      <c r="B188" s="147" t="s">
        <v>100</v>
      </c>
      <c r="C188" s="149"/>
      <c r="D188" s="149"/>
      <c r="E188" s="149"/>
      <c r="F188" s="149"/>
      <c r="G188" s="149"/>
      <c r="H188" s="149"/>
      <c r="I188" s="149"/>
      <c r="J188" s="149"/>
      <c r="K188" s="149"/>
      <c r="L188" s="159"/>
    </row>
    <row r="189" spans="1:12" ht="33" customHeight="1">
      <c r="A189" s="142"/>
      <c r="B189" s="235" t="s">
        <v>99</v>
      </c>
      <c r="C189" s="235"/>
      <c r="D189" s="235"/>
      <c r="E189" s="235"/>
      <c r="F189" s="235"/>
      <c r="G189" s="235"/>
      <c r="H189" s="235"/>
      <c r="I189" s="235"/>
      <c r="J189" s="235"/>
      <c r="K189" s="235"/>
      <c r="L189" s="159"/>
    </row>
    <row r="190" spans="1:12">
      <c r="A190" s="142"/>
      <c r="B190" s="149"/>
      <c r="C190" s="149"/>
      <c r="D190" s="149"/>
      <c r="E190" s="149"/>
      <c r="F190" s="149"/>
      <c r="G190" s="149"/>
      <c r="H190" s="149"/>
      <c r="I190" s="149"/>
      <c r="J190" s="149"/>
      <c r="K190" s="149"/>
      <c r="L190" s="159"/>
    </row>
    <row r="191" spans="1:12">
      <c r="A191" s="142"/>
      <c r="B191" s="147" t="s">
        <v>101</v>
      </c>
      <c r="C191" s="149"/>
      <c r="D191" s="149"/>
      <c r="E191" s="149"/>
      <c r="F191" s="149"/>
      <c r="G191" s="149"/>
      <c r="H191" s="149"/>
      <c r="I191" s="149"/>
      <c r="J191" s="149"/>
      <c r="K191" s="149"/>
      <c r="L191" s="159"/>
    </row>
    <row r="192" spans="1:12" ht="29.25" customHeight="1">
      <c r="A192" s="163"/>
      <c r="B192" s="235" t="s">
        <v>99</v>
      </c>
      <c r="C192" s="235"/>
      <c r="D192" s="235"/>
      <c r="E192" s="235"/>
      <c r="F192" s="235"/>
      <c r="G192" s="235"/>
      <c r="H192" s="235"/>
      <c r="I192" s="235"/>
      <c r="J192" s="235"/>
      <c r="K192" s="235"/>
      <c r="L192" s="159"/>
    </row>
    <row r="193" spans="1:12">
      <c r="A193" s="138"/>
      <c r="B193" s="149"/>
      <c r="C193" s="149"/>
      <c r="D193" s="149"/>
      <c r="E193" s="149"/>
      <c r="F193" s="149"/>
      <c r="G193" s="149"/>
      <c r="H193" s="149"/>
      <c r="I193" s="149"/>
      <c r="J193" s="149"/>
      <c r="K193" s="149"/>
      <c r="L193" s="164"/>
    </row>
    <row r="194" spans="1:12" ht="23.45" customHeight="1">
      <c r="A194" s="138" t="s">
        <v>103</v>
      </c>
      <c r="B194" s="149"/>
      <c r="C194" s="149"/>
      <c r="D194" s="149"/>
      <c r="E194" s="149"/>
      <c r="F194" s="149"/>
      <c r="G194" s="149"/>
      <c r="H194" s="149"/>
      <c r="I194" s="149"/>
      <c r="J194" s="149"/>
      <c r="K194" s="149"/>
      <c r="L194" s="164"/>
    </row>
    <row r="195" spans="1:12" ht="15" customHeight="1">
      <c r="A195" s="138"/>
      <c r="B195" s="149"/>
      <c r="C195" s="149"/>
      <c r="D195" s="149"/>
      <c r="E195" s="149"/>
      <c r="F195" s="149"/>
      <c r="G195" s="149"/>
      <c r="H195" s="149"/>
      <c r="I195" s="149"/>
      <c r="J195" s="149"/>
      <c r="K195" s="149"/>
      <c r="L195" s="164"/>
    </row>
    <row r="196" spans="1:12">
      <c r="A196" s="142"/>
      <c r="B196" s="147" t="s">
        <v>98</v>
      </c>
      <c r="C196" s="149"/>
      <c r="D196" s="149"/>
      <c r="E196" s="149"/>
      <c r="F196" s="149"/>
      <c r="G196" s="149"/>
      <c r="H196" s="149"/>
      <c r="I196" s="149"/>
      <c r="J196" s="149"/>
      <c r="K196" s="149"/>
      <c r="L196" s="164"/>
    </row>
    <row r="197" spans="1:12" ht="28.5" customHeight="1">
      <c r="A197" s="142"/>
      <c r="B197" s="235" t="s">
        <v>99</v>
      </c>
      <c r="C197" s="235"/>
      <c r="D197" s="235"/>
      <c r="E197" s="235"/>
      <c r="F197" s="235"/>
      <c r="G197" s="235"/>
      <c r="H197" s="235"/>
      <c r="I197" s="235"/>
      <c r="J197" s="235"/>
      <c r="K197" s="235"/>
      <c r="L197" s="164"/>
    </row>
    <row r="198" spans="1:12">
      <c r="A198" s="142"/>
      <c r="B198" s="170"/>
      <c r="C198" s="149"/>
      <c r="D198" s="149"/>
      <c r="E198" s="149"/>
      <c r="F198" s="149"/>
      <c r="G198" s="149"/>
      <c r="H198" s="149"/>
      <c r="I198" s="149"/>
      <c r="J198" s="149"/>
      <c r="K198" s="149"/>
      <c r="L198" s="164"/>
    </row>
    <row r="199" spans="1:12">
      <c r="A199" s="142"/>
      <c r="B199" s="147" t="s">
        <v>100</v>
      </c>
      <c r="C199" s="149"/>
      <c r="D199" s="149"/>
      <c r="E199" s="149"/>
      <c r="F199" s="149"/>
      <c r="G199" s="149"/>
      <c r="H199" s="149"/>
      <c r="I199" s="149"/>
      <c r="J199" s="149"/>
      <c r="K199" s="149"/>
      <c r="L199" s="164"/>
    </row>
    <row r="200" spans="1:12" ht="28.5" customHeight="1">
      <c r="A200" s="142"/>
      <c r="B200" s="235" t="s">
        <v>99</v>
      </c>
      <c r="C200" s="235"/>
      <c r="D200" s="235"/>
      <c r="E200" s="235"/>
      <c r="F200" s="235"/>
      <c r="G200" s="235"/>
      <c r="H200" s="235"/>
      <c r="I200" s="235"/>
      <c r="J200" s="235"/>
      <c r="K200" s="235"/>
      <c r="L200" s="164"/>
    </row>
    <row r="201" spans="1:12">
      <c r="A201" s="142"/>
      <c r="B201" s="149"/>
      <c r="C201" s="149"/>
      <c r="D201" s="149"/>
      <c r="E201" s="149"/>
      <c r="F201" s="149"/>
      <c r="G201" s="149"/>
      <c r="H201" s="149"/>
      <c r="I201" s="149"/>
      <c r="J201" s="149"/>
      <c r="K201" s="149"/>
      <c r="L201" s="164"/>
    </row>
    <row r="202" spans="1:12">
      <c r="A202" s="163"/>
      <c r="B202" s="147" t="s">
        <v>101</v>
      </c>
      <c r="C202" s="149"/>
      <c r="D202" s="149"/>
      <c r="E202" s="149"/>
      <c r="F202" s="149"/>
      <c r="G202" s="149"/>
      <c r="H202" s="149"/>
      <c r="I202" s="149"/>
      <c r="J202" s="149"/>
      <c r="K202" s="149"/>
      <c r="L202" s="164"/>
    </row>
    <row r="203" spans="1:12" ht="25.5" customHeight="1">
      <c r="A203" s="163"/>
      <c r="B203" s="235" t="s">
        <v>99</v>
      </c>
      <c r="C203" s="235"/>
      <c r="D203" s="235"/>
      <c r="E203" s="235"/>
      <c r="F203" s="235"/>
      <c r="G203" s="235"/>
      <c r="H203" s="235"/>
      <c r="I203" s="235"/>
      <c r="J203" s="235"/>
      <c r="K203" s="235"/>
      <c r="L203" s="164"/>
    </row>
    <row r="204" spans="1:12">
      <c r="A204" s="138"/>
      <c r="L204" s="164"/>
    </row>
    <row r="205" spans="1:12">
      <c r="A205" s="138" t="s">
        <v>104</v>
      </c>
      <c r="B205" s="149"/>
      <c r="C205" s="149"/>
      <c r="D205" s="149"/>
      <c r="E205" s="149"/>
      <c r="F205" s="149"/>
      <c r="G205" s="149"/>
      <c r="H205" s="149"/>
      <c r="I205" s="149"/>
      <c r="J205" s="149"/>
      <c r="K205" s="149"/>
      <c r="L205" s="164"/>
    </row>
    <row r="206" spans="1:12">
      <c r="A206" s="142"/>
      <c r="B206" s="149"/>
      <c r="C206" s="149"/>
      <c r="D206" s="149"/>
      <c r="E206" s="149"/>
      <c r="F206" s="149"/>
      <c r="G206" s="149"/>
      <c r="H206" s="149"/>
      <c r="I206" s="149"/>
      <c r="J206" s="149"/>
      <c r="K206" s="149"/>
      <c r="L206" s="164"/>
    </row>
    <row r="207" spans="1:12">
      <c r="A207" s="142"/>
      <c r="B207" s="147" t="s">
        <v>98</v>
      </c>
      <c r="C207" s="149"/>
      <c r="D207" s="149"/>
      <c r="E207" s="149"/>
      <c r="F207" s="149"/>
      <c r="G207" s="149"/>
      <c r="H207" s="149"/>
      <c r="I207" s="149"/>
      <c r="J207" s="149"/>
      <c r="K207" s="149"/>
      <c r="L207" s="164"/>
    </row>
    <row r="208" spans="1:12" ht="28.5" customHeight="1">
      <c r="A208" s="142"/>
      <c r="B208" s="235" t="s">
        <v>99</v>
      </c>
      <c r="C208" s="235"/>
      <c r="D208" s="235"/>
      <c r="E208" s="235"/>
      <c r="F208" s="235"/>
      <c r="G208" s="235"/>
      <c r="H208" s="235"/>
      <c r="I208" s="235"/>
      <c r="J208" s="235"/>
      <c r="K208" s="235"/>
      <c r="L208" s="164"/>
    </row>
    <row r="209" spans="1:12">
      <c r="A209" s="142"/>
      <c r="B209" s="170"/>
      <c r="C209" s="149"/>
      <c r="D209" s="149"/>
      <c r="E209" s="149"/>
      <c r="F209" s="149"/>
      <c r="G209" s="149"/>
      <c r="H209" s="149"/>
      <c r="I209" s="149"/>
      <c r="J209" s="149"/>
      <c r="K209" s="149"/>
      <c r="L209" s="164"/>
    </row>
    <row r="210" spans="1:12">
      <c r="A210" s="142"/>
      <c r="B210" s="147" t="s">
        <v>100</v>
      </c>
      <c r="C210" s="149"/>
      <c r="D210" s="149"/>
      <c r="E210" s="149"/>
      <c r="F210" s="149"/>
      <c r="G210" s="149"/>
      <c r="H210" s="149"/>
      <c r="I210" s="149"/>
      <c r="J210" s="149"/>
      <c r="K210" s="149"/>
      <c r="L210" s="164"/>
    </row>
    <row r="211" spans="1:12" ht="27.75" customHeight="1">
      <c r="A211" s="142"/>
      <c r="B211" s="235" t="s">
        <v>99</v>
      </c>
      <c r="C211" s="235"/>
      <c r="D211" s="235"/>
      <c r="E211" s="235"/>
      <c r="F211" s="235"/>
      <c r="G211" s="235"/>
      <c r="H211" s="235"/>
      <c r="I211" s="235"/>
      <c r="J211" s="235"/>
      <c r="K211" s="235"/>
      <c r="L211" s="164"/>
    </row>
    <row r="212" spans="1:12">
      <c r="A212" s="142"/>
      <c r="B212" s="149"/>
      <c r="C212" s="149"/>
      <c r="D212" s="149"/>
      <c r="E212" s="149"/>
      <c r="F212" s="149"/>
      <c r="G212" s="149"/>
      <c r="H212" s="149"/>
      <c r="I212" s="149"/>
      <c r="J212" s="149"/>
      <c r="K212" s="149"/>
      <c r="L212" s="164"/>
    </row>
    <row r="213" spans="1:12">
      <c r="A213" s="163"/>
      <c r="B213" s="147" t="s">
        <v>101</v>
      </c>
      <c r="C213" s="149"/>
      <c r="D213" s="149"/>
      <c r="E213" s="149"/>
      <c r="F213" s="149"/>
      <c r="G213" s="149"/>
      <c r="H213" s="149"/>
      <c r="I213" s="149"/>
      <c r="J213" s="149"/>
      <c r="K213" s="149"/>
      <c r="L213" s="164"/>
    </row>
    <row r="214" spans="1:12" ht="26.25" customHeight="1">
      <c r="A214" s="158"/>
      <c r="B214" s="235" t="s">
        <v>99</v>
      </c>
      <c r="C214" s="235"/>
      <c r="D214" s="235"/>
      <c r="E214" s="235"/>
      <c r="F214" s="235"/>
      <c r="G214" s="235"/>
      <c r="H214" s="235"/>
      <c r="I214" s="235"/>
      <c r="J214" s="235"/>
      <c r="K214" s="235"/>
      <c r="L214" s="164"/>
    </row>
    <row r="215" spans="1:12">
      <c r="A215" s="163"/>
      <c r="L215" s="164"/>
    </row>
    <row r="216" spans="1:12" ht="13.5" thickBot="1">
      <c r="A216" s="166"/>
      <c r="B216" s="167"/>
      <c r="C216" s="167"/>
      <c r="D216" s="167"/>
      <c r="E216" s="167"/>
      <c r="F216" s="167"/>
      <c r="G216" s="167"/>
      <c r="H216" s="167"/>
      <c r="I216" s="167"/>
      <c r="J216" s="167"/>
      <c r="K216" s="167"/>
      <c r="L216" s="168"/>
    </row>
    <row r="217" spans="1:12">
      <c r="A217" s="135"/>
      <c r="B217" s="136"/>
      <c r="C217" s="136"/>
      <c r="D217" s="136"/>
      <c r="E217" s="136"/>
      <c r="F217" s="136"/>
      <c r="G217" s="136"/>
      <c r="H217" s="136"/>
      <c r="I217" s="136"/>
      <c r="J217" s="136"/>
      <c r="K217" s="136"/>
      <c r="L217" s="137"/>
    </row>
    <row r="218" spans="1:12" ht="15.75">
      <c r="A218" s="231" t="s">
        <v>105</v>
      </c>
      <c r="B218" s="232"/>
      <c r="C218" s="232"/>
      <c r="D218" s="232"/>
      <c r="E218" s="232"/>
      <c r="F218" s="232"/>
      <c r="G218" s="232"/>
      <c r="H218" s="232"/>
      <c r="I218" s="232"/>
      <c r="J218" s="232"/>
      <c r="K218" s="232"/>
      <c r="L218" s="233"/>
    </row>
    <row r="219" spans="1:12">
      <c r="A219" s="163"/>
      <c r="L219" s="164"/>
    </row>
    <row r="220" spans="1:12" ht="60" customHeight="1">
      <c r="A220" s="163"/>
      <c r="B220" s="234" t="s">
        <v>106</v>
      </c>
      <c r="C220" s="234"/>
      <c r="D220" s="234"/>
      <c r="E220" s="234"/>
      <c r="F220" s="234"/>
      <c r="G220" s="234"/>
      <c r="H220" s="234"/>
      <c r="I220" s="234"/>
      <c r="J220" s="234"/>
      <c r="K220" s="234"/>
      <c r="L220" s="164"/>
    </row>
    <row r="221" spans="1:12">
      <c r="A221" s="163"/>
      <c r="L221" s="164"/>
    </row>
    <row r="222" spans="1:12">
      <c r="A222" s="163"/>
      <c r="L222" s="164"/>
    </row>
    <row r="223" spans="1:12">
      <c r="A223" s="163"/>
      <c r="L223" s="164"/>
    </row>
    <row r="224" spans="1:12">
      <c r="A224" s="163"/>
      <c r="L224" s="164"/>
    </row>
    <row r="225" spans="1:12">
      <c r="A225" s="163"/>
      <c r="L225" s="164"/>
    </row>
    <row r="226" spans="1:12">
      <c r="A226" s="163"/>
      <c r="L226" s="164"/>
    </row>
    <row r="227" spans="1:12">
      <c r="A227" s="163"/>
      <c r="L227" s="164"/>
    </row>
    <row r="228" spans="1:12">
      <c r="A228" s="163"/>
      <c r="L228" s="164"/>
    </row>
    <row r="229" spans="1:12">
      <c r="A229" s="163"/>
      <c r="L229" s="164"/>
    </row>
    <row r="230" spans="1:12">
      <c r="A230" s="163"/>
      <c r="L230" s="164"/>
    </row>
    <row r="231" spans="1:12">
      <c r="A231" s="163"/>
      <c r="L231" s="164"/>
    </row>
    <row r="232" spans="1:12">
      <c r="A232" s="163"/>
      <c r="L232" s="164"/>
    </row>
    <row r="233" spans="1:12">
      <c r="A233" s="163"/>
      <c r="L233" s="164"/>
    </row>
    <row r="234" spans="1:12">
      <c r="A234" s="163"/>
      <c r="L234" s="164"/>
    </row>
    <row r="235" spans="1:12">
      <c r="A235" s="163"/>
      <c r="L235" s="164"/>
    </row>
    <row r="236" spans="1:12">
      <c r="A236" s="163"/>
      <c r="L236" s="164"/>
    </row>
    <row r="237" spans="1:12">
      <c r="A237" s="163"/>
      <c r="L237" s="164"/>
    </row>
    <row r="238" spans="1:12">
      <c r="A238" s="163"/>
      <c r="L238" s="164"/>
    </row>
    <row r="239" spans="1:12">
      <c r="A239" s="163"/>
      <c r="L239" s="164"/>
    </row>
    <row r="240" spans="1:12">
      <c r="A240" s="163"/>
      <c r="L240" s="164"/>
    </row>
    <row r="241" spans="1:12">
      <c r="A241" s="163"/>
      <c r="L241" s="164"/>
    </row>
    <row r="242" spans="1:12">
      <c r="A242" s="163"/>
      <c r="L242" s="164"/>
    </row>
    <row r="243" spans="1:12">
      <c r="A243" s="163"/>
      <c r="L243" s="164"/>
    </row>
    <row r="244" spans="1:12">
      <c r="A244" s="163"/>
      <c r="L244" s="164"/>
    </row>
    <row r="245" spans="1:12">
      <c r="A245" s="163"/>
      <c r="L245" s="164"/>
    </row>
    <row r="246" spans="1:12">
      <c r="A246" s="163"/>
      <c r="L246" s="164"/>
    </row>
    <row r="247" spans="1:12">
      <c r="A247" s="163"/>
      <c r="L247" s="164"/>
    </row>
    <row r="248" spans="1:12">
      <c r="A248" s="173" t="s">
        <v>107</v>
      </c>
      <c r="L248" s="164"/>
    </row>
    <row r="249" spans="1:12">
      <c r="A249" s="163"/>
      <c r="L249" s="164"/>
    </row>
    <row r="250" spans="1:12">
      <c r="A250" s="163"/>
      <c r="L250" s="164"/>
    </row>
    <row r="251" spans="1:12">
      <c r="A251" s="163"/>
      <c r="L251" s="164"/>
    </row>
    <row r="252" spans="1:12">
      <c r="A252" s="163"/>
      <c r="L252" s="164"/>
    </row>
    <row r="253" spans="1:12">
      <c r="A253" s="163"/>
      <c r="L253" s="164"/>
    </row>
    <row r="254" spans="1:12">
      <c r="A254" s="163"/>
      <c r="L254" s="164"/>
    </row>
    <row r="255" spans="1:12">
      <c r="A255" s="163"/>
      <c r="L255" s="164"/>
    </row>
    <row r="256" spans="1:12">
      <c r="A256" s="163"/>
      <c r="L256" s="164"/>
    </row>
    <row r="257" spans="1:12">
      <c r="A257" s="163"/>
      <c r="L257" s="164"/>
    </row>
    <row r="258" spans="1:12">
      <c r="A258" s="163"/>
      <c r="L258" s="164"/>
    </row>
    <row r="259" spans="1:12">
      <c r="A259" s="163"/>
      <c r="L259" s="164"/>
    </row>
    <row r="260" spans="1:12">
      <c r="A260" s="163"/>
      <c r="L260" s="164"/>
    </row>
    <row r="261" spans="1:12">
      <c r="A261" s="163"/>
      <c r="L261" s="164"/>
    </row>
    <row r="262" spans="1:12">
      <c r="A262" s="163"/>
      <c r="L262" s="164"/>
    </row>
    <row r="263" spans="1:12">
      <c r="A263" s="163"/>
      <c r="L263" s="164"/>
    </row>
    <row r="264" spans="1:12">
      <c r="A264" s="163"/>
      <c r="L264" s="164"/>
    </row>
    <row r="265" spans="1:12">
      <c r="A265" s="163"/>
      <c r="L265" s="164"/>
    </row>
    <row r="266" spans="1:12">
      <c r="A266" s="173"/>
      <c r="L266" s="164"/>
    </row>
    <row r="267" spans="1:12" ht="13.5" thickBot="1">
      <c r="A267" s="166"/>
      <c r="B267" s="167"/>
      <c r="C267" s="167"/>
      <c r="D267" s="167"/>
      <c r="E267" s="167"/>
      <c r="F267" s="167"/>
      <c r="G267" s="167"/>
      <c r="H267" s="167"/>
      <c r="I267" s="167"/>
      <c r="J267" s="167"/>
      <c r="K267" s="167"/>
      <c r="L267" s="168"/>
    </row>
  </sheetData>
  <sheetProtection algorithmName="SHA-512" hashValue="rSzjMU8oEGFBZ9k587dZdLOxiLI9usUBhkiXqPQhaSHS6bLpXe+VzaH2GIipSwcEPoBoZVTDWUv6FKPKzdJjXg==" saltValue="uiCHBrlFhJwbweul0M/Org==" spinCount="100000" sheet="1" objects="1" scenarios="1"/>
  <mergeCells count="48">
    <mergeCell ref="A3:L3"/>
    <mergeCell ref="A5:L6"/>
    <mergeCell ref="A8:L8"/>
    <mergeCell ref="A10:K10"/>
    <mergeCell ref="B37:L37"/>
    <mergeCell ref="B126:K126"/>
    <mergeCell ref="B129:K129"/>
    <mergeCell ref="B132:K132"/>
    <mergeCell ref="B135:K135"/>
    <mergeCell ref="B107:K107"/>
    <mergeCell ref="B51:J51"/>
    <mergeCell ref="B112:K112"/>
    <mergeCell ref="B115:K115"/>
    <mergeCell ref="B118:K118"/>
    <mergeCell ref="B121:K121"/>
    <mergeCell ref="B98:K98"/>
    <mergeCell ref="B101:K101"/>
    <mergeCell ref="B104:K104"/>
    <mergeCell ref="B82:K82"/>
    <mergeCell ref="B79:L79"/>
    <mergeCell ref="C64:K64"/>
    <mergeCell ref="C67:K67"/>
    <mergeCell ref="C70:K70"/>
    <mergeCell ref="C73:K73"/>
    <mergeCell ref="C76:K76"/>
    <mergeCell ref="B178:K178"/>
    <mergeCell ref="B181:K181"/>
    <mergeCell ref="B167:K167"/>
    <mergeCell ref="B140:K140"/>
    <mergeCell ref="B143:K143"/>
    <mergeCell ref="B146:K146"/>
    <mergeCell ref="B149:K149"/>
    <mergeCell ref="A218:L218"/>
    <mergeCell ref="B220:K220"/>
    <mergeCell ref="B211:K211"/>
    <mergeCell ref="B214:K214"/>
    <mergeCell ref="A154:L154"/>
    <mergeCell ref="A156:K156"/>
    <mergeCell ref="B161:K161"/>
    <mergeCell ref="B164:K164"/>
    <mergeCell ref="B208:K208"/>
    <mergeCell ref="B197:K197"/>
    <mergeCell ref="B200:K200"/>
    <mergeCell ref="B203:K203"/>
    <mergeCell ref="B186:K186"/>
    <mergeCell ref="B189:K189"/>
    <mergeCell ref="B192:K192"/>
    <mergeCell ref="B175:K17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indexed="48"/>
  </sheetPr>
  <dimension ref="A1:CG263"/>
  <sheetViews>
    <sheetView showGridLines="0" topLeftCell="A4" zoomScaleNormal="100" workbookViewId="0">
      <pane xSplit="7" ySplit="8" topLeftCell="H42" activePane="bottomRight" state="frozen"/>
      <selection activeCell="A4" sqref="A4"/>
      <selection pane="topRight" activeCell="H4" sqref="H4"/>
      <selection pane="bottomLeft" activeCell="A12" sqref="A12"/>
      <selection pane="bottomRight" activeCell="L13" sqref="L13"/>
    </sheetView>
  </sheetViews>
  <sheetFormatPr baseColWidth="10" defaultColWidth="11.42578125" defaultRowHeight="12.75"/>
  <cols>
    <col min="1" max="1" width="4.85546875" style="20" customWidth="1"/>
    <col min="2" max="3" width="15.5703125" style="20" customWidth="1"/>
    <col min="4" max="4" width="17.7109375" style="20" customWidth="1"/>
    <col min="5" max="5" width="16.7109375" style="20" customWidth="1"/>
    <col min="6" max="6" width="38.140625" style="20" customWidth="1"/>
    <col min="7" max="7" width="24.7109375" style="20" customWidth="1"/>
    <col min="8" max="8" width="23.85546875" style="20" customWidth="1"/>
    <col min="9" max="10" width="12.42578125" style="20" customWidth="1"/>
    <col min="11" max="11" width="10.140625" style="20" customWidth="1"/>
    <col min="12" max="13" width="11.28515625" style="20" customWidth="1"/>
    <col min="14" max="14" width="11" style="20" customWidth="1"/>
    <col min="15" max="15" width="10.42578125" style="20" customWidth="1"/>
    <col min="16" max="16" width="11.28515625" style="20" hidden="1" customWidth="1"/>
    <col min="17" max="17" width="10.42578125" style="20" customWidth="1"/>
    <col min="18" max="18" width="15.5703125" style="20" customWidth="1"/>
    <col min="19" max="19" width="16.85546875" style="107" customWidth="1"/>
    <col min="20" max="20" width="18.7109375" style="20" customWidth="1"/>
    <col min="21" max="35" width="17.7109375" style="20" customWidth="1"/>
    <col min="36" max="36" width="20.7109375" style="20" customWidth="1"/>
    <col min="37" max="37" width="23.85546875" style="20" customWidth="1"/>
    <col min="38" max="39" width="22.7109375" style="20" customWidth="1"/>
    <col min="40" max="40" width="23" style="20" customWidth="1"/>
    <col min="41" max="41" width="22.42578125" style="20" customWidth="1"/>
    <col min="42" max="42" width="24.42578125" style="20" customWidth="1"/>
    <col min="43" max="43" width="26.42578125" style="20" customWidth="1"/>
    <col min="44" max="44" width="28.85546875" style="20" customWidth="1"/>
    <col min="45" max="45" width="25" style="20" customWidth="1"/>
    <col min="46" max="46" width="25.42578125" style="20" customWidth="1"/>
    <col min="47" max="47" width="22.7109375" style="20" customWidth="1"/>
    <col min="48" max="48" width="24.140625" style="20" customWidth="1"/>
    <col min="49" max="49" width="29.28515625" style="20" customWidth="1"/>
    <col min="50" max="51" width="11.42578125" style="20"/>
    <col min="52" max="57" width="15.5703125" style="20" customWidth="1"/>
    <col min="58" max="16384" width="11.42578125" style="20"/>
  </cols>
  <sheetData>
    <row r="1" spans="1:85" s="62" customFormat="1" ht="18.600000000000001" customHeight="1">
      <c r="A1" s="257"/>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9"/>
      <c r="AJ1" s="268" t="s">
        <v>108</v>
      </c>
      <c r="AK1" s="269"/>
      <c r="AL1" s="17" t="s">
        <v>109</v>
      </c>
      <c r="AN1" s="72"/>
      <c r="AO1" s="72"/>
      <c r="AP1" s="72"/>
      <c r="AQ1" s="72"/>
      <c r="AR1" s="72"/>
      <c r="AU1" s="72"/>
      <c r="AV1" s="72"/>
      <c r="AW1" s="72"/>
      <c r="AX1" s="72"/>
      <c r="AY1" s="72"/>
      <c r="AZ1" s="72"/>
      <c r="BA1" s="72"/>
      <c r="BB1" s="72"/>
      <c r="BC1" s="72"/>
      <c r="BD1" s="72"/>
      <c r="BE1" s="72"/>
      <c r="BF1" s="72"/>
      <c r="BG1" s="72"/>
      <c r="BH1" s="72"/>
      <c r="BI1" s="72"/>
      <c r="BJ1" s="72"/>
      <c r="BK1" s="72"/>
      <c r="BL1" s="68"/>
      <c r="BU1" s="17"/>
    </row>
    <row r="2" spans="1:85" s="62" customFormat="1" ht="17.100000000000001" customHeight="1">
      <c r="A2" s="260"/>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2"/>
      <c r="AJ2" s="268" t="s">
        <v>110</v>
      </c>
      <c r="AK2" s="269"/>
      <c r="AL2" s="17"/>
      <c r="AN2" s="72"/>
      <c r="AO2" s="72"/>
      <c r="AP2" s="72"/>
      <c r="AQ2" s="72"/>
      <c r="AR2" s="72"/>
      <c r="AU2" s="72"/>
      <c r="AV2" s="72"/>
      <c r="AW2" s="72"/>
      <c r="AX2" s="72"/>
      <c r="AY2" s="72"/>
      <c r="AZ2" s="72"/>
      <c r="BA2" s="72"/>
      <c r="BB2" s="72"/>
      <c r="BC2" s="72"/>
      <c r="BD2" s="72"/>
      <c r="BE2" s="72"/>
      <c r="BF2" s="72"/>
      <c r="BG2" s="72"/>
      <c r="BH2" s="72"/>
      <c r="BI2" s="72"/>
      <c r="BJ2" s="72"/>
      <c r="BK2" s="72"/>
      <c r="BL2" s="68"/>
      <c r="BU2" s="17"/>
    </row>
    <row r="3" spans="1:85" s="62" customFormat="1" ht="21" customHeight="1">
      <c r="A3" s="263"/>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5"/>
      <c r="AJ3" s="268" t="s">
        <v>111</v>
      </c>
      <c r="AK3" s="269"/>
      <c r="AL3" s="17"/>
      <c r="AM3" s="72"/>
      <c r="AN3" s="73"/>
      <c r="AO3" s="72"/>
      <c r="AP3" s="72"/>
      <c r="AS3" s="60"/>
      <c r="AU3" s="72"/>
      <c r="AV3" s="72"/>
      <c r="AW3" s="72"/>
      <c r="AX3" s="72"/>
      <c r="AY3" s="72"/>
      <c r="AZ3" s="72"/>
      <c r="BA3" s="72"/>
      <c r="BB3" s="72"/>
      <c r="BC3" s="72"/>
      <c r="BD3" s="72"/>
      <c r="BE3" s="72"/>
      <c r="BF3" s="72"/>
      <c r="BG3" s="72"/>
      <c r="BH3" s="72"/>
      <c r="BI3" s="72"/>
      <c r="BJ3" s="72"/>
      <c r="BK3" s="72"/>
      <c r="BL3" s="68"/>
      <c r="BU3" s="17"/>
    </row>
    <row r="4" spans="1:85" s="62" customFormat="1" ht="15.75" customHeight="1">
      <c r="A4" s="254" t="s">
        <v>112</v>
      </c>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6"/>
      <c r="AL4" s="17"/>
      <c r="AM4" s="72"/>
      <c r="AN4" s="72"/>
      <c r="AO4" s="72"/>
      <c r="AP4" s="72"/>
      <c r="AS4" s="60"/>
      <c r="AU4" s="72"/>
      <c r="AV4" s="72"/>
      <c r="AW4" s="72"/>
      <c r="AX4" s="72"/>
      <c r="AY4" s="72"/>
      <c r="AZ4" s="72"/>
      <c r="BA4" s="72"/>
      <c r="BB4" s="72"/>
      <c r="BC4" s="72"/>
      <c r="BD4" s="72"/>
      <c r="BE4" s="72"/>
      <c r="BF4" s="72"/>
      <c r="BG4" s="72"/>
      <c r="BH4" s="72"/>
      <c r="BI4" s="72"/>
      <c r="BJ4" s="72"/>
      <c r="BK4" s="72"/>
      <c r="BL4" s="68"/>
      <c r="BU4" s="17"/>
    </row>
    <row r="5" spans="1:85" s="62" customFormat="1" ht="6.95" customHeight="1">
      <c r="A5" s="61"/>
      <c r="B5" s="61"/>
      <c r="C5" s="61"/>
      <c r="D5" s="61"/>
      <c r="E5" s="72"/>
      <c r="F5" s="72"/>
      <c r="G5" s="72"/>
      <c r="H5" s="72"/>
      <c r="I5" s="72"/>
      <c r="J5" s="72"/>
      <c r="K5" s="72"/>
      <c r="L5" s="72"/>
      <c r="M5" s="72"/>
      <c r="N5" s="72"/>
      <c r="O5" s="72"/>
      <c r="P5" s="72"/>
      <c r="Q5" s="72"/>
      <c r="R5" s="72"/>
      <c r="S5" s="77"/>
      <c r="T5" s="36"/>
      <c r="U5" s="72"/>
      <c r="V5" s="72"/>
      <c r="W5" s="72"/>
      <c r="X5" s="72"/>
      <c r="Y5" s="72"/>
      <c r="Z5" s="72"/>
      <c r="AA5" s="72"/>
      <c r="AB5" s="72"/>
      <c r="AC5" s="72"/>
      <c r="AD5" s="72"/>
      <c r="AE5" s="72"/>
      <c r="AF5" s="72"/>
      <c r="AG5" s="72"/>
      <c r="AH5" s="72"/>
      <c r="AI5" s="72"/>
      <c r="AJ5" s="72"/>
      <c r="AK5" s="72"/>
      <c r="AM5" s="74"/>
      <c r="AN5" s="74"/>
      <c r="AO5" s="74"/>
      <c r="AP5" s="74"/>
      <c r="AR5" s="75"/>
      <c r="AX5" s="17"/>
      <c r="AY5" s="72"/>
      <c r="AZ5" s="72"/>
      <c r="BA5" s="72"/>
      <c r="BB5" s="72"/>
      <c r="BE5" s="60"/>
      <c r="BG5" s="72"/>
      <c r="BH5" s="72"/>
      <c r="BI5" s="72"/>
      <c r="BJ5" s="72"/>
      <c r="BK5" s="72"/>
      <c r="BL5" s="72"/>
      <c r="BM5" s="72"/>
      <c r="BN5" s="72"/>
      <c r="BO5" s="72"/>
      <c r="BP5" s="72"/>
      <c r="BQ5" s="72"/>
      <c r="BR5" s="72"/>
      <c r="BS5" s="72"/>
      <c r="BT5" s="72"/>
      <c r="BU5" s="72"/>
      <c r="BV5" s="72"/>
      <c r="BW5" s="72"/>
      <c r="BX5" s="68"/>
      <c r="CG5" s="17"/>
    </row>
    <row r="6" spans="1:85" s="127" customFormat="1" ht="6.75" customHeight="1">
      <c r="A6" s="285" t="s">
        <v>4</v>
      </c>
      <c r="B6" s="285"/>
      <c r="C6" s="285"/>
      <c r="D6" s="286" t="s">
        <v>113</v>
      </c>
      <c r="E6" s="286"/>
      <c r="F6" s="124"/>
      <c r="G6" s="124"/>
      <c r="H6" s="124"/>
      <c r="I6" s="124"/>
      <c r="J6" s="124"/>
      <c r="K6" s="124"/>
      <c r="L6" s="124"/>
      <c r="M6" s="124"/>
      <c r="N6" s="124"/>
      <c r="O6" s="124"/>
      <c r="P6" s="124"/>
      <c r="Q6" s="124"/>
      <c r="R6" s="125"/>
      <c r="S6" s="126"/>
      <c r="T6" s="121"/>
      <c r="U6" s="125"/>
      <c r="V6" s="125"/>
      <c r="W6" s="125"/>
      <c r="AA6" s="172" t="s">
        <v>6</v>
      </c>
      <c r="AB6" s="287">
        <v>2022</v>
      </c>
      <c r="AC6" s="287"/>
      <c r="AE6" s="172" t="s">
        <v>8</v>
      </c>
      <c r="AF6" s="287">
        <v>2031</v>
      </c>
      <c r="AG6" s="287"/>
      <c r="AH6" s="123"/>
      <c r="AI6" s="49"/>
      <c r="AJ6" s="284" t="str">
        <f>IF(SUM(AB6,AF6)=0,"",IF(AND(AB6,AF6)&gt;0,CONCATENATE(AB6," - ",AF6)))</f>
        <v>2022 - 2031</v>
      </c>
      <c r="AK6" s="284"/>
      <c r="AL6" s="128"/>
      <c r="AM6" s="129"/>
      <c r="AN6" s="130"/>
      <c r="AP6" s="130"/>
      <c r="AT6" s="131"/>
      <c r="AV6" s="130"/>
      <c r="AW6" s="130"/>
      <c r="AX6" s="130"/>
      <c r="AY6" s="130"/>
      <c r="AZ6" s="130"/>
      <c r="BA6" s="130"/>
      <c r="BB6" s="130"/>
      <c r="BC6" s="130"/>
      <c r="BD6" s="130"/>
      <c r="BE6" s="130"/>
      <c r="BF6" s="130"/>
      <c r="BG6" s="130"/>
      <c r="BH6" s="130"/>
      <c r="BI6" s="130"/>
      <c r="BJ6" s="130"/>
      <c r="BK6" s="130"/>
      <c r="BL6" s="130"/>
      <c r="BM6" s="132"/>
      <c r="BV6" s="133"/>
    </row>
    <row r="7" spans="1:85" s="62" customFormat="1" ht="9" customHeight="1" thickBot="1">
      <c r="A7" s="202"/>
      <c r="S7" s="75"/>
      <c r="T7" s="78"/>
      <c r="AP7" s="79"/>
      <c r="AQ7" s="253"/>
      <c r="AR7" s="253"/>
      <c r="AS7" s="253"/>
      <c r="AT7" s="253"/>
      <c r="AU7" s="253"/>
      <c r="AV7" s="253"/>
      <c r="AW7" s="253"/>
      <c r="AX7" s="17"/>
      <c r="BE7" s="60"/>
      <c r="BG7" s="72"/>
      <c r="BH7" s="72"/>
      <c r="BI7" s="72"/>
      <c r="BJ7" s="72"/>
      <c r="BK7" s="72"/>
      <c r="BL7" s="72"/>
      <c r="BM7" s="72"/>
      <c r="BN7" s="72"/>
      <c r="BO7" s="72"/>
      <c r="BP7" s="72"/>
      <c r="BQ7" s="72"/>
      <c r="BR7" s="72"/>
      <c r="BS7" s="72"/>
      <c r="BT7" s="72"/>
      <c r="BU7" s="72"/>
      <c r="BV7" s="72"/>
      <c r="BW7" s="72"/>
      <c r="BX7" s="68"/>
      <c r="CG7" s="17"/>
    </row>
    <row r="8" spans="1:85" s="80" customFormat="1" ht="15.75" customHeight="1">
      <c r="A8" s="288" t="s">
        <v>114</v>
      </c>
      <c r="B8" s="273" t="s">
        <v>115</v>
      </c>
      <c r="C8" s="273" t="s">
        <v>116</v>
      </c>
      <c r="D8" s="273" t="s">
        <v>117</v>
      </c>
      <c r="E8" s="273" t="s">
        <v>118</v>
      </c>
      <c r="F8" s="273" t="s">
        <v>119</v>
      </c>
      <c r="G8" s="279" t="s">
        <v>120</v>
      </c>
      <c r="H8" s="279"/>
      <c r="I8" s="279"/>
      <c r="J8" s="279"/>
      <c r="K8" s="279" t="s">
        <v>36</v>
      </c>
      <c r="L8" s="279"/>
      <c r="M8" s="279"/>
      <c r="N8" s="279"/>
      <c r="O8" s="279"/>
      <c r="P8" s="279"/>
      <c r="Q8" s="279"/>
      <c r="R8" s="273" t="str">
        <f>"12. PROYECTOS"&amp;CHAR(10)&amp;"("&amp;  COUNTA(R12:R261)&amp;")"</f>
        <v>12. PROYECTOS
(145)</v>
      </c>
      <c r="S8" s="273" t="s">
        <v>121</v>
      </c>
      <c r="T8" s="273" t="s">
        <v>122</v>
      </c>
      <c r="U8" s="276" t="s">
        <v>123</v>
      </c>
      <c r="V8" s="276"/>
      <c r="W8" s="276"/>
      <c r="X8" s="281" t="s">
        <v>124</v>
      </c>
      <c r="Y8" s="276" t="s">
        <v>125</v>
      </c>
      <c r="Z8" s="276"/>
      <c r="AA8" s="276"/>
      <c r="AB8" s="273" t="s">
        <v>126</v>
      </c>
      <c r="AC8" s="276" t="s">
        <v>127</v>
      </c>
      <c r="AD8" s="276"/>
      <c r="AE8" s="276"/>
      <c r="AF8" s="273" t="s">
        <v>128</v>
      </c>
      <c r="AG8" s="276" t="s">
        <v>129</v>
      </c>
      <c r="AH8" s="276"/>
      <c r="AI8" s="276"/>
      <c r="AJ8" s="273" t="s">
        <v>130</v>
      </c>
      <c r="AK8" s="270" t="str">
        <f>"19. TOTAL DE RECURSOS PDI "&amp;AJ6&amp;CHAR(10)&amp;"("&amp;TEXT(SUM(AK12:AK261),"#.###")&amp;")"</f>
        <v>19. TOTAL DE RECURSOS PDI 2022 - 2031
(3.303.921.735.594)</v>
      </c>
      <c r="AL8" s="20"/>
      <c r="AM8" s="20"/>
      <c r="AN8" s="20"/>
      <c r="AO8" s="20"/>
      <c r="AP8" s="20"/>
      <c r="AQ8" s="20"/>
      <c r="AR8" s="20"/>
      <c r="AS8" s="20"/>
      <c r="AT8" s="20"/>
      <c r="AU8" s="20"/>
      <c r="AV8" s="20"/>
      <c r="AW8" s="20"/>
      <c r="BN8" s="81"/>
      <c r="BO8" s="81"/>
      <c r="BP8" s="81"/>
      <c r="BQ8" s="81"/>
      <c r="BR8" s="81"/>
      <c r="BS8" s="81"/>
      <c r="BT8" s="81"/>
      <c r="BU8" s="81"/>
      <c r="BV8" s="81"/>
      <c r="BW8" s="81"/>
      <c r="BX8" s="82"/>
      <c r="CG8" s="83"/>
    </row>
    <row r="9" spans="1:85" s="80" customFormat="1" ht="10.5" customHeight="1">
      <c r="A9" s="289"/>
      <c r="B9" s="274"/>
      <c r="C9" s="274"/>
      <c r="D9" s="274"/>
      <c r="E9" s="274"/>
      <c r="F9" s="274"/>
      <c r="G9" s="280"/>
      <c r="H9" s="280"/>
      <c r="I9" s="280"/>
      <c r="J9" s="280"/>
      <c r="K9" s="280"/>
      <c r="L9" s="280"/>
      <c r="M9" s="280"/>
      <c r="N9" s="280"/>
      <c r="O9" s="280"/>
      <c r="P9" s="280"/>
      <c r="Q9" s="280"/>
      <c r="R9" s="274"/>
      <c r="S9" s="274"/>
      <c r="T9" s="274"/>
      <c r="U9" s="266" t="s">
        <v>131</v>
      </c>
      <c r="V9" s="266"/>
      <c r="W9" s="266"/>
      <c r="X9" s="282"/>
      <c r="Y9" s="291" t="s">
        <v>131</v>
      </c>
      <c r="Z9" s="291"/>
      <c r="AA9" s="291"/>
      <c r="AB9" s="274"/>
      <c r="AC9" s="266" t="s">
        <v>131</v>
      </c>
      <c r="AD9" s="266"/>
      <c r="AE9" s="266"/>
      <c r="AF9" s="274"/>
      <c r="AG9" s="266" t="s">
        <v>131</v>
      </c>
      <c r="AH9" s="266"/>
      <c r="AI9" s="266"/>
      <c r="AJ9" s="274"/>
      <c r="AK9" s="271"/>
      <c r="AL9" s="20"/>
      <c r="AM9" s="20"/>
      <c r="AN9" s="20"/>
      <c r="AO9" s="20"/>
      <c r="AP9" s="20"/>
      <c r="AQ9" s="20"/>
      <c r="AR9" s="20"/>
      <c r="AS9" s="20"/>
      <c r="AT9" s="20"/>
      <c r="AU9" s="20"/>
      <c r="AV9" s="20"/>
      <c r="AW9" s="20"/>
      <c r="BN9" s="81"/>
      <c r="BO9" s="81"/>
      <c r="BP9" s="81"/>
      <c r="BQ9" s="81"/>
      <c r="BR9" s="81"/>
      <c r="BS9" s="81"/>
      <c r="BT9" s="81"/>
      <c r="BU9" s="81"/>
      <c r="BV9" s="81"/>
      <c r="BW9" s="84"/>
      <c r="BX9" s="82"/>
      <c r="CG9" s="83"/>
    </row>
    <row r="10" spans="1:85" s="80" customFormat="1" ht="15" customHeight="1">
      <c r="A10" s="289"/>
      <c r="B10" s="274"/>
      <c r="C10" s="274"/>
      <c r="D10" s="274"/>
      <c r="E10" s="274"/>
      <c r="F10" s="274"/>
      <c r="G10" s="277" t="s">
        <v>132</v>
      </c>
      <c r="H10" s="277" t="s">
        <v>133</v>
      </c>
      <c r="I10" s="277" t="s">
        <v>134</v>
      </c>
      <c r="J10" s="277" t="s">
        <v>135</v>
      </c>
      <c r="K10" s="274" t="s">
        <v>136</v>
      </c>
      <c r="L10" s="52" t="s">
        <v>137</v>
      </c>
      <c r="M10" s="52" t="s">
        <v>138</v>
      </c>
      <c r="N10" s="52" t="s">
        <v>139</v>
      </c>
      <c r="O10" s="52" t="s">
        <v>140</v>
      </c>
      <c r="P10" s="52"/>
      <c r="Q10" s="52" t="s">
        <v>141</v>
      </c>
      <c r="R10" s="274"/>
      <c r="S10" s="274"/>
      <c r="T10" s="274"/>
      <c r="U10" s="266" t="s">
        <v>142</v>
      </c>
      <c r="V10" s="266" t="s">
        <v>143</v>
      </c>
      <c r="W10" s="266" t="s">
        <v>144</v>
      </c>
      <c r="X10" s="282"/>
      <c r="Y10" s="266" t="s">
        <v>145</v>
      </c>
      <c r="Z10" s="266" t="s">
        <v>146</v>
      </c>
      <c r="AA10" s="266" t="s">
        <v>147</v>
      </c>
      <c r="AB10" s="274"/>
      <c r="AC10" s="266" t="s">
        <v>148</v>
      </c>
      <c r="AD10" s="266" t="s">
        <v>149</v>
      </c>
      <c r="AE10" s="266" t="s">
        <v>150</v>
      </c>
      <c r="AF10" s="274"/>
      <c r="AG10" s="266" t="s">
        <v>151</v>
      </c>
      <c r="AH10" s="266" t="s">
        <v>152</v>
      </c>
      <c r="AI10" s="266" t="s">
        <v>153</v>
      </c>
      <c r="AJ10" s="274"/>
      <c r="AK10" s="271"/>
      <c r="AL10" s="20"/>
      <c r="AM10" s="20"/>
      <c r="AN10" s="20"/>
      <c r="AO10" s="20"/>
      <c r="AP10" s="20"/>
      <c r="AQ10" s="20"/>
      <c r="AR10" s="20"/>
      <c r="AS10" s="20"/>
      <c r="AT10" s="20"/>
      <c r="AU10" s="20"/>
      <c r="AV10" s="20"/>
      <c r="AW10" s="20"/>
      <c r="BN10" s="81"/>
      <c r="BO10" s="81"/>
      <c r="BP10" s="81"/>
      <c r="BQ10" s="81"/>
      <c r="BR10" s="81"/>
      <c r="BS10" s="81"/>
      <c r="BT10" s="81"/>
      <c r="BU10" s="81"/>
      <c r="BV10" s="81"/>
      <c r="BW10" s="84"/>
      <c r="BX10" s="82"/>
      <c r="CG10" s="83"/>
    </row>
    <row r="11" spans="1:85" s="80" customFormat="1" ht="13.5" customHeight="1" thickBot="1">
      <c r="A11" s="290"/>
      <c r="B11" s="275"/>
      <c r="C11" s="275"/>
      <c r="D11" s="275"/>
      <c r="E11" s="275"/>
      <c r="F11" s="275"/>
      <c r="G11" s="278"/>
      <c r="H11" s="278"/>
      <c r="I11" s="278"/>
      <c r="J11" s="278"/>
      <c r="K11" s="275"/>
      <c r="L11" s="53" t="str">
        <f>IF($AB$6="","",$AB$6 &amp;" - "&amp; $AB$6+2)</f>
        <v>2022 - 2024</v>
      </c>
      <c r="M11" s="53" t="str">
        <f>IF($AB$6="","",$AB$6+3 &amp;" - "&amp; $AB$6+5)</f>
        <v>2025 - 2027</v>
      </c>
      <c r="N11" s="53" t="str">
        <f>IF($AB$6="","",$AB$6 + 6&amp;" - "&amp; $AB$6+8)</f>
        <v>2028 - 2030</v>
      </c>
      <c r="O11" s="53">
        <f>Q11</f>
        <v>2031</v>
      </c>
      <c r="P11" s="54"/>
      <c r="Q11" s="55">
        <f>IF(AF6="","",AF6)</f>
        <v>2031</v>
      </c>
      <c r="R11" s="275"/>
      <c r="S11" s="275"/>
      <c r="T11" s="275"/>
      <c r="U11" s="267"/>
      <c r="V11" s="267"/>
      <c r="W11" s="267"/>
      <c r="X11" s="283"/>
      <c r="Y11" s="267"/>
      <c r="Z11" s="267"/>
      <c r="AA11" s="267"/>
      <c r="AB11" s="275"/>
      <c r="AC11" s="267"/>
      <c r="AD11" s="267"/>
      <c r="AE11" s="267"/>
      <c r="AF11" s="275"/>
      <c r="AG11" s="267"/>
      <c r="AH11" s="267"/>
      <c r="AI11" s="267"/>
      <c r="AJ11" s="275"/>
      <c r="AK11" s="272"/>
      <c r="AL11" s="20"/>
      <c r="AM11" s="20"/>
      <c r="AN11" s="20"/>
      <c r="AO11" s="20"/>
      <c r="AP11" s="20"/>
      <c r="AQ11" s="20"/>
      <c r="AR11" s="20"/>
      <c r="AS11" s="20"/>
      <c r="AT11" s="20"/>
      <c r="AU11" s="20"/>
      <c r="AV11" s="20"/>
      <c r="AW11" s="20"/>
      <c r="BN11" s="81"/>
      <c r="BO11" s="81"/>
      <c r="BP11" s="81"/>
      <c r="BQ11" s="81"/>
      <c r="BR11" s="81"/>
      <c r="BS11" s="81"/>
      <c r="BT11" s="81"/>
      <c r="BU11" s="81"/>
      <c r="BV11" s="81"/>
      <c r="BW11" s="81"/>
      <c r="BX11" s="82"/>
      <c r="CG11" s="83"/>
    </row>
    <row r="12" spans="1:85" s="62" customFormat="1" ht="99.95" customHeight="1">
      <c r="A12" s="92">
        <f>IF(B12&lt;&gt;"",1,"")</f>
        <v>1</v>
      </c>
      <c r="B12" s="47" t="s">
        <v>154</v>
      </c>
      <c r="C12" s="45" t="str">
        <f>IFERROR(VLOOKUP(FORMULACIÓN!B12,Lists!$A$2:$B$6,2,FALSE),"")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2" s="47" t="s">
        <v>155</v>
      </c>
      <c r="E12" s="47" t="s">
        <v>156</v>
      </c>
      <c r="F12" s="47" t="s">
        <v>157</v>
      </c>
      <c r="G12" s="47" t="s">
        <v>158</v>
      </c>
      <c r="H12" s="230" t="s">
        <v>159</v>
      </c>
      <c r="I12" s="63" t="s">
        <v>160</v>
      </c>
      <c r="J12" s="47" t="s">
        <v>161</v>
      </c>
      <c r="K12" s="94">
        <v>0.09</v>
      </c>
      <c r="L12" s="94">
        <v>0.1</v>
      </c>
      <c r="M12" s="94">
        <v>0.2</v>
      </c>
      <c r="N12" s="94">
        <v>0.2</v>
      </c>
      <c r="O12" s="94">
        <v>0.06</v>
      </c>
      <c r="P12" s="63">
        <f ca="1">IFERROR(IF($J12=Lists!$S$2,SUM(FORMULACIÓN!K12:O12),IF(FORMULACIÓN!$J12=Lists!$S$3,SUM(FORMULACIÓN!L12:O12),IF(FORMULACIÓN!$J12=Lists!$S$4,AVERAGE(FORMULACIÓN!L12:O12),IF(FORMULACIÓN!$J12=Lists!$S$5,OFFSET(K12,0,COUNTA(L12:O12)),IF(FORMULACIÓN!$J12=Lists!$S$6,AVERAGE(FORMULACIÓN!L12:O12),""))))),"")</f>
        <v>0.65000000000000013</v>
      </c>
      <c r="Q12" s="92" t="str">
        <f ca="1">IF($I12=Lists!$R$3,TEXT(FORMULACIÓN!P12,"00,00%"),IF(FORMULACIÓN!P12=0,0,TEXT(FORMULACIÓN!P12,"##.###")))</f>
        <v>65,00%</v>
      </c>
      <c r="R12" s="47" t="s">
        <v>162</v>
      </c>
      <c r="S12" s="204">
        <v>0.03</v>
      </c>
      <c r="T12" s="63" t="s">
        <v>163</v>
      </c>
      <c r="U12" s="64">
        <v>7067877492.666667</v>
      </c>
      <c r="V12" s="64"/>
      <c r="W12" s="64"/>
      <c r="X12" s="65">
        <f t="shared" ref="X12:X75" si="0">IF(SUM(U12:W12)=0,"",SUM(U12:W12))</f>
        <v>7067877492.666667</v>
      </c>
      <c r="Y12" s="64">
        <v>7601913791</v>
      </c>
      <c r="Z12" s="64"/>
      <c r="AA12" s="64"/>
      <c r="AB12" s="65">
        <f t="shared" ref="AB12:AB75" si="1">IF(SUM(Y12:AA12)=0,"",SUM(Y12:AA12))</f>
        <v>7601913791</v>
      </c>
      <c r="AC12" s="64">
        <v>4715042025.1017971</v>
      </c>
      <c r="AD12" s="64"/>
      <c r="AE12" s="64"/>
      <c r="AF12" s="65">
        <f t="shared" ref="AF12:AF75" si="2">IF(SUM(AC12:AE12)=0,"",SUM(AC12:AE12))</f>
        <v>4715042025.1017971</v>
      </c>
      <c r="AG12" s="64">
        <v>1666992291.3727458</v>
      </c>
      <c r="AH12" s="64"/>
      <c r="AI12" s="64"/>
      <c r="AJ12" s="65">
        <f t="shared" ref="AJ12:AJ75" si="3">IF(SUM(AG12:AI12)=0,"",SUM(AG12:AI12))</f>
        <v>1666992291.3727458</v>
      </c>
      <c r="AK12" s="65">
        <f>IF(SUM(AB12,AF12,X12,AJ12)=0,"",SUM((AB12,AF12,X12,AJ12)))</f>
        <v>21051825600.141209</v>
      </c>
      <c r="AL12" s="20"/>
      <c r="AM12" s="76"/>
      <c r="AN12" s="20"/>
      <c r="AO12" s="20"/>
      <c r="AP12" s="20"/>
      <c r="AQ12" s="20"/>
      <c r="AR12" s="20"/>
      <c r="AS12" s="20"/>
      <c r="AT12" s="20"/>
      <c r="AU12" s="20"/>
      <c r="AV12" s="20"/>
      <c r="AW12" s="20"/>
      <c r="BN12" s="72"/>
      <c r="BO12" s="72"/>
      <c r="BP12" s="72"/>
      <c r="BQ12" s="72"/>
      <c r="BR12" s="72"/>
      <c r="BS12" s="72"/>
      <c r="BT12" s="72"/>
      <c r="BU12" s="72"/>
      <c r="BV12" s="72"/>
      <c r="BW12" s="72"/>
      <c r="BX12" s="68"/>
      <c r="CG12" s="17"/>
    </row>
    <row r="13" spans="1:85" s="62" customFormat="1" ht="99.95" customHeight="1">
      <c r="A13" s="92">
        <f>IF(B13&lt;&gt;"",A12+1,"")</f>
        <v>2</v>
      </c>
      <c r="B13" s="47" t="s">
        <v>154</v>
      </c>
      <c r="C13" s="199" t="str">
        <f>IFERROR(VLOOKUP(FORMULACIÓN!B13,Lists!$A$2:$B$6,2,FALSE),"")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3" s="47" t="s">
        <v>164</v>
      </c>
      <c r="E13" s="47" t="s">
        <v>156</v>
      </c>
      <c r="F13" s="200" t="s">
        <v>165</v>
      </c>
      <c r="G13" s="200" t="s">
        <v>166</v>
      </c>
      <c r="H13" s="200" t="s">
        <v>167</v>
      </c>
      <c r="I13" s="58" t="s">
        <v>168</v>
      </c>
      <c r="J13" s="47" t="s">
        <v>169</v>
      </c>
      <c r="K13" s="58">
        <v>400</v>
      </c>
      <c r="L13" s="58">
        <v>2100</v>
      </c>
      <c r="M13" s="58">
        <v>2100</v>
      </c>
      <c r="N13" s="58">
        <v>2100</v>
      </c>
      <c r="O13" s="58">
        <v>700</v>
      </c>
      <c r="P13" s="63">
        <f ca="1">IFERROR(IF($J13=Lists!$S$2,SUM(FORMULACIÓN!K13:O13),IF(FORMULACIÓN!$J13=Lists!$S$3,SUM(FORMULACIÓN!L13:O13),IF(FORMULACIÓN!$J13=Lists!$S$4,AVERAGE(FORMULACIÓN!L13:O13),IF(FORMULACIÓN!$J13=Lists!$S$5,OFFSET(K13,0,COUNTA(L13:O13)),IF(FORMULACIÓN!$J13=Lists!$S$6,AVERAGE(FORMULACIÓN!L13:O13),""))))),"")</f>
        <v>7000</v>
      </c>
      <c r="Q13" s="51" t="str">
        <f ca="1">IF($I13=Lists!$R$3,TEXT(FORMULACIÓN!P13,"00,00%"),IF(FORMULACIÓN!P13=0,0,TEXT(FORMULACIÓN!P13,"##.###")))</f>
        <v>7.000</v>
      </c>
      <c r="R13" s="47" t="s">
        <v>162</v>
      </c>
      <c r="S13" s="205">
        <v>0.03</v>
      </c>
      <c r="T13" s="63" t="s">
        <v>163</v>
      </c>
      <c r="U13" s="66">
        <v>7067877492.666667</v>
      </c>
      <c r="V13" s="66"/>
      <c r="W13" s="66"/>
      <c r="X13" s="67">
        <f t="shared" si="0"/>
        <v>7067877492.666667</v>
      </c>
      <c r="Y13" s="66">
        <v>7601913791</v>
      </c>
      <c r="Z13" s="66"/>
      <c r="AA13" s="66"/>
      <c r="AB13" s="67">
        <f t="shared" si="1"/>
        <v>7601913791</v>
      </c>
      <c r="AC13" s="66">
        <v>14145126075.305389</v>
      </c>
      <c r="AD13" s="66"/>
      <c r="AE13" s="66"/>
      <c r="AF13" s="67">
        <f t="shared" si="2"/>
        <v>14145126075.305389</v>
      </c>
      <c r="AG13" s="66">
        <v>5000976874.1182365</v>
      </c>
      <c r="AH13" s="66"/>
      <c r="AI13" s="66"/>
      <c r="AJ13" s="65">
        <f t="shared" si="3"/>
        <v>5000976874.1182365</v>
      </c>
      <c r="AK13" s="65">
        <f>IF(SUM(AB13,AF13,X13,AJ13)=0,"",SUM((AB13,AF13,X13,AJ13)))</f>
        <v>33815894233.090294</v>
      </c>
      <c r="AL13" s="20"/>
      <c r="AM13" s="20"/>
      <c r="AN13" s="20"/>
      <c r="AO13" s="20"/>
      <c r="AP13" s="20"/>
      <c r="AQ13" s="20"/>
      <c r="AR13" s="20"/>
      <c r="AS13" s="20"/>
      <c r="AT13" s="20"/>
      <c r="AU13" s="20"/>
      <c r="AV13" s="20"/>
      <c r="AW13" s="20"/>
      <c r="BN13" s="72"/>
      <c r="BO13" s="72"/>
      <c r="BP13" s="72"/>
      <c r="BQ13" s="72"/>
      <c r="BR13" s="72"/>
      <c r="BS13" s="72"/>
      <c r="BT13" s="72"/>
      <c r="BU13" s="72"/>
      <c r="BV13" s="72"/>
      <c r="BW13" s="72"/>
      <c r="BX13" s="68"/>
      <c r="CG13" s="17"/>
    </row>
    <row r="14" spans="1:85" s="62" customFormat="1" ht="99.95" customHeight="1">
      <c r="A14" s="92">
        <f t="shared" ref="A14:A77" si="4">IF(B14&lt;&gt;"",A13+1,"")</f>
        <v>3</v>
      </c>
      <c r="B14" s="47" t="s">
        <v>154</v>
      </c>
      <c r="C14" s="199" t="str">
        <f>IFERROR(VLOOKUP(FORMULACIÓN!B14,Lists!$A$2:$B$6,2,FALSE),"")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4" s="47" t="s">
        <v>164</v>
      </c>
      <c r="E14" s="47" t="s">
        <v>156</v>
      </c>
      <c r="F14" s="200" t="s">
        <v>165</v>
      </c>
      <c r="G14" s="200" t="s">
        <v>166</v>
      </c>
      <c r="H14" s="200" t="s">
        <v>170</v>
      </c>
      <c r="I14" s="58" t="s">
        <v>168</v>
      </c>
      <c r="J14" s="47" t="s">
        <v>169</v>
      </c>
      <c r="K14" s="58">
        <v>31</v>
      </c>
      <c r="L14" s="58">
        <v>90</v>
      </c>
      <c r="M14" s="58">
        <v>90</v>
      </c>
      <c r="N14" s="58">
        <v>90</v>
      </c>
      <c r="O14" s="58">
        <v>30</v>
      </c>
      <c r="P14" s="63">
        <f ca="1">IFERROR(IF($J14=Lists!$S$2,SUM(FORMULACIÓN!K14:O14),IF(FORMULACIÓN!$J14=Lists!$S$3,SUM(FORMULACIÓN!L14:O14),IF(FORMULACIÓN!$J14=Lists!$S$4,AVERAGE(FORMULACIÓN!L14:O14),IF(FORMULACIÓN!$J14=Lists!$S$5,OFFSET(K14,0,COUNTA(L14:O14)),IF(FORMULACIÓN!$J14=Lists!$S$6,AVERAGE(FORMULACIÓN!L14:O14),""))))),"")</f>
        <v>300</v>
      </c>
      <c r="Q14" s="51" t="str">
        <f ca="1">IF($I14=Lists!$R$3,TEXT(FORMULACIÓN!P14,"00,00%"),IF(FORMULACIÓN!P14=0,0,TEXT(FORMULACIÓN!P14,"##.###")))</f>
        <v>300</v>
      </c>
      <c r="R14" s="47" t="s">
        <v>162</v>
      </c>
      <c r="S14" s="205">
        <v>0.03</v>
      </c>
      <c r="T14" s="63" t="s">
        <v>163</v>
      </c>
      <c r="U14" s="66">
        <v>7067877492.666667</v>
      </c>
      <c r="V14" s="66"/>
      <c r="W14" s="66"/>
      <c r="X14" s="67">
        <f t="shared" si="0"/>
        <v>7067877492.666667</v>
      </c>
      <c r="Y14" s="66">
        <v>7601913791</v>
      </c>
      <c r="Z14" s="66"/>
      <c r="AA14" s="66"/>
      <c r="AB14" s="67">
        <f t="shared" si="1"/>
        <v>7601913791</v>
      </c>
      <c r="AC14" s="66">
        <v>6062196889.4165955</v>
      </c>
      <c r="AD14" s="66"/>
      <c r="AE14" s="66"/>
      <c r="AF14" s="67">
        <f t="shared" si="2"/>
        <v>6062196889.4165955</v>
      </c>
      <c r="AG14" s="66">
        <v>2143275803.1935301</v>
      </c>
      <c r="AH14" s="66"/>
      <c r="AI14" s="66"/>
      <c r="AJ14" s="65">
        <f t="shared" si="3"/>
        <v>2143275803.1935301</v>
      </c>
      <c r="AK14" s="65">
        <f>IF(SUM(AB14,AF14,X14,AJ14)=0,"",SUM((AB14,AF14,X14,AJ14)))</f>
        <v>22875263976.276794</v>
      </c>
      <c r="AL14" s="20"/>
      <c r="AM14" s="20"/>
      <c r="AN14" s="20"/>
      <c r="AO14" s="20"/>
      <c r="AP14" s="20"/>
      <c r="AQ14" s="20"/>
      <c r="AR14" s="20"/>
      <c r="AS14" s="20"/>
      <c r="AT14" s="20"/>
      <c r="AU14" s="20"/>
      <c r="AV14" s="20"/>
      <c r="AW14" s="20"/>
      <c r="BN14" s="72"/>
      <c r="BO14" s="72"/>
      <c r="BP14" s="72"/>
      <c r="BQ14" s="72"/>
      <c r="BR14" s="72"/>
      <c r="BS14" s="72"/>
      <c r="BT14" s="72"/>
      <c r="BU14" s="72"/>
      <c r="BV14" s="72"/>
      <c r="BW14" s="72"/>
      <c r="BX14" s="68"/>
      <c r="CG14" s="17"/>
    </row>
    <row r="15" spans="1:85" s="62" customFormat="1" ht="99.95" customHeight="1">
      <c r="A15" s="92">
        <f t="shared" si="4"/>
        <v>4</v>
      </c>
      <c r="B15" s="47" t="s">
        <v>154</v>
      </c>
      <c r="C15" s="199" t="str">
        <f>IFERROR(VLOOKUP(FORMULACIÓN!B15,Lists!$A$2:$B$6,2,FALSE),"")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5" s="47" t="s">
        <v>155</v>
      </c>
      <c r="E15" s="47" t="s">
        <v>156</v>
      </c>
      <c r="F15" s="47" t="s">
        <v>171</v>
      </c>
      <c r="G15" s="230" t="s">
        <v>172</v>
      </c>
      <c r="H15" s="200" t="s">
        <v>173</v>
      </c>
      <c r="I15" s="58" t="s">
        <v>168</v>
      </c>
      <c r="J15" s="47" t="s">
        <v>169</v>
      </c>
      <c r="K15" s="58">
        <v>0</v>
      </c>
      <c r="L15" s="58">
        <v>25</v>
      </c>
      <c r="M15" s="58">
        <v>25</v>
      </c>
      <c r="N15" s="58">
        <v>25</v>
      </c>
      <c r="O15" s="58">
        <v>25</v>
      </c>
      <c r="P15" s="63">
        <f ca="1">IFERROR(IF($J15=Lists!$S$2,SUM(FORMULACIÓN!K15:O15),IF(FORMULACIÓN!$J15=Lists!$S$3,SUM(FORMULACIÓN!L15:O15),IF(FORMULACIÓN!$J15=Lists!$S$4,AVERAGE(FORMULACIÓN!L15:O15),IF(FORMULACIÓN!$J15=Lists!$S$5,OFFSET(K15,0,COUNTA(L15:O15)),IF(FORMULACIÓN!$J15=Lists!$S$6,AVERAGE(FORMULACIÓN!L15:O15),""))))),"")</f>
        <v>100</v>
      </c>
      <c r="Q15" s="51" t="str">
        <f ca="1">IF($I15=Lists!$R$3,TEXT(FORMULACIÓN!P15,"00,00%"),IF(FORMULACIÓN!P15=0,0,TEXT(FORMULACIÓN!P15,"##.###")))</f>
        <v>100</v>
      </c>
      <c r="R15" s="47" t="s">
        <v>174</v>
      </c>
      <c r="S15" s="205">
        <v>0.02</v>
      </c>
      <c r="T15" s="63" t="s">
        <v>163</v>
      </c>
      <c r="U15" s="66">
        <v>3551237748</v>
      </c>
      <c r="V15" s="66"/>
      <c r="W15" s="66"/>
      <c r="X15" s="67">
        <f t="shared" si="0"/>
        <v>3551237748</v>
      </c>
      <c r="Y15" s="66">
        <v>3796478178</v>
      </c>
      <c r="Z15" s="66"/>
      <c r="AA15" s="66"/>
      <c r="AB15" s="67">
        <f t="shared" si="1"/>
        <v>3796478178</v>
      </c>
      <c r="AC15" s="66">
        <v>3455886316.5909305</v>
      </c>
      <c r="AD15" s="66"/>
      <c r="AE15" s="66"/>
      <c r="AF15" s="67">
        <f t="shared" si="2"/>
        <v>3455886316.5909305</v>
      </c>
      <c r="AG15" s="66">
        <v>1221455854.6286652</v>
      </c>
      <c r="AH15" s="66"/>
      <c r="AI15" s="66"/>
      <c r="AJ15" s="65">
        <f t="shared" si="3"/>
        <v>1221455854.6286652</v>
      </c>
      <c r="AK15" s="65">
        <f>IF(SUM(AB15,AF15,X15,AJ15)=0,"",SUM((AB15,AF15,X15,AJ15)))</f>
        <v>12025058097.219597</v>
      </c>
      <c r="AL15" s="20"/>
      <c r="AM15" s="20"/>
      <c r="AN15" s="20"/>
      <c r="AO15" s="20"/>
      <c r="AP15" s="20"/>
      <c r="AQ15" s="20"/>
      <c r="AR15" s="20"/>
      <c r="AS15" s="20"/>
      <c r="AT15" s="20"/>
      <c r="AU15" s="20"/>
      <c r="AV15" s="20"/>
      <c r="AW15" s="20"/>
      <c r="BN15" s="72"/>
      <c r="BO15" s="72"/>
      <c r="BP15" s="72"/>
      <c r="BQ15" s="72"/>
      <c r="BR15" s="72"/>
      <c r="BS15" s="72"/>
      <c r="BT15" s="72"/>
      <c r="BU15" s="72"/>
      <c r="BV15" s="72"/>
      <c r="BW15" s="72"/>
      <c r="BX15" s="68"/>
      <c r="CG15" s="17"/>
    </row>
    <row r="16" spans="1:85" s="62" customFormat="1" ht="99.95" customHeight="1">
      <c r="A16" s="92">
        <f t="shared" si="4"/>
        <v>5</v>
      </c>
      <c r="B16" s="47" t="s">
        <v>154</v>
      </c>
      <c r="C16" s="199" t="str">
        <f>IFERROR(VLOOKUP(FORMULACIÓN!B16,Lists!$A$2:$B$6,2,FALSE),"")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6" s="47" t="s">
        <v>155</v>
      </c>
      <c r="E16" s="47" t="s">
        <v>156</v>
      </c>
      <c r="F16" s="47" t="s">
        <v>171</v>
      </c>
      <c r="G16" s="200" t="s">
        <v>175</v>
      </c>
      <c r="H16" s="200" t="s">
        <v>176</v>
      </c>
      <c r="I16" s="58" t="s">
        <v>168</v>
      </c>
      <c r="J16" s="47" t="s">
        <v>169</v>
      </c>
      <c r="K16" s="58">
        <v>1</v>
      </c>
      <c r="L16" s="58">
        <v>30</v>
      </c>
      <c r="M16" s="58">
        <v>30</v>
      </c>
      <c r="N16" s="58">
        <v>30</v>
      </c>
      <c r="O16" s="58">
        <v>10</v>
      </c>
      <c r="P16" s="63">
        <f ca="1">IFERROR(IF($J16=Lists!$S$2,SUM(FORMULACIÓN!K16:O16),IF(FORMULACIÓN!$J16=Lists!$S$3,SUM(FORMULACIÓN!L16:O16),IF(FORMULACIÓN!$J16=Lists!$S$4,AVERAGE(FORMULACIÓN!L16:O16),IF(FORMULACIÓN!$J16=Lists!$S$5,OFFSET(K16,0,COUNTA(L16:O16)),IF(FORMULACIÓN!$J16=Lists!$S$6,AVERAGE(FORMULACIÓN!L16:O16),""))))),"")</f>
        <v>100</v>
      </c>
      <c r="Q16" s="51" t="str">
        <f ca="1">IF($I16=Lists!$R$3,TEXT(FORMULACIÓN!P16,"00,00%"),IF(FORMULACIÓN!P16=0,0,TEXT(FORMULACIÓN!P16,"##.###")))</f>
        <v>100</v>
      </c>
      <c r="R16" s="47" t="s">
        <v>174</v>
      </c>
      <c r="S16" s="205">
        <v>0.02</v>
      </c>
      <c r="T16" s="63" t="s">
        <v>163</v>
      </c>
      <c r="U16" s="66">
        <v>3551237748</v>
      </c>
      <c r="V16" s="66"/>
      <c r="W16" s="66"/>
      <c r="X16" s="67">
        <f t="shared" si="0"/>
        <v>3551237748</v>
      </c>
      <c r="Y16" s="66">
        <v>3796478178</v>
      </c>
      <c r="Z16" s="66"/>
      <c r="AA16" s="66"/>
      <c r="AB16" s="67">
        <f t="shared" si="1"/>
        <v>3796478178</v>
      </c>
      <c r="AC16" s="66">
        <v>6911772633.1818657</v>
      </c>
      <c r="AD16" s="66"/>
      <c r="AE16" s="66"/>
      <c r="AF16" s="67">
        <f t="shared" si="2"/>
        <v>6911772633.1818657</v>
      </c>
      <c r="AG16" s="66">
        <v>2442911709.2573318</v>
      </c>
      <c r="AH16" s="66"/>
      <c r="AI16" s="66"/>
      <c r="AJ16" s="65">
        <f t="shared" si="3"/>
        <v>2442911709.2573318</v>
      </c>
      <c r="AK16" s="65">
        <f>IF(SUM(AB16,AF16,X16,AJ16)=0,"",SUM((AB16,AF16,X16,AJ16)))</f>
        <v>16702400268.439198</v>
      </c>
      <c r="AL16" s="20"/>
      <c r="AM16" s="20"/>
      <c r="AN16" s="20"/>
      <c r="AO16" s="20"/>
      <c r="AP16" s="20"/>
      <c r="AQ16" s="20"/>
      <c r="AR16" s="20"/>
      <c r="AS16" s="20"/>
      <c r="AT16" s="20"/>
      <c r="AU16" s="20"/>
      <c r="AV16" s="20"/>
      <c r="AW16" s="20"/>
      <c r="BN16" s="72"/>
      <c r="BO16" s="72"/>
      <c r="BP16" s="72"/>
      <c r="BQ16" s="72"/>
      <c r="BR16" s="72"/>
      <c r="BS16" s="72"/>
      <c r="BT16" s="72"/>
      <c r="BU16" s="72"/>
      <c r="BV16" s="72"/>
      <c r="BW16" s="72"/>
      <c r="BX16" s="68"/>
      <c r="CG16" s="17"/>
    </row>
    <row r="17" spans="1:85" s="62" customFormat="1" ht="99.95" customHeight="1">
      <c r="A17" s="92">
        <f t="shared" si="4"/>
        <v>6</v>
      </c>
      <c r="B17" s="47" t="s">
        <v>154</v>
      </c>
      <c r="C17" s="199" t="str">
        <f>IFERROR(VLOOKUP(FORMULACIÓN!B17,Lists!$A$2:$B$6,2,FALSE),"")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7" s="47" t="s">
        <v>155</v>
      </c>
      <c r="E17" s="47" t="s">
        <v>156</v>
      </c>
      <c r="F17" s="47" t="s">
        <v>171</v>
      </c>
      <c r="G17" s="200" t="s">
        <v>177</v>
      </c>
      <c r="H17" s="200" t="s">
        <v>178</v>
      </c>
      <c r="I17" s="58" t="s">
        <v>168</v>
      </c>
      <c r="J17" s="47" t="s">
        <v>169</v>
      </c>
      <c r="K17" s="58">
        <v>9</v>
      </c>
      <c r="L17" s="58">
        <v>25</v>
      </c>
      <c r="M17" s="58">
        <v>25</v>
      </c>
      <c r="N17" s="58">
        <v>25</v>
      </c>
      <c r="O17" s="58">
        <v>25</v>
      </c>
      <c r="P17" s="63">
        <f ca="1">IFERROR(IF($J17=Lists!$S$2,SUM(FORMULACIÓN!K17:O17),IF(FORMULACIÓN!$J17=Lists!$S$3,SUM(FORMULACIÓN!L17:O17),IF(FORMULACIÓN!$J17=Lists!$S$4,AVERAGE(FORMULACIÓN!L17:O17),IF(FORMULACIÓN!$J17=Lists!$S$5,OFFSET(K17,0,COUNTA(L17:O17)),IF(FORMULACIÓN!$J17=Lists!$S$6,AVERAGE(FORMULACIÓN!L17:O17),""))))),"")</f>
        <v>100</v>
      </c>
      <c r="Q17" s="51" t="str">
        <f ca="1">IF($I17=Lists!$R$3,TEXT(FORMULACIÓN!P17,"00,00%"),IF(FORMULACIÓN!P17=0,0,TEXT(FORMULACIÓN!P17,"##.###")))</f>
        <v>100</v>
      </c>
      <c r="R17" s="47" t="s">
        <v>174</v>
      </c>
      <c r="S17" s="205">
        <v>0.02</v>
      </c>
      <c r="T17" s="63" t="s">
        <v>163</v>
      </c>
      <c r="U17" s="66">
        <v>3551237748</v>
      </c>
      <c r="V17" s="66"/>
      <c r="W17" s="66"/>
      <c r="X17" s="67">
        <f t="shared" si="0"/>
        <v>3551237748</v>
      </c>
      <c r="Y17" s="66">
        <v>3796478178</v>
      </c>
      <c r="Z17" s="66"/>
      <c r="AA17" s="66"/>
      <c r="AB17" s="67">
        <f t="shared" si="1"/>
        <v>3796478178</v>
      </c>
      <c r="AC17" s="66">
        <v>3455886316.5909305</v>
      </c>
      <c r="AD17" s="66"/>
      <c r="AE17" s="66"/>
      <c r="AF17" s="67">
        <f t="shared" si="2"/>
        <v>3455886316.5909305</v>
      </c>
      <c r="AG17" s="66">
        <v>1221455854.6286652</v>
      </c>
      <c r="AH17" s="66"/>
      <c r="AI17" s="66"/>
      <c r="AJ17" s="65">
        <f t="shared" si="3"/>
        <v>1221455854.6286652</v>
      </c>
      <c r="AK17" s="65">
        <f>IF(SUM(AB17,AF17,X17,AJ17)=0,"",SUM((AB17,AF17,X17,AJ17)))</f>
        <v>12025058097.219597</v>
      </c>
      <c r="AL17" s="20"/>
      <c r="AM17" s="20"/>
      <c r="AN17" s="20"/>
      <c r="AO17" s="20"/>
      <c r="AP17" s="20"/>
      <c r="AQ17" s="20"/>
      <c r="AR17" s="20"/>
      <c r="AS17" s="20"/>
      <c r="AT17" s="20"/>
      <c r="AU17" s="20"/>
      <c r="AV17" s="20"/>
      <c r="AW17" s="20"/>
      <c r="BN17" s="72"/>
      <c r="BO17" s="72"/>
      <c r="BP17" s="72"/>
      <c r="BQ17" s="72"/>
      <c r="BR17" s="72"/>
      <c r="BS17" s="72"/>
      <c r="BT17" s="72"/>
      <c r="BU17" s="72"/>
      <c r="BV17" s="72"/>
      <c r="BW17" s="72"/>
      <c r="BX17" s="68"/>
      <c r="CG17" s="17"/>
    </row>
    <row r="18" spans="1:85" s="62" customFormat="1" ht="99.95" customHeight="1">
      <c r="A18" s="92">
        <f t="shared" si="4"/>
        <v>7</v>
      </c>
      <c r="B18" s="47" t="s">
        <v>154</v>
      </c>
      <c r="C18" s="199" t="str">
        <f>IFERROR(VLOOKUP(FORMULACIÓN!B18,Lists!$A$2:$B$6,2,FALSE),"")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8" s="47" t="s">
        <v>155</v>
      </c>
      <c r="E18" s="47" t="s">
        <v>156</v>
      </c>
      <c r="F18" s="47" t="s">
        <v>171</v>
      </c>
      <c r="G18" s="200" t="s">
        <v>179</v>
      </c>
      <c r="H18" s="200" t="s">
        <v>180</v>
      </c>
      <c r="I18" s="58" t="s">
        <v>168</v>
      </c>
      <c r="J18" s="47" t="s">
        <v>169</v>
      </c>
      <c r="K18" s="58">
        <v>28</v>
      </c>
      <c r="L18" s="58">
        <v>30</v>
      </c>
      <c r="M18" s="58">
        <v>30</v>
      </c>
      <c r="N18" s="58">
        <v>30</v>
      </c>
      <c r="O18" s="58">
        <v>10</v>
      </c>
      <c r="P18" s="63">
        <f ca="1">IFERROR(IF($J18=Lists!$S$2,SUM(FORMULACIÓN!K18:O18),IF(FORMULACIÓN!$J18=Lists!$S$3,SUM(FORMULACIÓN!L18:O18),IF(FORMULACIÓN!$J18=Lists!$S$4,AVERAGE(FORMULACIÓN!L18:O18),IF(FORMULACIÓN!$J18=Lists!$S$5,OFFSET(K18,0,COUNTA(L18:O18)),IF(FORMULACIÓN!$J18=Lists!$S$6,AVERAGE(FORMULACIÓN!L18:O18),""))))),"")</f>
        <v>100</v>
      </c>
      <c r="Q18" s="51" t="str">
        <f ca="1">IF($I18=Lists!$R$3,TEXT(FORMULACIÓN!P18,"00,00%"),IF(FORMULACIÓN!P18=0,0,TEXT(FORMULACIÓN!P18,"##.###")))</f>
        <v>100</v>
      </c>
      <c r="R18" s="47" t="s">
        <v>174</v>
      </c>
      <c r="S18" s="205">
        <v>0.02</v>
      </c>
      <c r="T18" s="63" t="s">
        <v>163</v>
      </c>
      <c r="U18" s="66">
        <v>3551237748</v>
      </c>
      <c r="V18" s="66"/>
      <c r="W18" s="66"/>
      <c r="X18" s="67">
        <f t="shared" si="0"/>
        <v>3551237748</v>
      </c>
      <c r="Y18" s="66">
        <v>3796478178</v>
      </c>
      <c r="Z18" s="66"/>
      <c r="AA18" s="66"/>
      <c r="AB18" s="67">
        <f t="shared" si="1"/>
        <v>3796478178</v>
      </c>
      <c r="AC18" s="66">
        <v>7372557475.3939829</v>
      </c>
      <c r="AD18" s="66"/>
      <c r="AE18" s="66"/>
      <c r="AF18" s="67">
        <f t="shared" si="2"/>
        <v>7372557475.3939829</v>
      </c>
      <c r="AG18" s="66">
        <v>2605772489.874485</v>
      </c>
      <c r="AH18" s="66"/>
      <c r="AI18" s="66"/>
      <c r="AJ18" s="65">
        <f t="shared" si="3"/>
        <v>2605772489.874485</v>
      </c>
      <c r="AK18" s="65">
        <f>IF(SUM(AB18,AF18,X18,AJ18)=0,"",SUM((AB18,AF18,X18,AJ18)))</f>
        <v>17326045891.268467</v>
      </c>
      <c r="AL18" s="20"/>
      <c r="AM18" s="20"/>
      <c r="AN18" s="20"/>
      <c r="AO18" s="20"/>
      <c r="AP18" s="20"/>
      <c r="AQ18" s="20"/>
      <c r="AR18" s="20"/>
      <c r="AS18" s="20"/>
      <c r="AT18" s="20"/>
      <c r="AU18" s="20"/>
      <c r="AV18" s="20"/>
      <c r="AW18" s="20"/>
      <c r="BN18" s="72"/>
      <c r="BO18" s="72"/>
      <c r="BP18" s="72"/>
      <c r="BQ18" s="72"/>
      <c r="BR18" s="72"/>
      <c r="BS18" s="72"/>
      <c r="BT18" s="72"/>
      <c r="BU18" s="72"/>
      <c r="BV18" s="72"/>
      <c r="BW18" s="72"/>
      <c r="BX18" s="68"/>
      <c r="CG18" s="17"/>
    </row>
    <row r="19" spans="1:85" s="62" customFormat="1" ht="99.95" customHeight="1">
      <c r="A19" s="92">
        <f t="shared" si="4"/>
        <v>8</v>
      </c>
      <c r="B19" s="47" t="s">
        <v>154</v>
      </c>
      <c r="C19" s="199" t="str">
        <f>IFERROR(VLOOKUP(FORMULACIÓN!B19,Lists!$A$2:$B$6,2,FALSE),"")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19" s="47" t="s">
        <v>155</v>
      </c>
      <c r="E19" s="47" t="s">
        <v>156</v>
      </c>
      <c r="F19" s="200" t="s">
        <v>181</v>
      </c>
      <c r="G19" s="200" t="s">
        <v>182</v>
      </c>
      <c r="H19" s="200" t="s">
        <v>183</v>
      </c>
      <c r="I19" s="58" t="s">
        <v>168</v>
      </c>
      <c r="J19" s="47" t="s">
        <v>169</v>
      </c>
      <c r="K19" s="58">
        <v>5</v>
      </c>
      <c r="L19" s="58">
        <v>75</v>
      </c>
      <c r="M19" s="58">
        <v>75</v>
      </c>
      <c r="N19" s="58">
        <v>75</v>
      </c>
      <c r="O19" s="58">
        <v>25</v>
      </c>
      <c r="P19" s="63">
        <f ca="1">IFERROR(IF($J19=Lists!$S$2,SUM(FORMULACIÓN!K19:O19),IF(FORMULACIÓN!$J19=Lists!$S$3,SUM(FORMULACIÓN!L19:O19),IF(FORMULACIÓN!$J19=Lists!$S$4,AVERAGE(FORMULACIÓN!L19:O19),IF(FORMULACIÓN!$J19=Lists!$S$5,OFFSET(K19,0,COUNTA(L19:O19)),IF(FORMULACIÓN!$J19=Lists!$S$6,AVERAGE(FORMULACIÓN!L19:O19),""))))),"")</f>
        <v>250</v>
      </c>
      <c r="Q19" s="51" t="str">
        <f ca="1">IF($I19=Lists!$R$3,TEXT(FORMULACIÓN!P19,"00,00%"),IF(FORMULACIÓN!P19=0,0,TEXT(FORMULACIÓN!P19,"##.###")))</f>
        <v>250</v>
      </c>
      <c r="R19" s="47" t="s">
        <v>174</v>
      </c>
      <c r="S19" s="205">
        <v>0.02</v>
      </c>
      <c r="T19" s="63" t="s">
        <v>163</v>
      </c>
      <c r="U19" s="66">
        <v>3551237748</v>
      </c>
      <c r="V19" s="66"/>
      <c r="W19" s="66"/>
      <c r="X19" s="67">
        <f t="shared" si="0"/>
        <v>3551237748</v>
      </c>
      <c r="Y19" s="66">
        <v>3796478178</v>
      </c>
      <c r="Z19" s="66"/>
      <c r="AA19" s="66"/>
      <c r="AB19" s="67">
        <f t="shared" si="1"/>
        <v>3796478178</v>
      </c>
      <c r="AC19" s="66">
        <v>1843139368.8484957</v>
      </c>
      <c r="AD19" s="66"/>
      <c r="AE19" s="66"/>
      <c r="AF19" s="67">
        <f t="shared" si="2"/>
        <v>1843139368.8484957</v>
      </c>
      <c r="AG19" s="66">
        <v>651443122.46862125</v>
      </c>
      <c r="AH19" s="66"/>
      <c r="AI19" s="66"/>
      <c r="AJ19" s="65">
        <f t="shared" si="3"/>
        <v>651443122.46862125</v>
      </c>
      <c r="AK19" s="65">
        <f>IF(SUM(AB19,AF19,X19,AJ19)=0,"",SUM((AB19,AF19,X19,AJ19)))</f>
        <v>9842298417.3171158</v>
      </c>
      <c r="AL19" s="20"/>
      <c r="AM19" s="20"/>
      <c r="AN19" s="20"/>
      <c r="AO19" s="20"/>
      <c r="AP19" s="20"/>
      <c r="AQ19" s="20"/>
      <c r="AR19" s="20"/>
      <c r="AS19" s="20"/>
      <c r="AT19" s="20"/>
      <c r="AU19" s="20"/>
      <c r="AV19" s="20"/>
      <c r="AW19" s="20"/>
      <c r="BN19" s="68"/>
      <c r="BO19" s="68"/>
      <c r="BP19" s="68"/>
      <c r="BQ19" s="68"/>
      <c r="BR19" s="68"/>
      <c r="BS19" s="68"/>
      <c r="BT19" s="68"/>
      <c r="BU19" s="68"/>
      <c r="BV19" s="68"/>
      <c r="BW19" s="72"/>
      <c r="BX19" s="68"/>
      <c r="CG19" s="17"/>
    </row>
    <row r="20" spans="1:85" s="62" customFormat="1" ht="99.95" customHeight="1">
      <c r="A20" s="92">
        <f t="shared" si="4"/>
        <v>9</v>
      </c>
      <c r="B20" s="47" t="s">
        <v>154</v>
      </c>
      <c r="C20" s="199" t="str">
        <f>IFERROR(VLOOKUP(FORMULACIÓN!B20,Lists!$A$2:$B$6,2,FALSE),"")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0" s="47" t="s">
        <v>155</v>
      </c>
      <c r="E20" s="47" t="s">
        <v>156</v>
      </c>
      <c r="F20" s="200" t="s">
        <v>181</v>
      </c>
      <c r="G20" s="200" t="s">
        <v>184</v>
      </c>
      <c r="H20" s="200" t="s">
        <v>185</v>
      </c>
      <c r="I20" s="58" t="s">
        <v>168</v>
      </c>
      <c r="J20" s="47" t="s">
        <v>169</v>
      </c>
      <c r="K20" s="58">
        <v>7</v>
      </c>
      <c r="L20" s="58">
        <v>60</v>
      </c>
      <c r="M20" s="58">
        <v>60</v>
      </c>
      <c r="N20" s="58">
        <v>60</v>
      </c>
      <c r="O20" s="58">
        <v>20</v>
      </c>
      <c r="P20" s="63">
        <f ca="1">IFERROR(IF($J20=Lists!$S$2,SUM(FORMULACIÓN!K20:O20),IF(FORMULACIÓN!$J20=Lists!$S$3,SUM(FORMULACIÓN!L20:O20),IF(FORMULACIÓN!$J20=Lists!$S$4,AVERAGE(FORMULACIÓN!L20:O20),IF(FORMULACIÓN!$J20=Lists!$S$5,OFFSET(K20,0,COUNTA(L20:O20)),IF(FORMULACIÓN!$J20=Lists!$S$6,AVERAGE(FORMULACIÓN!L20:O20),""))))),"")</f>
        <v>200</v>
      </c>
      <c r="Q20" s="51" t="str">
        <f ca="1">IF($I20=Lists!$R$3,TEXT(FORMULACIÓN!P20,"00,00%"),IF(FORMULACIÓN!P20=0,0,TEXT(FORMULACIÓN!P20,"##.###")))</f>
        <v>200</v>
      </c>
      <c r="R20" s="47" t="s">
        <v>174</v>
      </c>
      <c r="S20" s="205">
        <v>0.02</v>
      </c>
      <c r="T20" s="63" t="s">
        <v>163</v>
      </c>
      <c r="U20" s="66">
        <v>3551237748</v>
      </c>
      <c r="V20" s="66"/>
      <c r="W20" s="66"/>
      <c r="X20" s="67">
        <f t="shared" si="0"/>
        <v>3551237748</v>
      </c>
      <c r="Y20" s="66">
        <v>3796478178</v>
      </c>
      <c r="Z20" s="66"/>
      <c r="AA20" s="66"/>
      <c r="AB20" s="67">
        <f t="shared" si="1"/>
        <v>3796478178</v>
      </c>
      <c r="AC20" s="66">
        <v>1843139368.8484957</v>
      </c>
      <c r="AD20" s="66"/>
      <c r="AE20" s="66"/>
      <c r="AF20" s="67">
        <f t="shared" si="2"/>
        <v>1843139368.8484957</v>
      </c>
      <c r="AG20" s="66">
        <v>651443122.46862125</v>
      </c>
      <c r="AH20" s="66"/>
      <c r="AI20" s="66"/>
      <c r="AJ20" s="65">
        <f t="shared" si="3"/>
        <v>651443122.46862125</v>
      </c>
      <c r="AK20" s="65">
        <f>IF(SUM(AB20,AF20,X20,AJ20)=0,"",SUM((AB20,AF20,X20,AJ20)))</f>
        <v>9842298417.3171158</v>
      </c>
      <c r="AL20" s="20"/>
      <c r="AM20" s="20"/>
      <c r="AN20" s="20"/>
      <c r="AO20" s="20"/>
      <c r="AP20" s="20"/>
      <c r="AQ20" s="20"/>
      <c r="AR20" s="20"/>
      <c r="AS20" s="20"/>
      <c r="AT20" s="20"/>
      <c r="AU20" s="20"/>
      <c r="AV20" s="20"/>
      <c r="AW20" s="20"/>
      <c r="CG20" s="17"/>
    </row>
    <row r="21" spans="1:85" s="62" customFormat="1" ht="99.95" customHeight="1">
      <c r="A21" s="92">
        <f t="shared" si="4"/>
        <v>10</v>
      </c>
      <c r="B21" s="47" t="s">
        <v>154</v>
      </c>
      <c r="C21" s="199" t="str">
        <f>IFERROR(VLOOKUP(FORMULACIÓN!B21,Lists!$A$2:$B$6,2,FALSE),"")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1" s="200" t="s">
        <v>155</v>
      </c>
      <c r="E21" s="200" t="s">
        <v>156</v>
      </c>
      <c r="F21" s="200" t="s">
        <v>186</v>
      </c>
      <c r="G21" s="200" t="s">
        <v>187</v>
      </c>
      <c r="H21" s="200" t="s">
        <v>188</v>
      </c>
      <c r="I21" s="58" t="s">
        <v>160</v>
      </c>
      <c r="J21" s="47" t="s">
        <v>161</v>
      </c>
      <c r="K21" s="198">
        <v>3.1578947368421053E-4</v>
      </c>
      <c r="L21" s="196">
        <v>0.1</v>
      </c>
      <c r="M21" s="196">
        <v>0.15</v>
      </c>
      <c r="N21" s="196">
        <v>0.15</v>
      </c>
      <c r="O21" s="196">
        <v>0.01</v>
      </c>
      <c r="P21" s="63">
        <f ca="1">IFERROR(IF($J21=Lists!$S$2,SUM(FORMULACIÓN!K21:O21),IF(FORMULACIÓN!$J21=Lists!$S$3,SUM(FORMULACIÓN!L21:O21),IF(FORMULACIÓN!$J21=Lists!$S$4,AVERAGE(FORMULACIÓN!L21:O21),IF(FORMULACIÓN!$J21=Lists!$S$5,OFFSET(K21,0,COUNTA(L21:O21)),IF(FORMULACIÓN!$J21=Lists!$S$6,AVERAGE(FORMULACIÓN!L21:O21),""))))),"")</f>
        <v>0.41031578947368419</v>
      </c>
      <c r="Q21" s="51" t="str">
        <f ca="1">IF($I21=Lists!$R$3,TEXT(FORMULACIÓN!P21,"00,00%"),IF(FORMULACIÓN!P21=0,0,TEXT(FORMULACIÓN!P21,"##.###")))</f>
        <v>41,03%</v>
      </c>
      <c r="R21" s="47" t="s">
        <v>189</v>
      </c>
      <c r="S21" s="205">
        <v>0.02</v>
      </c>
      <c r="T21" s="63" t="s">
        <v>163</v>
      </c>
      <c r="U21" s="66">
        <v>6327399396</v>
      </c>
      <c r="V21" s="66"/>
      <c r="W21" s="66"/>
      <c r="X21" s="67">
        <f t="shared" si="0"/>
        <v>6327399396</v>
      </c>
      <c r="Y21" s="66">
        <v>6753906255.333333</v>
      </c>
      <c r="Z21" s="66"/>
      <c r="AA21" s="66"/>
      <c r="AB21" s="67">
        <f t="shared" si="1"/>
        <v>6753906255.333333</v>
      </c>
      <c r="AC21" s="66">
        <v>7380814266.2246189</v>
      </c>
      <c r="AD21" s="66"/>
      <c r="AE21" s="66"/>
      <c r="AF21" s="67">
        <f t="shared" si="2"/>
        <v>7380814266.2246189</v>
      </c>
      <c r="AG21" s="66">
        <v>2609486022.1443887</v>
      </c>
      <c r="AH21" s="66"/>
      <c r="AI21" s="66"/>
      <c r="AJ21" s="65">
        <f t="shared" si="3"/>
        <v>2609486022.1443887</v>
      </c>
      <c r="AK21" s="65">
        <f>IF(SUM(AB21,AF21,X21,AJ21)=0,"",SUM((AB21,AF21,X21,AJ21)))</f>
        <v>23071605939.702343</v>
      </c>
      <c r="AL21" s="20"/>
      <c r="AM21" s="20"/>
      <c r="AN21" s="20"/>
      <c r="AO21" s="20"/>
      <c r="AP21" s="20"/>
      <c r="AQ21" s="20"/>
      <c r="AR21" s="20"/>
      <c r="AS21" s="20"/>
      <c r="AT21" s="20"/>
      <c r="AU21" s="20"/>
      <c r="AV21" s="20"/>
      <c r="AW21" s="20"/>
      <c r="CG21" s="17"/>
    </row>
    <row r="22" spans="1:85" s="62" customFormat="1" ht="142.5" customHeight="1">
      <c r="A22" s="92">
        <f t="shared" si="4"/>
        <v>11</v>
      </c>
      <c r="B22" s="47" t="s">
        <v>154</v>
      </c>
      <c r="C22" s="199" t="str">
        <f>IFERROR(VLOOKUP(FORMULACIÓN!B22,Lists!$A$2:$B$6,2,FALSE),"")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2" s="200" t="s">
        <v>190</v>
      </c>
      <c r="E22" s="200" t="s">
        <v>156</v>
      </c>
      <c r="F22" s="200" t="s">
        <v>186</v>
      </c>
      <c r="G22" s="200" t="s">
        <v>191</v>
      </c>
      <c r="H22" s="200" t="s">
        <v>192</v>
      </c>
      <c r="I22" s="58" t="s">
        <v>160</v>
      </c>
      <c r="J22" s="47" t="s">
        <v>161</v>
      </c>
      <c r="K22" s="196">
        <v>0</v>
      </c>
      <c r="L22" s="196">
        <v>0.1</v>
      </c>
      <c r="M22" s="196">
        <v>0.1</v>
      </c>
      <c r="N22" s="196">
        <v>0.15</v>
      </c>
      <c r="O22" s="196">
        <v>0.05</v>
      </c>
      <c r="P22" s="63">
        <f ca="1">IFERROR(IF($J22=Lists!$S$2,SUM(FORMULACIÓN!K22:O22),IF(FORMULACIÓN!$J22=Lists!$S$3,SUM(FORMULACIÓN!L22:O22),IF(FORMULACIÓN!$J22=Lists!$S$4,AVERAGE(FORMULACIÓN!L22:O22),IF(FORMULACIÓN!$J22=Lists!$S$5,OFFSET(K22,0,COUNTA(L22:O22)),IF(FORMULACIÓN!$J22=Lists!$S$6,AVERAGE(FORMULACIÓN!L22:O22),""))))),"")</f>
        <v>0.39999999999999997</v>
      </c>
      <c r="Q22" s="51" t="str">
        <f ca="1">IF($I22=Lists!$R$3,TEXT(FORMULACIÓN!P22,"00,00%"),IF(FORMULACIÓN!P22=0,0,TEXT(FORMULACIÓN!P22,"##.###")))</f>
        <v>40,00%</v>
      </c>
      <c r="R22" s="47" t="s">
        <v>189</v>
      </c>
      <c r="S22" s="205">
        <v>0.02</v>
      </c>
      <c r="T22" s="63" t="s">
        <v>163</v>
      </c>
      <c r="U22" s="66">
        <v>6327399396</v>
      </c>
      <c r="V22" s="66"/>
      <c r="W22" s="66"/>
      <c r="X22" s="67">
        <f t="shared" si="0"/>
        <v>6327399396</v>
      </c>
      <c r="Y22" s="66">
        <v>6753906255.333333</v>
      </c>
      <c r="Z22" s="66"/>
      <c r="AA22" s="66"/>
      <c r="AB22" s="67">
        <f t="shared" si="1"/>
        <v>6753906255.333333</v>
      </c>
      <c r="AC22" s="66">
        <v>7380814266.2246189</v>
      </c>
      <c r="AD22" s="66"/>
      <c r="AE22" s="66"/>
      <c r="AF22" s="67">
        <f t="shared" si="2"/>
        <v>7380814266.2246189</v>
      </c>
      <c r="AG22" s="66">
        <v>2609486022.1443887</v>
      </c>
      <c r="AH22" s="66"/>
      <c r="AI22" s="66"/>
      <c r="AJ22" s="65">
        <f t="shared" si="3"/>
        <v>2609486022.1443887</v>
      </c>
      <c r="AK22" s="65">
        <f>IF(SUM(AB22,AF22,X22,AJ22)=0,"",SUM((AB22,AF22,X22,AJ22)))</f>
        <v>23071605939.702343</v>
      </c>
      <c r="AL22" s="20"/>
      <c r="AM22" s="20"/>
      <c r="AN22" s="20"/>
      <c r="AO22" s="20"/>
      <c r="AP22" s="20"/>
      <c r="AQ22" s="20"/>
      <c r="AR22" s="20"/>
      <c r="AS22" s="20"/>
      <c r="AT22" s="20"/>
      <c r="AU22" s="20"/>
      <c r="AV22" s="20"/>
      <c r="AW22" s="20"/>
      <c r="CG22" s="17"/>
    </row>
    <row r="23" spans="1:85" s="62" customFormat="1" ht="147.75" customHeight="1">
      <c r="A23" s="92">
        <f t="shared" si="4"/>
        <v>12</v>
      </c>
      <c r="B23" s="47" t="s">
        <v>154</v>
      </c>
      <c r="C23" s="199" t="str">
        <f>IFERROR(VLOOKUP(FORMULACIÓN!B23,Lists!$A$2:$B$6,2,FALSE),"")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3" s="200" t="s">
        <v>190</v>
      </c>
      <c r="E23" s="200" t="s">
        <v>156</v>
      </c>
      <c r="F23" s="200" t="s">
        <v>186</v>
      </c>
      <c r="G23" s="200" t="s">
        <v>191</v>
      </c>
      <c r="H23" s="200" t="s">
        <v>193</v>
      </c>
      <c r="I23" s="58" t="s">
        <v>160</v>
      </c>
      <c r="J23" s="47" t="s">
        <v>161</v>
      </c>
      <c r="K23" s="196">
        <v>0</v>
      </c>
      <c r="L23" s="196">
        <v>0.2</v>
      </c>
      <c r="M23" s="196">
        <v>0.2</v>
      </c>
      <c r="N23" s="196">
        <v>0.15</v>
      </c>
      <c r="O23" s="196">
        <v>0.05</v>
      </c>
      <c r="P23" s="63">
        <f ca="1">IFERROR(IF($J23=Lists!$S$2,SUM(FORMULACIÓN!K23:O23),IF(FORMULACIÓN!$J23=Lists!$S$3,SUM(FORMULACIÓN!L23:O23),IF(FORMULACIÓN!$J23=Lists!$S$4,AVERAGE(FORMULACIÓN!L23:O23),IF(FORMULACIÓN!$J23=Lists!$S$5,OFFSET(K23,0,COUNTA(L23:O23)),IF(FORMULACIÓN!$J23=Lists!$S$6,AVERAGE(FORMULACIÓN!L23:O23),""))))),"")</f>
        <v>0.60000000000000009</v>
      </c>
      <c r="Q23" s="51" t="str">
        <f ca="1">IF($I23=Lists!$R$3,TEXT(FORMULACIÓN!P23,"00,00%"),IF(FORMULACIÓN!P23=0,0,TEXT(FORMULACIÓN!P23,"##.###")))</f>
        <v>60,00%</v>
      </c>
      <c r="R23" s="47" t="s">
        <v>189</v>
      </c>
      <c r="S23" s="205">
        <v>0.02</v>
      </c>
      <c r="T23" s="63" t="s">
        <v>163</v>
      </c>
      <c r="U23" s="66">
        <v>6327399396</v>
      </c>
      <c r="V23" s="66"/>
      <c r="W23" s="66"/>
      <c r="X23" s="67">
        <f t="shared" si="0"/>
        <v>6327399396</v>
      </c>
      <c r="Y23" s="66">
        <v>6753906255.333333</v>
      </c>
      <c r="Z23" s="66"/>
      <c r="AA23" s="66"/>
      <c r="AB23" s="67">
        <f t="shared" si="1"/>
        <v>6753906255.333333</v>
      </c>
      <c r="AC23" s="66">
        <v>7380814266.2246189</v>
      </c>
      <c r="AD23" s="66"/>
      <c r="AE23" s="66"/>
      <c r="AF23" s="67">
        <f t="shared" si="2"/>
        <v>7380814266.2246189</v>
      </c>
      <c r="AG23" s="66">
        <v>2609486022.1443887</v>
      </c>
      <c r="AH23" s="66"/>
      <c r="AI23" s="66"/>
      <c r="AJ23" s="65">
        <f t="shared" si="3"/>
        <v>2609486022.1443887</v>
      </c>
      <c r="AK23" s="65">
        <f>IF(SUM(AB23,AF23,X23,AJ23)=0,"",SUM((AB23,AF23,X23,AJ23)))</f>
        <v>23071605939.702343</v>
      </c>
      <c r="AL23" s="20"/>
      <c r="AM23" s="20"/>
      <c r="AN23" s="20"/>
      <c r="AO23" s="20"/>
      <c r="AP23" s="20"/>
      <c r="AQ23" s="20"/>
      <c r="AR23" s="20"/>
      <c r="AS23" s="20"/>
      <c r="AT23" s="20"/>
      <c r="AU23" s="20"/>
      <c r="AV23" s="20"/>
      <c r="AW23" s="20"/>
      <c r="CG23" s="17"/>
    </row>
    <row r="24" spans="1:85" s="62" customFormat="1" ht="99.95" customHeight="1">
      <c r="A24" s="92">
        <f t="shared" si="4"/>
        <v>13</v>
      </c>
      <c r="B24" s="47" t="s">
        <v>154</v>
      </c>
      <c r="C24" s="199" t="str">
        <f>IFERROR(VLOOKUP(FORMULACIÓN!B24,Lists!$A$2:$B$6,2,FALSE),"")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4" s="200" t="s">
        <v>194</v>
      </c>
      <c r="E24" s="200" t="s">
        <v>195</v>
      </c>
      <c r="F24" s="200" t="s">
        <v>196</v>
      </c>
      <c r="G24" s="200" t="s">
        <v>197</v>
      </c>
      <c r="H24" s="200" t="s">
        <v>198</v>
      </c>
      <c r="I24" s="58" t="s">
        <v>160</v>
      </c>
      <c r="J24" s="47" t="s">
        <v>161</v>
      </c>
      <c r="K24" s="59">
        <v>0.1</v>
      </c>
      <c r="L24" s="196">
        <v>0.4</v>
      </c>
      <c r="M24" s="196">
        <v>0.2</v>
      </c>
      <c r="N24" s="196">
        <v>0.2</v>
      </c>
      <c r="O24" s="196">
        <v>0.1</v>
      </c>
      <c r="P24" s="63">
        <f ca="1">IFERROR(IF($J24=Lists!$S$2,SUM(FORMULACIÓN!K24:O24),IF(FORMULACIÓN!$J24=Lists!$S$3,SUM(FORMULACIÓN!L24:O24),IF(FORMULACIÓN!$J24=Lists!$S$4,AVERAGE(FORMULACIÓN!L24:O24),IF(FORMULACIÓN!$J24=Lists!$S$5,OFFSET(K24,0,COUNTA(L24:O24)),IF(FORMULACIÓN!$J24=Lists!$S$6,AVERAGE(FORMULACIÓN!L24:O24),""))))),"")</f>
        <v>0.99999999999999989</v>
      </c>
      <c r="Q24" s="51" t="str">
        <f ca="1">IF($I24=Lists!$R$3,TEXT(FORMULACIÓN!P24,"00,00%"),IF(FORMULACIÓN!P24=0,0,TEXT(FORMULACIÓN!P24,"##.###")))</f>
        <v>100,00%</v>
      </c>
      <c r="R24" s="47" t="s">
        <v>199</v>
      </c>
      <c r="S24" s="205">
        <v>2.5000000000000001E-2</v>
      </c>
      <c r="T24" s="63" t="s">
        <v>163</v>
      </c>
      <c r="U24" s="66">
        <v>9434343715</v>
      </c>
      <c r="V24" s="66"/>
      <c r="W24" s="66"/>
      <c r="X24" s="67">
        <f t="shared" si="0"/>
        <v>9434343715</v>
      </c>
      <c r="Y24" s="66">
        <v>10070888331</v>
      </c>
      <c r="Z24" s="66"/>
      <c r="AA24" s="66"/>
      <c r="AB24" s="67">
        <f t="shared" si="1"/>
        <v>10070888331</v>
      </c>
      <c r="AC24" s="66">
        <v>8803785274.4655304</v>
      </c>
      <c r="AD24" s="66"/>
      <c r="AE24" s="66"/>
      <c r="AF24" s="67">
        <f t="shared" si="2"/>
        <v>8803785274.4655304</v>
      </c>
      <c r="AG24" s="66">
        <v>3112405406.7135448</v>
      </c>
      <c r="AH24" s="66"/>
      <c r="AI24" s="66"/>
      <c r="AJ24" s="65">
        <f t="shared" si="3"/>
        <v>3112405406.7135448</v>
      </c>
      <c r="AK24" s="65">
        <f>IF(SUM(AB24,AF24,X24,AJ24)=0,"",SUM((AB24,AF24,X24,AJ24)))</f>
        <v>31421422727.179077</v>
      </c>
      <c r="AL24" s="20"/>
      <c r="AM24" s="20"/>
      <c r="AN24" s="20"/>
      <c r="AO24" s="20"/>
      <c r="AP24" s="20"/>
      <c r="AQ24" s="20"/>
      <c r="AR24" s="20"/>
      <c r="AS24" s="20"/>
      <c r="AT24" s="20"/>
      <c r="AU24" s="20"/>
      <c r="AV24" s="20"/>
      <c r="AW24" s="20"/>
      <c r="CG24" s="17"/>
    </row>
    <row r="25" spans="1:85" s="62" customFormat="1" ht="99.95" customHeight="1">
      <c r="A25" s="92">
        <f t="shared" si="4"/>
        <v>14</v>
      </c>
      <c r="B25" s="47" t="s">
        <v>154</v>
      </c>
      <c r="C25" s="199" t="str">
        <f>IFERROR(VLOOKUP(FORMULACIÓN!B25,Lists!$A$2:$B$6,2,FALSE),"")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5" s="200" t="s">
        <v>200</v>
      </c>
      <c r="E25" s="200" t="s">
        <v>195</v>
      </c>
      <c r="F25" s="200" t="s">
        <v>201</v>
      </c>
      <c r="G25" s="200" t="s">
        <v>202</v>
      </c>
      <c r="H25" s="200" t="s">
        <v>203</v>
      </c>
      <c r="I25" s="58" t="s">
        <v>160</v>
      </c>
      <c r="J25" s="47" t="s">
        <v>161</v>
      </c>
      <c r="K25" s="59">
        <v>0</v>
      </c>
      <c r="L25" s="196">
        <v>0.2</v>
      </c>
      <c r="M25" s="196">
        <v>0.15</v>
      </c>
      <c r="N25" s="196">
        <v>0.1</v>
      </c>
      <c r="O25" s="196">
        <v>0.05</v>
      </c>
      <c r="P25" s="63">
        <f ca="1">IFERROR(IF($J25=Lists!$S$2,SUM(FORMULACIÓN!K25:O25),IF(FORMULACIÓN!$J25=Lists!$S$3,SUM(FORMULACIÓN!L25:O25),IF(FORMULACIÓN!$J25=Lists!$S$4,AVERAGE(FORMULACIÓN!L25:O25),IF(FORMULACIÓN!$J25=Lists!$S$5,OFFSET(K25,0,COUNTA(L25:O25)),IF(FORMULACIÓN!$J25=Lists!$S$6,AVERAGE(FORMULACIÓN!L25:O25),""))))),"")</f>
        <v>0.49999999999999994</v>
      </c>
      <c r="Q25" s="51" t="str">
        <f ca="1">IF($I25=Lists!$R$3,TEXT(FORMULACIÓN!P25,"00,00%"),IF(FORMULACIÓN!P25=0,0,TEXT(FORMULACIÓN!P25,"##.###")))</f>
        <v>50,00%</v>
      </c>
      <c r="R25" s="47" t="s">
        <v>199</v>
      </c>
      <c r="S25" s="205">
        <v>2.5000000000000001E-2</v>
      </c>
      <c r="T25" s="63" t="s">
        <v>163</v>
      </c>
      <c r="U25" s="66">
        <v>9434343715</v>
      </c>
      <c r="V25" s="66"/>
      <c r="W25" s="66"/>
      <c r="X25" s="67">
        <f t="shared" si="0"/>
        <v>9434343715</v>
      </c>
      <c r="Y25" s="66">
        <v>10070888331</v>
      </c>
      <c r="Z25" s="66"/>
      <c r="AA25" s="66"/>
      <c r="AB25" s="67">
        <f t="shared" si="1"/>
        <v>10070888331</v>
      </c>
      <c r="AC25" s="66">
        <v>13205677911.698296</v>
      </c>
      <c r="AD25" s="66"/>
      <c r="AE25" s="66"/>
      <c r="AF25" s="67">
        <f t="shared" si="2"/>
        <v>13205677911.698296</v>
      </c>
      <c r="AG25" s="66">
        <v>4668608110.0703173</v>
      </c>
      <c r="AH25" s="66"/>
      <c r="AI25" s="66"/>
      <c r="AJ25" s="65">
        <f t="shared" si="3"/>
        <v>4668608110.0703173</v>
      </c>
      <c r="AK25" s="65">
        <f>IF(SUM(AB25,AF25,X25,AJ25)=0,"",SUM((AB25,AF25,X25,AJ25)))</f>
        <v>37379518067.768616</v>
      </c>
      <c r="AL25" s="20"/>
      <c r="AM25" s="20"/>
      <c r="AN25" s="20"/>
      <c r="AO25" s="20"/>
      <c r="AP25" s="20"/>
      <c r="AQ25" s="20"/>
      <c r="AR25" s="20"/>
      <c r="AS25" s="20"/>
      <c r="AT25" s="20"/>
      <c r="AU25" s="20"/>
      <c r="AV25" s="20"/>
      <c r="AW25" s="20"/>
      <c r="CG25" s="17"/>
    </row>
    <row r="26" spans="1:85" s="62" customFormat="1" ht="99.95" customHeight="1">
      <c r="A26" s="92">
        <f t="shared" si="4"/>
        <v>15</v>
      </c>
      <c r="B26" s="47" t="s">
        <v>154</v>
      </c>
      <c r="C26" s="199" t="str">
        <f>IFERROR(VLOOKUP(FORMULACIÓN!B26,Lists!$A$2:$B$6,2,FALSE),"")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6" s="200" t="s">
        <v>200</v>
      </c>
      <c r="E26" s="200" t="s">
        <v>195</v>
      </c>
      <c r="F26" s="200" t="s">
        <v>201</v>
      </c>
      <c r="G26" s="200" t="s">
        <v>204</v>
      </c>
      <c r="H26" s="200" t="s">
        <v>205</v>
      </c>
      <c r="I26" s="58" t="s">
        <v>168</v>
      </c>
      <c r="J26" s="47" t="s">
        <v>161</v>
      </c>
      <c r="K26" s="197">
        <v>50</v>
      </c>
      <c r="L26" s="197">
        <v>5</v>
      </c>
      <c r="M26" s="197">
        <v>5</v>
      </c>
      <c r="N26" s="197">
        <v>5</v>
      </c>
      <c r="O26" s="197">
        <v>5</v>
      </c>
      <c r="P26" s="63">
        <f ca="1">IFERROR(IF($J26=Lists!$S$2,SUM(FORMULACIÓN!K26:O26),IF(FORMULACIÓN!$J26=Lists!$S$3,SUM(FORMULACIÓN!L26:O26),IF(FORMULACIÓN!$J26=Lists!$S$4,AVERAGE(FORMULACIÓN!L26:O26),IF(FORMULACIÓN!$J26=Lists!$S$5,OFFSET(K26,0,COUNTA(L26:O26)),IF(FORMULACIÓN!$J26=Lists!$S$6,AVERAGE(FORMULACIÓN!L26:O26),""))))),"")</f>
        <v>70</v>
      </c>
      <c r="Q26" s="51" t="str">
        <f ca="1">IF($I26=Lists!$R$3,TEXT(FORMULACIÓN!P26,"00,00%"),IF(FORMULACIÓN!P26=0,0,TEXT(FORMULACIÓN!P26,"##.###")))</f>
        <v>70</v>
      </c>
      <c r="R26" s="47" t="s">
        <v>206</v>
      </c>
      <c r="S26" s="205">
        <v>2.5000000000000001E-2</v>
      </c>
      <c r="T26" s="63" t="s">
        <v>163</v>
      </c>
      <c r="U26" s="66">
        <v>10996035860</v>
      </c>
      <c r="V26" s="66"/>
      <c r="W26" s="66"/>
      <c r="X26" s="67">
        <f t="shared" si="0"/>
        <v>10996035860</v>
      </c>
      <c r="Y26" s="66">
        <v>11859363524.5</v>
      </c>
      <c r="Z26" s="66"/>
      <c r="AA26" s="66"/>
      <c r="AB26" s="67">
        <f t="shared" si="1"/>
        <v>11859363524.5</v>
      </c>
      <c r="AC26" s="66">
        <v>11092714955.091011</v>
      </c>
      <c r="AD26" s="66"/>
      <c r="AE26" s="66"/>
      <c r="AF26" s="67">
        <f t="shared" si="2"/>
        <v>11092714955.091011</v>
      </c>
      <c r="AG26" s="66">
        <v>3921611548.3295269</v>
      </c>
      <c r="AH26" s="66"/>
      <c r="AI26" s="66"/>
      <c r="AJ26" s="65">
        <f t="shared" si="3"/>
        <v>3921611548.3295269</v>
      </c>
      <c r="AK26" s="65">
        <f>IF(SUM(AB26,AF26,X26,AJ26)=0,"",SUM((AB26,AF26,X26,AJ26)))</f>
        <v>37869725887.92054</v>
      </c>
      <c r="AL26" s="20"/>
      <c r="AM26" s="20"/>
      <c r="AN26" s="20"/>
      <c r="AO26" s="20"/>
      <c r="AP26" s="20"/>
      <c r="AQ26" s="20"/>
      <c r="AR26" s="20"/>
      <c r="AS26" s="20"/>
      <c r="AT26" s="20"/>
      <c r="AU26" s="20"/>
      <c r="AV26" s="20"/>
      <c r="AW26" s="20"/>
      <c r="CG26" s="17"/>
    </row>
    <row r="27" spans="1:85" s="62" customFormat="1" ht="99.95" customHeight="1">
      <c r="A27" s="92">
        <f t="shared" si="4"/>
        <v>16</v>
      </c>
      <c r="B27" s="47" t="s">
        <v>154</v>
      </c>
      <c r="C27" s="199" t="str">
        <f>IFERROR(VLOOKUP(FORMULACIÓN!B27,Lists!$A$2:$B$6,2,FALSE),"")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7" s="200" t="s">
        <v>200</v>
      </c>
      <c r="E27" s="200" t="s">
        <v>195</v>
      </c>
      <c r="F27" s="200" t="s">
        <v>201</v>
      </c>
      <c r="G27" s="200" t="s">
        <v>207</v>
      </c>
      <c r="H27" s="200" t="s">
        <v>208</v>
      </c>
      <c r="I27" s="58" t="s">
        <v>168</v>
      </c>
      <c r="J27" s="47" t="s">
        <v>169</v>
      </c>
      <c r="K27" s="197">
        <v>60</v>
      </c>
      <c r="L27" s="197">
        <v>240</v>
      </c>
      <c r="M27" s="197">
        <v>240</v>
      </c>
      <c r="N27" s="197">
        <v>240</v>
      </c>
      <c r="O27" s="197">
        <v>80</v>
      </c>
      <c r="P27" s="63">
        <f ca="1">IFERROR(IF($J27=Lists!$S$2,SUM(FORMULACIÓN!K27:O27),IF(FORMULACIÓN!$J27=Lists!$S$3,SUM(FORMULACIÓN!L27:O27),IF(FORMULACIÓN!$J27=Lists!$S$4,AVERAGE(FORMULACIÓN!L27:O27),IF(FORMULACIÓN!$J27=Lists!$S$5,OFFSET(K27,0,COUNTA(L27:O27)),IF(FORMULACIÓN!$J27=Lists!$S$6,AVERAGE(FORMULACIÓN!L27:O27),""))))),"")</f>
        <v>800</v>
      </c>
      <c r="Q27" s="51" t="str">
        <f ca="1">IF($I27=Lists!$R$3,TEXT(FORMULACIÓN!P27,"00,00%"),IF(FORMULACIÓN!P27=0,0,TEXT(FORMULACIÓN!P27,"##.###")))</f>
        <v>800</v>
      </c>
      <c r="R27" s="47" t="s">
        <v>206</v>
      </c>
      <c r="S27" s="205">
        <v>2.5000000000000001E-2</v>
      </c>
      <c r="T27" s="63" t="s">
        <v>163</v>
      </c>
      <c r="U27" s="66">
        <v>10996035860</v>
      </c>
      <c r="V27" s="66"/>
      <c r="W27" s="66"/>
      <c r="X27" s="67">
        <f t="shared" si="0"/>
        <v>10996035860</v>
      </c>
      <c r="Y27" s="66">
        <v>11859363524.5</v>
      </c>
      <c r="Z27" s="66"/>
      <c r="AA27" s="66"/>
      <c r="AB27" s="67">
        <f t="shared" si="1"/>
        <v>11859363524.5</v>
      </c>
      <c r="AC27" s="66">
        <v>14825378496.642706</v>
      </c>
      <c r="AD27" s="66"/>
      <c r="AE27" s="66"/>
      <c r="AF27" s="67">
        <f t="shared" si="2"/>
        <v>14825378496.642706</v>
      </c>
      <c r="AG27" s="66">
        <v>5241221446.3427782</v>
      </c>
      <c r="AH27" s="66"/>
      <c r="AI27" s="66"/>
      <c r="AJ27" s="65">
        <f t="shared" si="3"/>
        <v>5241221446.3427782</v>
      </c>
      <c r="AK27" s="65">
        <f>IF(SUM(AB27,AF27,X27,AJ27)=0,"",SUM((AB27,AF27,X27,AJ27)))</f>
        <v>42921999327.485489</v>
      </c>
      <c r="AL27" s="20"/>
      <c r="AM27" s="20"/>
      <c r="AN27" s="20"/>
      <c r="AO27" s="20"/>
      <c r="AP27" s="20"/>
      <c r="AQ27" s="20"/>
      <c r="AR27" s="20"/>
      <c r="AS27" s="20"/>
      <c r="AT27" s="20"/>
      <c r="AU27" s="20"/>
      <c r="AV27" s="20"/>
      <c r="AW27" s="20"/>
      <c r="CG27" s="17"/>
    </row>
    <row r="28" spans="1:85" s="62" customFormat="1" ht="99.95" customHeight="1">
      <c r="A28" s="92">
        <f t="shared" si="4"/>
        <v>17</v>
      </c>
      <c r="B28" s="47" t="s">
        <v>154</v>
      </c>
      <c r="C28" s="199" t="str">
        <f>IFERROR(VLOOKUP(FORMULACIÓN!B28,Lists!$A$2:$B$6,2,FALSE),"")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8" s="200" t="s">
        <v>200</v>
      </c>
      <c r="E28" s="200" t="s">
        <v>195</v>
      </c>
      <c r="F28" s="200" t="s">
        <v>209</v>
      </c>
      <c r="G28" s="200" t="s">
        <v>210</v>
      </c>
      <c r="H28" s="200" t="s">
        <v>211</v>
      </c>
      <c r="I28" s="58" t="s">
        <v>168</v>
      </c>
      <c r="J28" s="47" t="s">
        <v>169</v>
      </c>
      <c r="K28" s="58">
        <v>3</v>
      </c>
      <c r="L28" s="58">
        <v>9</v>
      </c>
      <c r="M28" s="58">
        <v>9</v>
      </c>
      <c r="N28" s="58">
        <v>9</v>
      </c>
      <c r="O28" s="58">
        <v>3</v>
      </c>
      <c r="P28" s="63">
        <f ca="1">IFERROR(IF($J28=Lists!$S$2,SUM(FORMULACIÓN!K28:O28),IF(FORMULACIÓN!$J28=Lists!$S$3,SUM(FORMULACIÓN!L28:O28),IF(FORMULACIÓN!$J28=Lists!$S$4,AVERAGE(FORMULACIÓN!L28:O28),IF(FORMULACIÓN!$J28=Lists!$S$5,OFFSET(K28,0,COUNTA(L28:O28)),IF(FORMULACIÓN!$J28=Lists!$S$6,AVERAGE(FORMULACIÓN!L28:O28),""))))),"")</f>
        <v>30</v>
      </c>
      <c r="Q28" s="51" t="str">
        <f ca="1">IF($I28=Lists!$R$3,TEXT(FORMULACIÓN!P28,"00,00%"),IF(FORMULACIÓN!P28=0,0,TEXT(FORMULACIÓN!P28,"##.###")))</f>
        <v>30</v>
      </c>
      <c r="R28" s="47" t="s">
        <v>212</v>
      </c>
      <c r="S28" s="205">
        <v>0.04</v>
      </c>
      <c r="T28" s="63" t="s">
        <v>163</v>
      </c>
      <c r="U28" s="66">
        <v>21218971720</v>
      </c>
      <c r="V28" s="66"/>
      <c r="W28" s="66"/>
      <c r="X28" s="67">
        <f t="shared" si="0"/>
        <v>21218971720</v>
      </c>
      <c r="Y28" s="66">
        <v>22833360380</v>
      </c>
      <c r="Z28" s="66"/>
      <c r="AA28" s="66"/>
      <c r="AB28" s="67">
        <f t="shared" si="1"/>
        <v>22833360380</v>
      </c>
      <c r="AC28" s="66">
        <v>24950629387.945175</v>
      </c>
      <c r="AD28" s="66"/>
      <c r="AE28" s="66"/>
      <c r="AF28" s="67">
        <f t="shared" si="2"/>
        <v>24950629387.945175</v>
      </c>
      <c r="AG28" s="66">
        <v>8820805072.6976509</v>
      </c>
      <c r="AH28" s="66"/>
      <c r="AI28" s="66"/>
      <c r="AJ28" s="65">
        <f t="shared" si="3"/>
        <v>8820805072.6976509</v>
      </c>
      <c r="AK28" s="65">
        <f>IF(SUM(AB28,AF28,X28,AJ28)=0,"",SUM((AB28,AF28,X28,AJ28)))</f>
        <v>77823766560.642822</v>
      </c>
      <c r="AL28" s="20"/>
      <c r="AM28" s="20"/>
      <c r="AN28" s="20"/>
      <c r="AO28" s="20"/>
      <c r="AP28" s="20"/>
      <c r="AQ28" s="20"/>
      <c r="AR28" s="20"/>
      <c r="AS28" s="20"/>
      <c r="AT28" s="20"/>
      <c r="AU28" s="20"/>
      <c r="AV28" s="20"/>
      <c r="AW28" s="20"/>
      <c r="CG28" s="17"/>
    </row>
    <row r="29" spans="1:85" s="62" customFormat="1" ht="99.95" customHeight="1">
      <c r="A29" s="92">
        <f t="shared" si="4"/>
        <v>18</v>
      </c>
      <c r="B29" s="47" t="s">
        <v>154</v>
      </c>
      <c r="C29" s="199" t="str">
        <f>IFERROR(VLOOKUP(FORMULACIÓN!B29,Lists!$A$2:$B$6,2,FALSE),"")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29" s="200" t="s">
        <v>213</v>
      </c>
      <c r="E29" s="200" t="s">
        <v>214</v>
      </c>
      <c r="F29" s="200" t="s">
        <v>215</v>
      </c>
      <c r="G29" s="200" t="s">
        <v>216</v>
      </c>
      <c r="H29" s="200" t="s">
        <v>217</v>
      </c>
      <c r="I29" s="58" t="s">
        <v>168</v>
      </c>
      <c r="J29" s="47" t="s">
        <v>161</v>
      </c>
      <c r="K29" s="58">
        <v>0</v>
      </c>
      <c r="L29" s="58">
        <v>1</v>
      </c>
      <c r="M29" s="58">
        <v>0</v>
      </c>
      <c r="N29" s="58">
        <v>1</v>
      </c>
      <c r="O29" s="58">
        <v>0</v>
      </c>
      <c r="P29" s="63">
        <f ca="1">IFERROR(IF($J29=Lists!$S$2,SUM(FORMULACIÓN!K29:O29),IF(FORMULACIÓN!$J29=Lists!$S$3,SUM(FORMULACIÓN!L29:O29),IF(FORMULACIÓN!$J29=Lists!$S$4,AVERAGE(FORMULACIÓN!L29:O29),IF(FORMULACIÓN!$J29=Lists!$S$5,OFFSET(K29,0,COUNTA(L29:O29)),IF(FORMULACIÓN!$J29=Lists!$S$6,AVERAGE(FORMULACIÓN!L29:O29),""))))),"")</f>
        <v>2</v>
      </c>
      <c r="Q29" s="51" t="str">
        <f ca="1">IF($I29=Lists!$R$3,TEXT(FORMULACIÓN!P29,"00,00%"),IF(FORMULACIÓN!P29=0,0,TEXT(FORMULACIÓN!P29,"##.###")))</f>
        <v>2</v>
      </c>
      <c r="R29" s="47" t="s">
        <v>218</v>
      </c>
      <c r="S29" s="205">
        <v>0.02</v>
      </c>
      <c r="T29" s="63" t="s">
        <v>163</v>
      </c>
      <c r="U29" s="66">
        <v>4749384357.5</v>
      </c>
      <c r="V29" s="66"/>
      <c r="W29" s="66"/>
      <c r="X29" s="67">
        <f t="shared" si="0"/>
        <v>4749384357.5</v>
      </c>
      <c r="Y29" s="66">
        <v>5072334443.25</v>
      </c>
      <c r="Z29" s="66"/>
      <c r="AA29" s="66"/>
      <c r="AB29" s="67">
        <f t="shared" si="1"/>
        <v>5072334443.25</v>
      </c>
      <c r="AC29" s="66">
        <v>5123896774.3704586</v>
      </c>
      <c r="AD29" s="66"/>
      <c r="AE29" s="66"/>
      <c r="AF29" s="67">
        <f t="shared" si="2"/>
        <v>5123896774.3704586</v>
      </c>
      <c r="AG29" s="66">
        <v>1811453088.2809241</v>
      </c>
      <c r="AH29" s="66"/>
      <c r="AI29" s="66"/>
      <c r="AJ29" s="65">
        <f t="shared" si="3"/>
        <v>1811453088.2809241</v>
      </c>
      <c r="AK29" s="65">
        <f>IF(SUM(AB29,AF29,X29,AJ29)=0,"",SUM((AB29,AF29,X29,AJ29)))</f>
        <v>16757068663.401382</v>
      </c>
      <c r="AL29" s="20"/>
      <c r="AM29" s="20"/>
      <c r="AN29" s="20"/>
      <c r="AO29" s="20"/>
      <c r="AP29" s="20"/>
      <c r="AQ29" s="20"/>
      <c r="AR29" s="20"/>
      <c r="AS29" s="20"/>
      <c r="AT29" s="20"/>
      <c r="AU29" s="20"/>
      <c r="AV29" s="20"/>
      <c r="AW29" s="20"/>
      <c r="CG29" s="17"/>
    </row>
    <row r="30" spans="1:85" s="62" customFormat="1" ht="99.95" customHeight="1">
      <c r="A30" s="92">
        <f t="shared" si="4"/>
        <v>19</v>
      </c>
      <c r="B30" s="47" t="s">
        <v>154</v>
      </c>
      <c r="C30" s="199" t="str">
        <f>IFERROR(VLOOKUP(FORMULACIÓN!B30,Lists!$A$2:$B$6,2,FALSE),"")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0" s="200" t="s">
        <v>213</v>
      </c>
      <c r="E30" s="200" t="s">
        <v>214</v>
      </c>
      <c r="F30" s="200" t="s">
        <v>215</v>
      </c>
      <c r="G30" s="200" t="s">
        <v>219</v>
      </c>
      <c r="H30" s="200" t="s">
        <v>220</v>
      </c>
      <c r="I30" s="58" t="s">
        <v>168</v>
      </c>
      <c r="J30" s="47" t="s">
        <v>161</v>
      </c>
      <c r="K30" s="58">
        <v>15</v>
      </c>
      <c r="L30" s="58">
        <v>2</v>
      </c>
      <c r="M30" s="58">
        <v>2</v>
      </c>
      <c r="N30" s="58">
        <v>1</v>
      </c>
      <c r="O30" s="58">
        <v>0</v>
      </c>
      <c r="P30" s="63">
        <f ca="1">IFERROR(IF($J30=Lists!$S$2,SUM(FORMULACIÓN!K30:O30),IF(FORMULACIÓN!$J30=Lists!$S$3,SUM(FORMULACIÓN!L30:O30),IF(FORMULACIÓN!$J30=Lists!$S$4,AVERAGE(FORMULACIÓN!L30:O30),IF(FORMULACIÓN!$J30=Lists!$S$5,OFFSET(K30,0,COUNTA(L30:O30)),IF(FORMULACIÓN!$J30=Lists!$S$6,AVERAGE(FORMULACIÓN!L30:O30),""))))),"")</f>
        <v>20</v>
      </c>
      <c r="Q30" s="51" t="str">
        <f ca="1">IF($I30=Lists!$R$3,TEXT(FORMULACIÓN!P30,"00,00%"),IF(FORMULACIÓN!P30=0,0,TEXT(FORMULACIÓN!P30,"##.###")))</f>
        <v>20</v>
      </c>
      <c r="R30" s="47" t="s">
        <v>218</v>
      </c>
      <c r="S30" s="205">
        <v>0.02</v>
      </c>
      <c r="T30" s="63" t="s">
        <v>163</v>
      </c>
      <c r="U30" s="66">
        <v>4749384357.5</v>
      </c>
      <c r="V30" s="66"/>
      <c r="W30" s="66"/>
      <c r="X30" s="67">
        <f t="shared" si="0"/>
        <v>4749384357.5</v>
      </c>
      <c r="Y30" s="66">
        <v>5072334443.25</v>
      </c>
      <c r="Z30" s="66"/>
      <c r="AA30" s="66"/>
      <c r="AB30" s="67">
        <f t="shared" si="1"/>
        <v>5072334443.25</v>
      </c>
      <c r="AC30" s="66">
        <v>5222433250.8006582</v>
      </c>
      <c r="AD30" s="66"/>
      <c r="AE30" s="66"/>
      <c r="AF30" s="67">
        <f t="shared" si="2"/>
        <v>5222433250.8006582</v>
      </c>
      <c r="AG30" s="66">
        <v>1846288724.5940185</v>
      </c>
      <c r="AH30" s="66"/>
      <c r="AI30" s="66"/>
      <c r="AJ30" s="65">
        <f t="shared" si="3"/>
        <v>1846288724.5940185</v>
      </c>
      <c r="AK30" s="65">
        <f>IF(SUM(AB30,AF30,X30,AJ30)=0,"",SUM((AB30,AF30,X30,AJ30)))</f>
        <v>16890440776.144678</v>
      </c>
      <c r="AL30" s="20"/>
      <c r="AM30" s="20"/>
      <c r="AN30" s="20"/>
      <c r="AO30" s="20"/>
      <c r="AP30" s="20"/>
      <c r="AQ30" s="20"/>
      <c r="AR30" s="20"/>
      <c r="AS30" s="20"/>
      <c r="AT30" s="20"/>
      <c r="AU30" s="20"/>
      <c r="AV30" s="20"/>
      <c r="AW30" s="20"/>
      <c r="CG30" s="17"/>
    </row>
    <row r="31" spans="1:85" s="62" customFormat="1" ht="110.1" customHeight="1">
      <c r="A31" s="92">
        <f t="shared" si="4"/>
        <v>20</v>
      </c>
      <c r="B31" s="47" t="s">
        <v>154</v>
      </c>
      <c r="C31" s="199" t="str">
        <f>IFERROR(VLOOKUP(FORMULACIÓN!B31,Lists!$A$2:$B$6,2,FALSE),"")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1" s="200" t="s">
        <v>221</v>
      </c>
      <c r="E31" s="200" t="s">
        <v>214</v>
      </c>
      <c r="F31" s="200" t="s">
        <v>215</v>
      </c>
      <c r="G31" s="200" t="s">
        <v>222</v>
      </c>
      <c r="H31" s="200" t="s">
        <v>223</v>
      </c>
      <c r="I31" s="58" t="s">
        <v>168</v>
      </c>
      <c r="J31" s="47" t="s">
        <v>161</v>
      </c>
      <c r="K31" s="58">
        <v>531</v>
      </c>
      <c r="L31" s="58">
        <v>385</v>
      </c>
      <c r="M31" s="58">
        <v>254</v>
      </c>
      <c r="N31" s="58">
        <v>240</v>
      </c>
      <c r="O31" s="58">
        <v>90</v>
      </c>
      <c r="P31" s="63">
        <f ca="1">IFERROR(IF($J31=Lists!$S$2,SUM(FORMULACIÓN!K31:O31),IF(FORMULACIÓN!$J31=Lists!$S$3,SUM(FORMULACIÓN!L31:O31),IF(FORMULACIÓN!$J31=Lists!$S$4,AVERAGE(FORMULACIÓN!L31:O31),IF(FORMULACIÓN!$J31=Lists!$S$5,OFFSET(K31,0,COUNTA(L31:O31)),IF(FORMULACIÓN!$J31=Lists!$S$6,AVERAGE(FORMULACIÓN!L31:O31),""))))),"")</f>
        <v>1500</v>
      </c>
      <c r="Q31" s="51" t="str">
        <f ca="1">IF($I31=Lists!$R$3,TEXT(FORMULACIÓN!P31,"00,00%"),IF(FORMULACIÓN!P31=0,0,TEXT(FORMULACIÓN!P31,"##.###")))</f>
        <v>1.500</v>
      </c>
      <c r="R31" s="47" t="s">
        <v>218</v>
      </c>
      <c r="S31" s="205">
        <v>0.02</v>
      </c>
      <c r="T31" s="63" t="s">
        <v>163</v>
      </c>
      <c r="U31" s="66">
        <v>4749384357.5</v>
      </c>
      <c r="V31" s="66"/>
      <c r="W31" s="66"/>
      <c r="X31" s="67">
        <f t="shared" si="0"/>
        <v>4749384357.5</v>
      </c>
      <c r="Y31" s="66">
        <v>5072334443.25</v>
      </c>
      <c r="Z31" s="66"/>
      <c r="AA31" s="66"/>
      <c r="AB31" s="67">
        <f t="shared" si="1"/>
        <v>5072334443.25</v>
      </c>
      <c r="AC31" s="66">
        <v>5715115632.951664</v>
      </c>
      <c r="AD31" s="66"/>
      <c r="AE31" s="66"/>
      <c r="AF31" s="67">
        <f t="shared" si="2"/>
        <v>5715115632.951664</v>
      </c>
      <c r="AG31" s="66">
        <v>2020466906.159492</v>
      </c>
      <c r="AH31" s="66"/>
      <c r="AI31" s="66"/>
      <c r="AJ31" s="65">
        <f t="shared" si="3"/>
        <v>2020466906.159492</v>
      </c>
      <c r="AK31" s="65">
        <f>IF(SUM(AB31,AF31,X31,AJ31)=0,"",SUM((AB31,AF31,X31,AJ31)))</f>
        <v>17557301339.861156</v>
      </c>
      <c r="AL31" s="20"/>
      <c r="AM31" s="20"/>
      <c r="AN31" s="20"/>
      <c r="AO31" s="20"/>
      <c r="AP31" s="20"/>
      <c r="AQ31" s="20"/>
      <c r="AR31" s="20"/>
      <c r="AS31" s="20"/>
      <c r="AT31" s="20"/>
      <c r="AU31" s="20"/>
      <c r="AV31" s="20"/>
      <c r="AW31" s="20"/>
      <c r="CG31" s="17"/>
    </row>
    <row r="32" spans="1:85" s="62" customFormat="1" ht="99.95" customHeight="1">
      <c r="A32" s="92">
        <f t="shared" si="4"/>
        <v>21</v>
      </c>
      <c r="B32" s="47" t="s">
        <v>154</v>
      </c>
      <c r="C32" s="199" t="str">
        <f>IFERROR(VLOOKUP(FORMULACIÓN!B32,Lists!$A$2:$B$6,2,FALSE),"")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2" s="200" t="s">
        <v>221</v>
      </c>
      <c r="E32" s="200" t="s">
        <v>214</v>
      </c>
      <c r="F32" s="200" t="s">
        <v>215</v>
      </c>
      <c r="G32" s="200" t="s">
        <v>222</v>
      </c>
      <c r="H32" s="200" t="s">
        <v>224</v>
      </c>
      <c r="I32" s="58" t="s">
        <v>168</v>
      </c>
      <c r="J32" s="47" t="s">
        <v>161</v>
      </c>
      <c r="K32" s="58">
        <v>0</v>
      </c>
      <c r="L32" s="58">
        <v>105</v>
      </c>
      <c r="M32" s="58">
        <v>105</v>
      </c>
      <c r="N32" s="58">
        <v>105</v>
      </c>
      <c r="O32" s="58">
        <v>35</v>
      </c>
      <c r="P32" s="63">
        <f ca="1">IFERROR(IF($J32=Lists!$S$2,SUM(FORMULACIÓN!K32:O32),IF(FORMULACIÓN!$J32=Lists!$S$3,SUM(FORMULACIÓN!L32:O32),IF(FORMULACIÓN!$J32=Lists!$S$4,AVERAGE(FORMULACIÓN!L32:O32),IF(FORMULACIÓN!$J32=Lists!$S$5,OFFSET(K32,0,COUNTA(L32:O32)),IF(FORMULACIÓN!$J32=Lists!$S$6,AVERAGE(FORMULACIÓN!L32:O32),""))))),"")</f>
        <v>350</v>
      </c>
      <c r="Q32" s="51" t="str">
        <f ca="1">IF($I32=Lists!$R$3,TEXT(FORMULACIÓN!P32,"00,00%"),IF(FORMULACIÓN!P32=0,0,TEXT(FORMULACIÓN!P32,"##.###")))</f>
        <v>350</v>
      </c>
      <c r="R32" s="47" t="s">
        <v>218</v>
      </c>
      <c r="S32" s="205">
        <v>0.02</v>
      </c>
      <c r="T32" s="63" t="s">
        <v>163</v>
      </c>
      <c r="U32" s="66">
        <v>4749384357.5</v>
      </c>
      <c r="V32" s="66"/>
      <c r="W32" s="66"/>
      <c r="X32" s="67">
        <f t="shared" si="0"/>
        <v>4749384357.5</v>
      </c>
      <c r="Y32" s="66">
        <v>5072334443.25</v>
      </c>
      <c r="Z32" s="66"/>
      <c r="AA32" s="66"/>
      <c r="AB32" s="67">
        <f t="shared" si="1"/>
        <v>5072334443.25</v>
      </c>
      <c r="AC32" s="66">
        <v>6109261538.6724691</v>
      </c>
      <c r="AD32" s="66"/>
      <c r="AE32" s="66"/>
      <c r="AF32" s="67">
        <f t="shared" si="2"/>
        <v>6109261538.6724691</v>
      </c>
      <c r="AG32" s="66">
        <v>2159809451.411871</v>
      </c>
      <c r="AH32" s="66"/>
      <c r="AI32" s="66"/>
      <c r="AJ32" s="65">
        <f t="shared" si="3"/>
        <v>2159809451.411871</v>
      </c>
      <c r="AK32" s="65">
        <f>IF(SUM(AB32,AF32,X32,AJ32)=0,"",SUM((AB32,AF32,X32,AJ32)))</f>
        <v>18090789790.834343</v>
      </c>
      <c r="AL32" s="20"/>
      <c r="AM32" s="20"/>
      <c r="AN32" s="20"/>
      <c r="AO32" s="20"/>
      <c r="AP32" s="20"/>
      <c r="AQ32" s="20"/>
      <c r="AR32" s="20"/>
      <c r="AS32" s="20"/>
      <c r="AT32" s="20"/>
      <c r="AU32" s="20"/>
      <c r="AV32" s="20"/>
      <c r="AW32" s="20"/>
      <c r="CG32" s="17"/>
    </row>
    <row r="33" spans="1:85" s="62" customFormat="1" ht="99.95" customHeight="1">
      <c r="A33" s="92">
        <f t="shared" si="4"/>
        <v>22</v>
      </c>
      <c r="B33" s="47" t="s">
        <v>154</v>
      </c>
      <c r="C33" s="199" t="str">
        <f>IFERROR(VLOOKUP(FORMULACIÓN!B33,Lists!$A$2:$B$6,2,FALSE),"")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3" s="200" t="s">
        <v>225</v>
      </c>
      <c r="E33" s="200" t="s">
        <v>214</v>
      </c>
      <c r="F33" s="200" t="s">
        <v>226</v>
      </c>
      <c r="G33" s="200" t="s">
        <v>227</v>
      </c>
      <c r="H33" s="200" t="s">
        <v>228</v>
      </c>
      <c r="I33" s="58" t="s">
        <v>168</v>
      </c>
      <c r="J33" s="47" t="s">
        <v>229</v>
      </c>
      <c r="K33" s="58">
        <v>0</v>
      </c>
      <c r="L33" s="58">
        <v>1</v>
      </c>
      <c r="M33" s="58">
        <v>1</v>
      </c>
      <c r="N33" s="58">
        <v>1</v>
      </c>
      <c r="O33" s="58">
        <v>1</v>
      </c>
      <c r="P33" s="63">
        <f ca="1">IFERROR(IF($J33=Lists!$S$2,SUM(FORMULACIÓN!K33:O33),IF(FORMULACIÓN!$J33=Lists!$S$3,SUM(FORMULACIÓN!L33:O33),IF(FORMULACIÓN!$J33=Lists!$S$4,AVERAGE(FORMULACIÓN!L33:O33),IF(FORMULACIÓN!$J33=Lists!$S$5,OFFSET(K33,0,COUNTA(L33:O33)),IF(FORMULACIÓN!$J33=Lists!$S$6,AVERAGE(FORMULACIÓN!L33:O33),""))))),"")</f>
        <v>1</v>
      </c>
      <c r="Q33" s="51" t="str">
        <f ca="1">IF($I33=Lists!$R$3,TEXT(FORMULACIÓN!P33,"00,00%"),IF(FORMULACIÓN!P33=0,0,TEXT(FORMULACIÓN!P33,"##.###")))</f>
        <v>1</v>
      </c>
      <c r="R33" s="47" t="s">
        <v>230</v>
      </c>
      <c r="S33" s="205">
        <v>0.04</v>
      </c>
      <c r="T33" s="63" t="s">
        <v>163</v>
      </c>
      <c r="U33" s="66">
        <v>18997537430</v>
      </c>
      <c r="V33" s="66"/>
      <c r="W33" s="66"/>
      <c r="X33" s="67">
        <f t="shared" si="0"/>
        <v>18997537430</v>
      </c>
      <c r="Y33" s="66">
        <v>20289337773</v>
      </c>
      <c r="Z33" s="66"/>
      <c r="AA33" s="66"/>
      <c r="AB33" s="67">
        <f t="shared" si="1"/>
        <v>20289337773</v>
      </c>
      <c r="AC33" s="66">
        <v>22170707196.79525</v>
      </c>
      <c r="AD33" s="66"/>
      <c r="AE33" s="66"/>
      <c r="AF33" s="67">
        <f t="shared" si="2"/>
        <v>22170707196.79525</v>
      </c>
      <c r="AG33" s="66">
        <v>7838018170.4463053</v>
      </c>
      <c r="AH33" s="66"/>
      <c r="AI33" s="66"/>
      <c r="AJ33" s="65">
        <f t="shared" si="3"/>
        <v>7838018170.4463053</v>
      </c>
      <c r="AK33" s="65">
        <f>IF(SUM(AB33,AF33,X33,AJ33)=0,"",SUM((AB33,AF33,X33,AJ33)))</f>
        <v>69295600570.241562</v>
      </c>
      <c r="AL33" s="20"/>
      <c r="AM33" s="20"/>
      <c r="AN33" s="20"/>
      <c r="AO33" s="20"/>
      <c r="AP33" s="20"/>
      <c r="AQ33" s="20"/>
      <c r="AR33" s="20"/>
      <c r="AS33" s="20"/>
      <c r="AT33" s="20"/>
      <c r="AU33" s="20"/>
      <c r="AV33" s="20"/>
      <c r="AW33" s="20"/>
      <c r="CG33" s="17"/>
    </row>
    <row r="34" spans="1:85" s="62" customFormat="1" ht="99.95" customHeight="1">
      <c r="A34" s="92">
        <f t="shared" si="4"/>
        <v>23</v>
      </c>
      <c r="B34" s="47" t="s">
        <v>154</v>
      </c>
      <c r="C34" s="199" t="str">
        <f>IFERROR(VLOOKUP(FORMULACIÓN!B34,Lists!$A$2:$B$6,2,FALSE),"")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4" s="200" t="s">
        <v>225</v>
      </c>
      <c r="E34" s="200" t="s">
        <v>214</v>
      </c>
      <c r="F34" s="200" t="s">
        <v>226</v>
      </c>
      <c r="G34" s="200" t="s">
        <v>231</v>
      </c>
      <c r="H34" s="200" t="s">
        <v>232</v>
      </c>
      <c r="I34" s="58" t="s">
        <v>168</v>
      </c>
      <c r="J34" s="47" t="s">
        <v>169</v>
      </c>
      <c r="K34" s="58">
        <v>23</v>
      </c>
      <c r="L34" s="58">
        <v>20</v>
      </c>
      <c r="M34" s="58">
        <v>10</v>
      </c>
      <c r="N34" s="58">
        <v>10</v>
      </c>
      <c r="O34" s="58">
        <v>0</v>
      </c>
      <c r="P34" s="63">
        <f ca="1">IFERROR(IF($J34=Lists!$S$2,SUM(FORMULACIÓN!K34:O34),IF(FORMULACIÓN!$J34=Lists!$S$3,SUM(FORMULACIÓN!L34:O34),IF(FORMULACIÓN!$J34=Lists!$S$4,AVERAGE(FORMULACIÓN!L34:O34),IF(FORMULACIÓN!$J34=Lists!$S$5,OFFSET(K34,0,COUNTA(L34:O34)),IF(FORMULACIÓN!$J34=Lists!$S$6,AVERAGE(FORMULACIÓN!L34:O34),""))))),"")</f>
        <v>40</v>
      </c>
      <c r="Q34" s="51" t="str">
        <f ca="1">IF($I34=Lists!$R$3,TEXT(FORMULACIÓN!P34,"00,00%"),IF(FORMULACIÓN!P34=0,0,TEXT(FORMULACIÓN!P34,"##.###")))</f>
        <v>40</v>
      </c>
      <c r="R34" s="47" t="s">
        <v>233</v>
      </c>
      <c r="S34" s="205">
        <v>0.05</v>
      </c>
      <c r="T34" s="63" t="s">
        <v>163</v>
      </c>
      <c r="U34" s="66">
        <v>18997537430</v>
      </c>
      <c r="V34" s="66"/>
      <c r="W34" s="66"/>
      <c r="X34" s="67">
        <f t="shared" si="0"/>
        <v>18997537430</v>
      </c>
      <c r="Y34" s="66">
        <v>20289337773</v>
      </c>
      <c r="Z34" s="66"/>
      <c r="AA34" s="66"/>
      <c r="AB34" s="67">
        <f t="shared" si="1"/>
        <v>20289337773</v>
      </c>
      <c r="AC34" s="66">
        <v>22170707196.79525</v>
      </c>
      <c r="AD34" s="66"/>
      <c r="AE34" s="66"/>
      <c r="AF34" s="67">
        <f t="shared" si="2"/>
        <v>22170707196.79525</v>
      </c>
      <c r="AG34" s="66">
        <v>7838018170.4463053</v>
      </c>
      <c r="AH34" s="66"/>
      <c r="AI34" s="66"/>
      <c r="AJ34" s="65">
        <f t="shared" si="3"/>
        <v>7838018170.4463053</v>
      </c>
      <c r="AK34" s="65">
        <f>IF(SUM(AB34,AF34,X34,AJ34)=0,"",SUM((AB34,AF34,X34,AJ34)))</f>
        <v>69295600570.241562</v>
      </c>
      <c r="AL34" s="20"/>
      <c r="AM34" s="20"/>
      <c r="AN34" s="20"/>
      <c r="AO34" s="20"/>
      <c r="AP34" s="20"/>
      <c r="AQ34" s="20"/>
      <c r="AR34" s="20"/>
      <c r="AS34" s="20"/>
      <c r="AT34" s="20"/>
      <c r="AU34" s="20"/>
      <c r="AV34" s="20"/>
      <c r="AW34" s="20"/>
      <c r="CG34" s="17"/>
    </row>
    <row r="35" spans="1:85" s="62" customFormat="1" ht="99.95" customHeight="1">
      <c r="A35" s="92">
        <f t="shared" si="4"/>
        <v>24</v>
      </c>
      <c r="B35" s="47" t="s">
        <v>154</v>
      </c>
      <c r="C35" s="199" t="str">
        <f>IFERROR(VLOOKUP(FORMULACIÓN!B35,Lists!$A$2:$B$6,2,FALSE),"")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5" s="200" t="s">
        <v>194</v>
      </c>
      <c r="E35" s="200" t="s">
        <v>234</v>
      </c>
      <c r="F35" s="200" t="s">
        <v>235</v>
      </c>
      <c r="G35" s="200" t="s">
        <v>236</v>
      </c>
      <c r="H35" s="200" t="s">
        <v>237</v>
      </c>
      <c r="I35" s="58" t="s">
        <v>160</v>
      </c>
      <c r="J35" s="47" t="s">
        <v>161</v>
      </c>
      <c r="K35" s="59">
        <v>0</v>
      </c>
      <c r="L35" s="196">
        <v>0.2</v>
      </c>
      <c r="M35" s="59">
        <v>0.3</v>
      </c>
      <c r="N35" s="59">
        <v>0.3</v>
      </c>
      <c r="O35" s="59">
        <v>0.2</v>
      </c>
      <c r="P35" s="63">
        <f ca="1">IFERROR(IF($J35=Lists!$S$2,SUM(FORMULACIÓN!K35:O35),IF(FORMULACIÓN!$J35=Lists!$S$3,SUM(FORMULACIÓN!L35:O35),IF(FORMULACIÓN!$J35=Lists!$S$4,AVERAGE(FORMULACIÓN!L35:O35),IF(FORMULACIÓN!$J35=Lists!$S$5,OFFSET(K35,0,COUNTA(L35:O35)),IF(FORMULACIÓN!$J35=Lists!$S$6,AVERAGE(FORMULACIÓN!L35:O35),""))))),"")</f>
        <v>1</v>
      </c>
      <c r="Q35" s="51" t="str">
        <f ca="1">IF($I35=Lists!$R$3,TEXT(FORMULACIÓN!P35,"00,00%"),IF(FORMULACIÓN!P35=0,0,TEXT(FORMULACIÓN!P35,"##.###")))</f>
        <v>100,00%</v>
      </c>
      <c r="R35" s="47" t="s">
        <v>238</v>
      </c>
      <c r="S35" s="205">
        <v>1.4999999999999999E-2</v>
      </c>
      <c r="T35" s="63" t="s">
        <v>163</v>
      </c>
      <c r="U35" s="66">
        <v>9498768715</v>
      </c>
      <c r="V35" s="66"/>
      <c r="W35" s="66"/>
      <c r="X35" s="67">
        <f t="shared" si="0"/>
        <v>9498768715</v>
      </c>
      <c r="Y35" s="66">
        <v>10144668886.5</v>
      </c>
      <c r="Z35" s="66"/>
      <c r="AA35" s="66"/>
      <c r="AB35" s="67">
        <f t="shared" si="1"/>
        <v>10144668886.5</v>
      </c>
      <c r="AC35" s="66">
        <v>14643303227.230532</v>
      </c>
      <c r="AD35" s="66"/>
      <c r="AE35" s="66"/>
      <c r="AF35" s="67">
        <f t="shared" si="2"/>
        <v>14643303227.230532</v>
      </c>
      <c r="AG35" s="66">
        <v>5176852310.1950684</v>
      </c>
      <c r="AH35" s="66"/>
      <c r="AI35" s="66"/>
      <c r="AJ35" s="65">
        <f t="shared" si="3"/>
        <v>5176852310.1950684</v>
      </c>
      <c r="AK35" s="65">
        <f>IF(SUM(AB35,AF35,X35,AJ35)=0,"",SUM((AB35,AF35,X35,AJ35)))</f>
        <v>39463593138.925598</v>
      </c>
      <c r="AL35" s="20"/>
      <c r="AM35" s="20"/>
      <c r="AN35" s="20"/>
      <c r="AO35" s="20"/>
      <c r="AP35" s="20"/>
      <c r="AQ35" s="20"/>
      <c r="AR35" s="20"/>
      <c r="AS35" s="20"/>
      <c r="AT35" s="20"/>
      <c r="AU35" s="20"/>
      <c r="AV35" s="20"/>
      <c r="AW35" s="20"/>
      <c r="CG35" s="17"/>
    </row>
    <row r="36" spans="1:85" s="62" customFormat="1" ht="99.95" customHeight="1">
      <c r="A36" s="92">
        <f t="shared" si="4"/>
        <v>25</v>
      </c>
      <c r="B36" s="47" t="s">
        <v>154</v>
      </c>
      <c r="C36" s="199" t="str">
        <f>IFERROR(VLOOKUP(FORMULACIÓN!B36,Lists!$A$2:$B$6,2,FALSE),"")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6" s="200" t="s">
        <v>194</v>
      </c>
      <c r="E36" s="200" t="s">
        <v>234</v>
      </c>
      <c r="F36" s="200" t="s">
        <v>239</v>
      </c>
      <c r="G36" s="200" t="s">
        <v>240</v>
      </c>
      <c r="H36" s="200" t="s">
        <v>241</v>
      </c>
      <c r="I36" s="58" t="s">
        <v>168</v>
      </c>
      <c r="J36" s="47" t="s">
        <v>169</v>
      </c>
      <c r="K36" s="58">
        <v>0</v>
      </c>
      <c r="L36" s="58">
        <v>1</v>
      </c>
      <c r="M36" s="58">
        <v>0</v>
      </c>
      <c r="N36" s="58">
        <v>0</v>
      </c>
      <c r="O36" s="58">
        <v>0</v>
      </c>
      <c r="P36" s="63">
        <f ca="1">IFERROR(IF($J36=Lists!$S$2,SUM(FORMULACIÓN!K36:O36),IF(FORMULACIÓN!$J36=Lists!$S$3,SUM(FORMULACIÓN!L36:O36),IF(FORMULACIÓN!$J36=Lists!$S$4,AVERAGE(FORMULACIÓN!L36:O36),IF(FORMULACIÓN!$J36=Lists!$S$5,OFFSET(K36,0,COUNTA(L36:O36)),IF(FORMULACIÓN!$J36=Lists!$S$6,AVERAGE(FORMULACIÓN!L36:O36),""))))),"")</f>
        <v>1</v>
      </c>
      <c r="Q36" s="51" t="str">
        <f ca="1">IF($I36=Lists!$R$3,TEXT(FORMULACIÓN!P36,"00,00%"),IF(FORMULACIÓN!P36=0,0,TEXT(FORMULACIÓN!P36,"##.###")))</f>
        <v>1</v>
      </c>
      <c r="R36" s="47" t="s">
        <v>238</v>
      </c>
      <c r="S36" s="205">
        <v>1.4999999999999999E-2</v>
      </c>
      <c r="T36" s="63" t="s">
        <v>163</v>
      </c>
      <c r="U36" s="66">
        <v>9498768715</v>
      </c>
      <c r="V36" s="66"/>
      <c r="W36" s="66"/>
      <c r="X36" s="67">
        <f t="shared" si="0"/>
        <v>9498768715</v>
      </c>
      <c r="Y36" s="66">
        <v>10144668886.5</v>
      </c>
      <c r="Z36" s="66"/>
      <c r="AA36" s="66"/>
      <c r="AB36" s="67">
        <f t="shared" si="1"/>
        <v>10144668886.5</v>
      </c>
      <c r="AC36" s="66">
        <v>7527403969.5647192</v>
      </c>
      <c r="AD36" s="66"/>
      <c r="AE36" s="66"/>
      <c r="AF36" s="67">
        <f t="shared" si="2"/>
        <v>7527403969.5647192</v>
      </c>
      <c r="AG36" s="66">
        <v>2661165860.2512364</v>
      </c>
      <c r="AH36" s="66"/>
      <c r="AI36" s="66"/>
      <c r="AJ36" s="65">
        <f t="shared" si="3"/>
        <v>2661165860.2512364</v>
      </c>
      <c r="AK36" s="65">
        <f>IF(SUM(AB36,AF36,X36,AJ36)=0,"",SUM((AB36,AF36,X36,AJ36)))</f>
        <v>29832007431.315956</v>
      </c>
      <c r="AL36" s="20"/>
      <c r="AM36" s="20"/>
      <c r="AN36" s="20"/>
      <c r="AO36" s="20"/>
      <c r="AP36" s="20"/>
      <c r="AQ36" s="20"/>
      <c r="AR36" s="20"/>
      <c r="AS36" s="20"/>
      <c r="AT36" s="20"/>
      <c r="AU36" s="20"/>
      <c r="AV36" s="20"/>
      <c r="AW36" s="20"/>
      <c r="CG36" s="17"/>
    </row>
    <row r="37" spans="1:85" s="62" customFormat="1" ht="99.95" customHeight="1">
      <c r="A37" s="92">
        <f t="shared" si="4"/>
        <v>26</v>
      </c>
      <c r="B37" s="47" t="s">
        <v>154</v>
      </c>
      <c r="C37" s="199" t="str">
        <f>IFERROR(VLOOKUP(FORMULACIÓN!B37,Lists!$A$2:$B$6,2,FALSE),"")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7" s="200" t="s">
        <v>194</v>
      </c>
      <c r="E37" s="200" t="s">
        <v>234</v>
      </c>
      <c r="F37" s="200" t="s">
        <v>242</v>
      </c>
      <c r="G37" s="200" t="s">
        <v>243</v>
      </c>
      <c r="H37" s="200" t="s">
        <v>244</v>
      </c>
      <c r="I37" s="58" t="s">
        <v>168</v>
      </c>
      <c r="J37" s="47" t="s">
        <v>161</v>
      </c>
      <c r="K37" s="58">
        <v>0</v>
      </c>
      <c r="L37" s="58">
        <v>3</v>
      </c>
      <c r="M37" s="58">
        <v>3</v>
      </c>
      <c r="N37" s="58">
        <v>3</v>
      </c>
      <c r="O37" s="58">
        <v>1</v>
      </c>
      <c r="P37" s="63">
        <f ca="1">IFERROR(IF($J37=Lists!$S$2,SUM(FORMULACIÓN!K37:O37),IF(FORMULACIÓN!$J37=Lists!$S$3,SUM(FORMULACIÓN!L37:O37),IF(FORMULACIÓN!$J37=Lists!$S$4,AVERAGE(FORMULACIÓN!L37:O37),IF(FORMULACIÓN!$J37=Lists!$S$5,OFFSET(K37,0,COUNTA(L37:O37)),IF(FORMULACIÓN!$J37=Lists!$S$6,AVERAGE(FORMULACIÓN!L37:O37),""))))),"")</f>
        <v>10</v>
      </c>
      <c r="Q37" s="51" t="str">
        <f ca="1">IF($I37=Lists!$R$3,TEXT(FORMULACIÓN!P37,"00,00%"),IF(FORMULACIÓN!P37=0,0,TEXT(FORMULACIÓN!P37,"##.###")))</f>
        <v>10</v>
      </c>
      <c r="R37" s="47" t="s">
        <v>245</v>
      </c>
      <c r="S37" s="205">
        <v>0.03</v>
      </c>
      <c r="T37" s="63" t="s">
        <v>163</v>
      </c>
      <c r="U37" s="66">
        <v>18868687430</v>
      </c>
      <c r="V37" s="66"/>
      <c r="W37" s="66"/>
      <c r="X37" s="67">
        <f t="shared" si="0"/>
        <v>18868687430</v>
      </c>
      <c r="Y37" s="66">
        <v>20141776662</v>
      </c>
      <c r="Z37" s="66"/>
      <c r="AA37" s="66"/>
      <c r="AB37" s="67">
        <f t="shared" si="1"/>
        <v>20141776662</v>
      </c>
      <c r="AC37" s="66">
        <v>22009463186.163826</v>
      </c>
      <c r="AD37" s="66"/>
      <c r="AE37" s="66"/>
      <c r="AF37" s="67">
        <f t="shared" si="2"/>
        <v>22009463186.163826</v>
      </c>
      <c r="AG37" s="66">
        <v>7781013516.7838621</v>
      </c>
      <c r="AH37" s="66"/>
      <c r="AI37" s="66"/>
      <c r="AJ37" s="65">
        <f t="shared" si="3"/>
        <v>7781013516.7838621</v>
      </c>
      <c r="AK37" s="65">
        <f>IF(SUM(AB37,AF37,X37,AJ37)=0,"",SUM((AB37,AF37,X37,AJ37)))</f>
        <v>68800940794.947693</v>
      </c>
      <c r="AL37" s="20"/>
      <c r="AM37" s="20"/>
      <c r="AN37" s="20"/>
      <c r="AO37" s="20"/>
      <c r="AP37" s="20"/>
      <c r="AQ37" s="20"/>
      <c r="AR37" s="20"/>
      <c r="AS37" s="20"/>
      <c r="AT37" s="20"/>
      <c r="AU37" s="20"/>
      <c r="AV37" s="20"/>
      <c r="AW37" s="20"/>
      <c r="CG37" s="17"/>
    </row>
    <row r="38" spans="1:85" s="62" customFormat="1" ht="99.95" customHeight="1">
      <c r="A38" s="92">
        <f t="shared" si="4"/>
        <v>27</v>
      </c>
      <c r="B38" s="47" t="s">
        <v>154</v>
      </c>
      <c r="C38" s="199" t="str">
        <f>IFERROR(VLOOKUP(FORMULACIÓN!B38,Lists!$A$2:$B$6,2,FALSE),"")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8" s="200" t="s">
        <v>246</v>
      </c>
      <c r="E38" s="200" t="s">
        <v>234</v>
      </c>
      <c r="F38" s="200" t="s">
        <v>247</v>
      </c>
      <c r="G38" s="200" t="s">
        <v>248</v>
      </c>
      <c r="H38" s="200" t="s">
        <v>249</v>
      </c>
      <c r="I38" s="58" t="s">
        <v>168</v>
      </c>
      <c r="J38" s="47" t="s">
        <v>161</v>
      </c>
      <c r="K38" s="58">
        <v>0</v>
      </c>
      <c r="L38" s="58">
        <v>1</v>
      </c>
      <c r="M38" s="58">
        <v>1</v>
      </c>
      <c r="N38" s="58">
        <v>0</v>
      </c>
      <c r="O38" s="58">
        <v>0</v>
      </c>
      <c r="P38" s="63">
        <f ca="1">IFERROR(IF($J38=Lists!$S$2,SUM(FORMULACIÓN!K38:O38),IF(FORMULACIÓN!$J38=Lists!$S$3,SUM(FORMULACIÓN!L38:O38),IF(FORMULACIÓN!$J38=Lists!$S$4,AVERAGE(FORMULACIÓN!L38:O38),IF(FORMULACIÓN!$J38=Lists!$S$5,OFFSET(K38,0,COUNTA(L38:O38)),IF(FORMULACIÓN!$J38=Lists!$S$6,AVERAGE(FORMULACIÓN!L38:O38),""))))),"")</f>
        <v>2</v>
      </c>
      <c r="Q38" s="51" t="str">
        <f ca="1">IF($I38=Lists!$R$3,TEXT(FORMULACIÓN!P38,"00,00%"),IF(FORMULACIÓN!P38=0,0,TEXT(FORMULACIÓN!P38,"##.###")))</f>
        <v>2</v>
      </c>
      <c r="R38" s="47" t="s">
        <v>250</v>
      </c>
      <c r="S38" s="205">
        <v>2.5000000000000001E-2</v>
      </c>
      <c r="T38" s="63" t="s">
        <v>163</v>
      </c>
      <c r="U38" s="66">
        <v>9498768715</v>
      </c>
      <c r="V38" s="66"/>
      <c r="W38" s="66"/>
      <c r="X38" s="67">
        <f t="shared" si="0"/>
        <v>9498768715</v>
      </c>
      <c r="Y38" s="66">
        <v>10144668886.5</v>
      </c>
      <c r="Z38" s="66"/>
      <c r="AA38" s="66"/>
      <c r="AB38" s="67">
        <f t="shared" si="1"/>
        <v>10144668886.5</v>
      </c>
      <c r="AC38" s="66">
        <v>11085353598.397625</v>
      </c>
      <c r="AD38" s="66"/>
      <c r="AE38" s="66"/>
      <c r="AF38" s="67">
        <f t="shared" si="2"/>
        <v>11085353598.397625</v>
      </c>
      <c r="AG38" s="66">
        <v>3919009085.2231526</v>
      </c>
      <c r="AH38" s="66"/>
      <c r="AI38" s="66"/>
      <c r="AJ38" s="65">
        <f t="shared" si="3"/>
        <v>3919009085.2231526</v>
      </c>
      <c r="AK38" s="65">
        <f>IF(SUM(AB38,AF38,X38,AJ38)=0,"",SUM((AB38,AF38,X38,AJ38)))</f>
        <v>34647800285.120781</v>
      </c>
      <c r="AL38" s="20"/>
      <c r="AM38" s="20"/>
      <c r="AN38" s="20"/>
      <c r="AO38" s="20"/>
      <c r="AP38" s="20"/>
      <c r="AQ38" s="20"/>
      <c r="AR38" s="20"/>
      <c r="AS38" s="20"/>
      <c r="AT38" s="20"/>
      <c r="AU38" s="20"/>
      <c r="AV38" s="20"/>
      <c r="AW38" s="20"/>
      <c r="CG38" s="17"/>
    </row>
    <row r="39" spans="1:85" s="62" customFormat="1" ht="99.95" customHeight="1">
      <c r="A39" s="92">
        <f t="shared" si="4"/>
        <v>28</v>
      </c>
      <c r="B39" s="47" t="s">
        <v>154</v>
      </c>
      <c r="C39" s="199" t="str">
        <f>IFERROR(VLOOKUP(FORMULACIÓN!B39,Lists!$A$2:$B$6,2,FALSE),"")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39" s="200" t="s">
        <v>194</v>
      </c>
      <c r="E39" s="200" t="s">
        <v>234</v>
      </c>
      <c r="F39" s="200" t="s">
        <v>247</v>
      </c>
      <c r="G39" s="200" t="s">
        <v>248</v>
      </c>
      <c r="H39" s="200" t="s">
        <v>251</v>
      </c>
      <c r="I39" s="58" t="s">
        <v>168</v>
      </c>
      <c r="J39" s="47" t="s">
        <v>161</v>
      </c>
      <c r="K39" s="58">
        <v>200</v>
      </c>
      <c r="L39" s="58">
        <v>550</v>
      </c>
      <c r="M39" s="58">
        <v>550</v>
      </c>
      <c r="N39" s="58">
        <v>600</v>
      </c>
      <c r="O39" s="58">
        <v>100</v>
      </c>
      <c r="P39" s="63">
        <f ca="1">IFERROR(IF($J39=Lists!$S$2,SUM(FORMULACIÓN!K39:O39),IF(FORMULACIÓN!$J39=Lists!$S$3,SUM(FORMULACIÓN!L39:O39),IF(FORMULACIÓN!$J39=Lists!$S$4,AVERAGE(FORMULACIÓN!L39:O39),IF(FORMULACIÓN!$J39=Lists!$S$5,OFFSET(K39,0,COUNTA(L39:O39)),IF(FORMULACIÓN!$J39=Lists!$S$6,AVERAGE(FORMULACIÓN!L39:O39),""))))),"")</f>
        <v>2000</v>
      </c>
      <c r="Q39" s="51" t="str">
        <f ca="1">IF($I39=Lists!$R$3,TEXT(FORMULACIÓN!P39,"00,00%"),IF(FORMULACIÓN!P39=0,0,TEXT(FORMULACIÓN!P39,"##.###")))</f>
        <v>2.000</v>
      </c>
      <c r="R39" s="47" t="s">
        <v>250</v>
      </c>
      <c r="S39" s="205">
        <v>2.5000000000000001E-2</v>
      </c>
      <c r="T39" s="63" t="s">
        <v>163</v>
      </c>
      <c r="U39" s="66">
        <v>9498768715</v>
      </c>
      <c r="V39" s="66"/>
      <c r="W39" s="66"/>
      <c r="X39" s="67">
        <f t="shared" si="0"/>
        <v>9498768715</v>
      </c>
      <c r="Y39" s="66">
        <v>10144668886.5</v>
      </c>
      <c r="Z39" s="66"/>
      <c r="AA39" s="66"/>
      <c r="AB39" s="67">
        <f t="shared" si="1"/>
        <v>10144668886.5</v>
      </c>
      <c r="AC39" s="66">
        <v>11085353598.397625</v>
      </c>
      <c r="AD39" s="66"/>
      <c r="AE39" s="66"/>
      <c r="AF39" s="67">
        <f t="shared" si="2"/>
        <v>11085353598.397625</v>
      </c>
      <c r="AG39" s="66">
        <v>3919009085.2231526</v>
      </c>
      <c r="AH39" s="66"/>
      <c r="AI39" s="66"/>
      <c r="AJ39" s="65">
        <f t="shared" si="3"/>
        <v>3919009085.2231526</v>
      </c>
      <c r="AK39" s="65">
        <f>IF(SUM(AB39,AF39,X39,AJ39)=0,"",SUM((AB39,AF39,X39,AJ39)))</f>
        <v>34647800285.120781</v>
      </c>
      <c r="AL39" s="20"/>
      <c r="AM39" s="20"/>
      <c r="AN39" s="20"/>
      <c r="AO39" s="20"/>
      <c r="AP39" s="20"/>
      <c r="AQ39" s="20"/>
      <c r="AR39" s="20"/>
      <c r="AS39" s="20"/>
      <c r="AT39" s="20"/>
      <c r="AU39" s="20"/>
      <c r="AV39" s="20"/>
      <c r="AW39" s="20"/>
      <c r="CG39" s="17"/>
    </row>
    <row r="40" spans="1:85" s="62" customFormat="1" ht="99.95" customHeight="1">
      <c r="A40" s="92">
        <f t="shared" si="4"/>
        <v>29</v>
      </c>
      <c r="B40" s="47" t="s">
        <v>154</v>
      </c>
      <c r="C40" s="199" t="str">
        <f>IFERROR(VLOOKUP(FORMULACIÓN!B40,Lists!$A$2:$B$6,2,FALSE),"")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0" s="200" t="s">
        <v>194</v>
      </c>
      <c r="E40" s="200" t="s">
        <v>234</v>
      </c>
      <c r="F40" s="200" t="s">
        <v>252</v>
      </c>
      <c r="G40" s="200" t="s">
        <v>253</v>
      </c>
      <c r="H40" s="200" t="s">
        <v>254</v>
      </c>
      <c r="I40" s="58" t="s">
        <v>160</v>
      </c>
      <c r="J40" s="47" t="s">
        <v>161</v>
      </c>
      <c r="K40" s="59">
        <v>0</v>
      </c>
      <c r="L40" s="196">
        <v>0.2</v>
      </c>
      <c r="M40" s="59">
        <v>0.3</v>
      </c>
      <c r="N40" s="59">
        <v>0.4</v>
      </c>
      <c r="O40" s="59">
        <v>0.1</v>
      </c>
      <c r="P40" s="63">
        <f ca="1">IFERROR(IF($J40=Lists!$S$2,SUM(FORMULACIÓN!K40:O40),IF(FORMULACIÓN!$J40=Lists!$S$3,SUM(FORMULACIÓN!L40:O40),IF(FORMULACIÓN!$J40=Lists!$S$4,AVERAGE(FORMULACIÓN!L40:O40),IF(FORMULACIÓN!$J40=Lists!$S$5,OFFSET(K40,0,COUNTA(L40:O40)),IF(FORMULACIÓN!$J40=Lists!$S$6,AVERAGE(FORMULACIÓN!L40:O40),""))))),"")</f>
        <v>1</v>
      </c>
      <c r="Q40" s="51" t="str">
        <f ca="1">IF($I40=Lists!$R$3,TEXT(FORMULACIÓN!P40,"00,00%"),IF(FORMULACIÓN!P40=0,0,TEXT(FORMULACIÓN!P40,"##.###")))</f>
        <v>100,00%</v>
      </c>
      <c r="R40" s="47" t="s">
        <v>255</v>
      </c>
      <c r="S40" s="205">
        <v>0.01</v>
      </c>
      <c r="T40" s="63" t="s">
        <v>163</v>
      </c>
      <c r="U40" s="66">
        <v>9498768715</v>
      </c>
      <c r="V40" s="66"/>
      <c r="W40" s="66"/>
      <c r="X40" s="67">
        <f t="shared" si="0"/>
        <v>9498768715</v>
      </c>
      <c r="Y40" s="66">
        <v>10144668886.5</v>
      </c>
      <c r="Z40" s="66"/>
      <c r="AA40" s="66"/>
      <c r="AB40" s="67">
        <f t="shared" si="1"/>
        <v>10144668886.5</v>
      </c>
      <c r="AC40" s="66">
        <v>13302424318.077147</v>
      </c>
      <c r="AD40" s="66"/>
      <c r="AE40" s="66"/>
      <c r="AF40" s="67">
        <f t="shared" si="2"/>
        <v>13302424318.077147</v>
      </c>
      <c r="AG40" s="66">
        <v>4702810902.2677822</v>
      </c>
      <c r="AH40" s="66"/>
      <c r="AI40" s="66"/>
      <c r="AJ40" s="65">
        <f t="shared" si="3"/>
        <v>4702810902.2677822</v>
      </c>
      <c r="AK40" s="65">
        <f>IF(SUM(AB40,AF40,X40,AJ40)=0,"",SUM((AB40,AF40,X40,AJ40)))</f>
        <v>37648672821.844933</v>
      </c>
      <c r="AL40" s="20"/>
      <c r="AM40" s="20"/>
      <c r="AN40" s="20"/>
      <c r="AO40" s="20"/>
      <c r="AP40" s="20"/>
      <c r="AQ40" s="20"/>
      <c r="AR40" s="20"/>
      <c r="AS40" s="20"/>
      <c r="AT40" s="20"/>
      <c r="AU40" s="20"/>
      <c r="AV40" s="20"/>
      <c r="AW40" s="20"/>
      <c r="CG40" s="17"/>
    </row>
    <row r="41" spans="1:85" s="62" customFormat="1" ht="99.95" customHeight="1">
      <c r="A41" s="92">
        <f t="shared" si="4"/>
        <v>30</v>
      </c>
      <c r="B41" s="47" t="s">
        <v>154</v>
      </c>
      <c r="C41" s="199" t="str">
        <f>IFERROR(VLOOKUP(FORMULACIÓN!B41,Lists!$A$2:$B$6,2,FALSE),"")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1" s="200" t="s">
        <v>194</v>
      </c>
      <c r="E41" s="200" t="s">
        <v>234</v>
      </c>
      <c r="F41" s="200" t="s">
        <v>256</v>
      </c>
      <c r="G41" s="200" t="s">
        <v>257</v>
      </c>
      <c r="H41" s="200" t="s">
        <v>258</v>
      </c>
      <c r="I41" s="58" t="s">
        <v>168</v>
      </c>
      <c r="J41" s="47" t="s">
        <v>169</v>
      </c>
      <c r="K41" s="58">
        <v>0</v>
      </c>
      <c r="L41" s="58">
        <v>1</v>
      </c>
      <c r="M41" s="58">
        <v>0</v>
      </c>
      <c r="N41" s="58">
        <v>0</v>
      </c>
      <c r="O41" s="58">
        <v>0</v>
      </c>
      <c r="P41" s="63">
        <f ca="1">IFERROR(IF($J41=Lists!$S$2,SUM(FORMULACIÓN!K41:O41),IF(FORMULACIÓN!$J41=Lists!$S$3,SUM(FORMULACIÓN!L41:O41),IF(FORMULACIÓN!$J41=Lists!$S$4,AVERAGE(FORMULACIÓN!L41:O41),IF(FORMULACIÓN!$J41=Lists!$S$5,OFFSET(K41,0,COUNTA(L41:O41)),IF(FORMULACIÓN!$J41=Lists!$S$6,AVERAGE(FORMULACIÓN!L41:O41),""))))),"")</f>
        <v>1</v>
      </c>
      <c r="Q41" s="51" t="str">
        <f ca="1">IF($I41=Lists!$R$3,TEXT(FORMULACIÓN!P41,"00,00%"),IF(FORMULACIÓN!P41=0,0,TEXT(FORMULACIÓN!P41,"##.###")))</f>
        <v>1</v>
      </c>
      <c r="R41" s="47" t="s">
        <v>255</v>
      </c>
      <c r="S41" s="205">
        <v>0.01</v>
      </c>
      <c r="T41" s="63" t="s">
        <v>163</v>
      </c>
      <c r="U41" s="66">
        <v>9498768715</v>
      </c>
      <c r="V41" s="66"/>
      <c r="W41" s="66"/>
      <c r="X41" s="67">
        <f t="shared" si="0"/>
        <v>9498768715</v>
      </c>
      <c r="Y41" s="66">
        <v>10144668886.5</v>
      </c>
      <c r="Z41" s="66"/>
      <c r="AA41" s="66"/>
      <c r="AB41" s="67">
        <f t="shared" si="1"/>
        <v>10144668886.5</v>
      </c>
      <c r="AC41" s="66">
        <v>8868282878.7180996</v>
      </c>
      <c r="AD41" s="66"/>
      <c r="AE41" s="66"/>
      <c r="AF41" s="67">
        <f t="shared" si="2"/>
        <v>8868282878.7180996</v>
      </c>
      <c r="AG41" s="66">
        <v>3135207268.1785221</v>
      </c>
      <c r="AH41" s="66"/>
      <c r="AI41" s="66"/>
      <c r="AJ41" s="65">
        <f t="shared" si="3"/>
        <v>3135207268.1785221</v>
      </c>
      <c r="AK41" s="65">
        <f>IF(SUM(AB41,AF41,X41,AJ41)=0,"",SUM((AB41,AF41,X41,AJ41)))</f>
        <v>31646927748.396622</v>
      </c>
      <c r="AL41" s="20"/>
      <c r="AM41" s="20"/>
      <c r="AN41" s="20"/>
      <c r="AO41" s="20"/>
      <c r="AP41" s="20"/>
      <c r="AQ41" s="20"/>
      <c r="AR41" s="20"/>
      <c r="AS41" s="20"/>
      <c r="AT41" s="20"/>
      <c r="AU41" s="20"/>
      <c r="AV41" s="20"/>
      <c r="AW41" s="20"/>
      <c r="CG41" s="17"/>
    </row>
    <row r="42" spans="1:85" s="62" customFormat="1" ht="99.95" customHeight="1">
      <c r="A42" s="92">
        <f t="shared" si="4"/>
        <v>31</v>
      </c>
      <c r="B42" s="47" t="s">
        <v>154</v>
      </c>
      <c r="C42" s="199" t="str">
        <f>IFERROR(VLOOKUP(FORMULACIÓN!B42,Lists!$A$2:$B$6,2,FALSE),"")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2" s="200" t="s">
        <v>259</v>
      </c>
      <c r="E42" s="200" t="s">
        <v>260</v>
      </c>
      <c r="F42" s="200" t="s">
        <v>261</v>
      </c>
      <c r="G42" s="200" t="s">
        <v>262</v>
      </c>
      <c r="H42" s="200" t="s">
        <v>263</v>
      </c>
      <c r="I42" s="58" t="s">
        <v>168</v>
      </c>
      <c r="J42" s="47" t="s">
        <v>169</v>
      </c>
      <c r="K42" s="58">
        <v>0</v>
      </c>
      <c r="L42" s="58">
        <v>1</v>
      </c>
      <c r="M42" s="58">
        <v>0</v>
      </c>
      <c r="N42" s="58">
        <v>0</v>
      </c>
      <c r="O42" s="58">
        <v>0</v>
      </c>
      <c r="P42" s="63">
        <f ca="1">IFERROR(IF($J42=Lists!$S$2,SUM(FORMULACIÓN!K42:O42),IF(FORMULACIÓN!$J42=Lists!$S$3,SUM(FORMULACIÓN!L42:O42),IF(FORMULACIÓN!$J42=Lists!$S$4,AVERAGE(FORMULACIÓN!L42:O42),IF(FORMULACIÓN!$J42=Lists!$S$5,OFFSET(K42,0,COUNTA(L42:O42)),IF(FORMULACIÓN!$J42=Lists!$S$6,AVERAGE(FORMULACIÓN!L42:O42),""))))),"")</f>
        <v>1</v>
      </c>
      <c r="Q42" s="51" t="str">
        <f ca="1">IF($I42=Lists!$R$3,TEXT(FORMULACIÓN!P42,"00,00%"),IF(FORMULACIÓN!P42=0,0,TEXT(FORMULACIÓN!P42,"##.###")))</f>
        <v>1</v>
      </c>
      <c r="R42" s="47" t="s">
        <v>264</v>
      </c>
      <c r="S42" s="205">
        <v>0.02</v>
      </c>
      <c r="T42" s="63" t="s">
        <v>163</v>
      </c>
      <c r="U42" s="66">
        <v>3403648828.5</v>
      </c>
      <c r="V42" s="66"/>
      <c r="W42" s="66"/>
      <c r="X42" s="67">
        <f t="shared" si="0"/>
        <v>3403648828.5</v>
      </c>
      <c r="Y42" s="66">
        <v>3630497409.3333335</v>
      </c>
      <c r="Z42" s="66"/>
      <c r="AA42" s="66"/>
      <c r="AB42" s="67">
        <f t="shared" si="1"/>
        <v>3630497409.3333335</v>
      </c>
      <c r="AC42" s="66">
        <v>225993310.69709784</v>
      </c>
      <c r="AD42" s="66"/>
      <c r="AE42" s="66"/>
      <c r="AF42" s="67">
        <f t="shared" si="2"/>
        <v>225993310.69709784</v>
      </c>
      <c r="AG42" s="66">
        <v>79951587.0821646</v>
      </c>
      <c r="AH42" s="66"/>
      <c r="AI42" s="66"/>
      <c r="AJ42" s="65">
        <f t="shared" si="3"/>
        <v>79951587.0821646</v>
      </c>
      <c r="AK42" s="65">
        <f>IF(SUM(AB42,AF42,X42,AJ42)=0,"",SUM((AB42,AF42,X42,AJ42)))</f>
        <v>7340091135.6125965</v>
      </c>
      <c r="AL42" s="20"/>
      <c r="AM42" s="20"/>
      <c r="AN42" s="20"/>
      <c r="AO42" s="20"/>
      <c r="AP42" s="20"/>
      <c r="AQ42" s="20"/>
      <c r="AR42" s="20"/>
      <c r="AS42" s="20"/>
      <c r="AT42" s="20"/>
      <c r="AU42" s="20"/>
      <c r="AV42" s="20"/>
      <c r="AW42" s="20"/>
      <c r="CG42" s="17"/>
    </row>
    <row r="43" spans="1:85" s="62" customFormat="1" ht="99.95" customHeight="1">
      <c r="A43" s="92">
        <f t="shared" si="4"/>
        <v>32</v>
      </c>
      <c r="B43" s="47" t="s">
        <v>154</v>
      </c>
      <c r="C43" s="199" t="str">
        <f>IFERROR(VLOOKUP(FORMULACIÓN!B43,Lists!$A$2:$B$6,2,FALSE),"")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3" s="200" t="s">
        <v>259</v>
      </c>
      <c r="E43" s="200" t="s">
        <v>260</v>
      </c>
      <c r="F43" s="200" t="s">
        <v>261</v>
      </c>
      <c r="G43" s="200" t="s">
        <v>265</v>
      </c>
      <c r="H43" s="200" t="s">
        <v>266</v>
      </c>
      <c r="I43" s="58" t="s">
        <v>160</v>
      </c>
      <c r="J43" s="47" t="s">
        <v>161</v>
      </c>
      <c r="K43" s="59">
        <v>0</v>
      </c>
      <c r="L43" s="196">
        <v>0.3</v>
      </c>
      <c r="M43" s="59">
        <v>0.3</v>
      </c>
      <c r="N43" s="59">
        <v>0.2</v>
      </c>
      <c r="O43" s="59">
        <v>0.2</v>
      </c>
      <c r="P43" s="63">
        <f ca="1">IFERROR(IF($J43=Lists!$S$2,SUM(FORMULACIÓN!K43:O43),IF(FORMULACIÓN!$J43=Lists!$S$3,SUM(FORMULACIÓN!L43:O43),IF(FORMULACIÓN!$J43=Lists!$S$4,AVERAGE(FORMULACIÓN!L43:O43),IF(FORMULACIÓN!$J43=Lists!$S$5,OFFSET(K43,0,COUNTA(L43:O43)),IF(FORMULACIÓN!$J43=Lists!$S$6,AVERAGE(FORMULACIÓN!L43:O43),""))))),"")</f>
        <v>1</v>
      </c>
      <c r="Q43" s="51" t="str">
        <f ca="1">IF($I43=Lists!$R$3,TEXT(FORMULACIÓN!P43,"00,00%"),IF(FORMULACIÓN!P43=0,0,TEXT(FORMULACIÓN!P43,"##.###")))</f>
        <v>100,00%</v>
      </c>
      <c r="R43" s="47" t="s">
        <v>264</v>
      </c>
      <c r="S43" s="205">
        <v>0.02</v>
      </c>
      <c r="T43" s="63" t="s">
        <v>163</v>
      </c>
      <c r="U43" s="66">
        <v>3403648828.5</v>
      </c>
      <c r="V43" s="66"/>
      <c r="W43" s="66"/>
      <c r="X43" s="67">
        <f t="shared" si="0"/>
        <v>3403648828.5</v>
      </c>
      <c r="Y43" s="66">
        <v>3630497409.3333335</v>
      </c>
      <c r="Z43" s="66"/>
      <c r="AA43" s="66"/>
      <c r="AB43" s="67">
        <f t="shared" si="1"/>
        <v>3630497409.3333335</v>
      </c>
      <c r="AC43" s="66">
        <v>627759196.38082731</v>
      </c>
      <c r="AD43" s="66"/>
      <c r="AE43" s="66"/>
      <c r="AF43" s="67">
        <f t="shared" si="2"/>
        <v>627759196.38082731</v>
      </c>
      <c r="AG43" s="66">
        <v>222087741.89490166</v>
      </c>
      <c r="AH43" s="66"/>
      <c r="AI43" s="66"/>
      <c r="AJ43" s="65">
        <f t="shared" si="3"/>
        <v>222087741.89490166</v>
      </c>
      <c r="AK43" s="65">
        <f>IF(SUM(AB43,AF43,X43,AJ43)=0,"",SUM((AB43,AF43,X43,AJ43)))</f>
        <v>7883993176.1090622</v>
      </c>
      <c r="AL43" s="20"/>
      <c r="AM43" s="20"/>
      <c r="AN43" s="20"/>
      <c r="AO43" s="20"/>
      <c r="AP43" s="20"/>
      <c r="AQ43" s="20"/>
      <c r="AR43" s="20"/>
      <c r="AS43" s="20"/>
      <c r="AT43" s="20"/>
      <c r="AU43" s="20"/>
      <c r="AV43" s="20"/>
      <c r="AW43" s="20"/>
      <c r="CG43" s="17"/>
    </row>
    <row r="44" spans="1:85" s="62" customFormat="1" ht="99.95" customHeight="1">
      <c r="A44" s="92">
        <f t="shared" si="4"/>
        <v>33</v>
      </c>
      <c r="B44" s="47" t="s">
        <v>154</v>
      </c>
      <c r="C44" s="199" t="str">
        <f>IFERROR(VLOOKUP(FORMULACIÓN!B44,Lists!$A$2:$B$6,2,FALSE),"")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4" s="200" t="s">
        <v>259</v>
      </c>
      <c r="E44" s="200" t="s">
        <v>260</v>
      </c>
      <c r="F44" s="200" t="s">
        <v>261</v>
      </c>
      <c r="G44" s="200" t="s">
        <v>267</v>
      </c>
      <c r="H44" s="200" t="s">
        <v>268</v>
      </c>
      <c r="I44" s="58" t="s">
        <v>160</v>
      </c>
      <c r="J44" s="47" t="s">
        <v>161</v>
      </c>
      <c r="K44" s="59">
        <v>0</v>
      </c>
      <c r="L44" s="196">
        <v>0.3</v>
      </c>
      <c r="M44" s="59">
        <v>0.3</v>
      </c>
      <c r="N44" s="59">
        <v>0.2</v>
      </c>
      <c r="O44" s="59">
        <v>0.2</v>
      </c>
      <c r="P44" s="63">
        <f ca="1">IFERROR(IF($J44=Lists!$S$2,SUM(FORMULACIÓN!K44:O44),IF(FORMULACIÓN!$J44=Lists!$S$3,SUM(FORMULACIÓN!L44:O44),IF(FORMULACIÓN!$J44=Lists!$S$4,AVERAGE(FORMULACIÓN!L44:O44),IF(FORMULACIÓN!$J44=Lists!$S$5,OFFSET(K44,0,COUNTA(L44:O44)),IF(FORMULACIÓN!$J44=Lists!$S$6,AVERAGE(FORMULACIÓN!L44:O44),""))))),"")</f>
        <v>1</v>
      </c>
      <c r="Q44" s="51" t="str">
        <f ca="1">IF($I44=Lists!$R$3,TEXT(FORMULACIÓN!P44,"00,00%"),IF(FORMULACIÓN!P44=0,0,TEXT(FORMULACIÓN!P44,"##.###")))</f>
        <v>100,00%</v>
      </c>
      <c r="R44" s="47" t="s">
        <v>264</v>
      </c>
      <c r="S44" s="205">
        <v>0.02</v>
      </c>
      <c r="T44" s="63" t="s">
        <v>163</v>
      </c>
      <c r="U44" s="66">
        <v>3403648828.5</v>
      </c>
      <c r="V44" s="66"/>
      <c r="W44" s="66"/>
      <c r="X44" s="67">
        <f t="shared" si="0"/>
        <v>3403648828.5</v>
      </c>
      <c r="Y44" s="66">
        <v>3630497409.3333335</v>
      </c>
      <c r="Z44" s="66"/>
      <c r="AA44" s="66"/>
      <c r="AB44" s="67">
        <f t="shared" si="1"/>
        <v>3630497409.3333335</v>
      </c>
      <c r="AC44" s="66">
        <v>5022073571.0466185</v>
      </c>
      <c r="AD44" s="66"/>
      <c r="AE44" s="66"/>
      <c r="AF44" s="67">
        <f t="shared" si="2"/>
        <v>5022073571.0466185</v>
      </c>
      <c r="AG44" s="66">
        <v>1776701935.1592133</v>
      </c>
      <c r="AH44" s="66"/>
      <c r="AI44" s="66"/>
      <c r="AJ44" s="65">
        <f t="shared" si="3"/>
        <v>1776701935.1592133</v>
      </c>
      <c r="AK44" s="65">
        <f>IF(SUM(AB44,AF44,X44,AJ44)=0,"",SUM((AB44,AF44,X44,AJ44)))</f>
        <v>13832921744.039165</v>
      </c>
      <c r="AL44" s="20"/>
      <c r="AM44" s="20"/>
      <c r="AN44" s="20"/>
      <c r="AO44" s="20"/>
      <c r="AP44" s="20"/>
      <c r="AQ44" s="20"/>
      <c r="AR44" s="20"/>
      <c r="AS44" s="20"/>
      <c r="AT44" s="20"/>
      <c r="AU44" s="20"/>
      <c r="AV44" s="20"/>
      <c r="AW44" s="20"/>
      <c r="CG44" s="17"/>
    </row>
    <row r="45" spans="1:85" s="62" customFormat="1" ht="99.95" customHeight="1">
      <c r="A45" s="92">
        <f t="shared" si="4"/>
        <v>34</v>
      </c>
      <c r="B45" s="47" t="s">
        <v>154</v>
      </c>
      <c r="C45" s="199" t="str">
        <f>IFERROR(VLOOKUP(FORMULACIÓN!B45,Lists!$A$2:$B$6,2,FALSE),"")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5" s="200" t="s">
        <v>269</v>
      </c>
      <c r="E45" s="200" t="s">
        <v>260</v>
      </c>
      <c r="F45" s="200" t="s">
        <v>270</v>
      </c>
      <c r="G45" s="200" t="s">
        <v>271</v>
      </c>
      <c r="H45" s="200" t="s">
        <v>272</v>
      </c>
      <c r="I45" s="58" t="s">
        <v>168</v>
      </c>
      <c r="J45" s="47" t="s">
        <v>169</v>
      </c>
      <c r="K45" s="58">
        <v>0</v>
      </c>
      <c r="L45" s="58">
        <v>1</v>
      </c>
      <c r="M45" s="58">
        <v>0</v>
      </c>
      <c r="N45" s="58">
        <v>0</v>
      </c>
      <c r="O45" s="58">
        <v>1</v>
      </c>
      <c r="P45" s="63">
        <f ca="1">IFERROR(IF($J45=Lists!$S$2,SUM(FORMULACIÓN!K45:O45),IF(FORMULACIÓN!$J45=Lists!$S$3,SUM(FORMULACIÓN!L45:O45),IF(FORMULACIÓN!$J45=Lists!$S$4,AVERAGE(FORMULACIÓN!L45:O45),IF(FORMULACIÓN!$J45=Lists!$S$5,OFFSET(K45,0,COUNTA(L45:O45)),IF(FORMULACIÓN!$J45=Lists!$S$6,AVERAGE(FORMULACIÓN!L45:O45),""))))),"")</f>
        <v>2</v>
      </c>
      <c r="Q45" s="51" t="str">
        <f ca="1">IF($I45=Lists!$R$3,TEXT(FORMULACIÓN!P45,"00,00%"),IF(FORMULACIÓN!P45=0,0,TEXT(FORMULACIÓN!P45,"##.###")))</f>
        <v>2</v>
      </c>
      <c r="R45" s="47" t="s">
        <v>264</v>
      </c>
      <c r="S45" s="205">
        <v>0.02</v>
      </c>
      <c r="T45" s="63" t="s">
        <v>163</v>
      </c>
      <c r="U45" s="66">
        <v>3403648828.5</v>
      </c>
      <c r="V45" s="66"/>
      <c r="W45" s="66"/>
      <c r="X45" s="67">
        <f t="shared" si="0"/>
        <v>3403648828.5</v>
      </c>
      <c r="Y45" s="66">
        <v>3630497409.3333335</v>
      </c>
      <c r="Z45" s="66"/>
      <c r="AA45" s="66"/>
      <c r="AB45" s="67">
        <f t="shared" si="1"/>
        <v>3630497409.3333335</v>
      </c>
      <c r="AC45" s="66">
        <v>7533110356.5699282</v>
      </c>
      <c r="AD45" s="66"/>
      <c r="AE45" s="66"/>
      <c r="AF45" s="67">
        <f t="shared" si="2"/>
        <v>7533110356.5699282</v>
      </c>
      <c r="AG45" s="66">
        <v>2665052902.7388201</v>
      </c>
      <c r="AH45" s="66"/>
      <c r="AI45" s="66"/>
      <c r="AJ45" s="65">
        <f t="shared" si="3"/>
        <v>2665052902.7388201</v>
      </c>
      <c r="AK45" s="65">
        <f>IF(SUM(AB45,AF45,X45,AJ45)=0,"",SUM((AB45,AF45,X45,AJ45)))</f>
        <v>17232309497.142082</v>
      </c>
      <c r="AL45" s="20"/>
      <c r="AM45" s="20"/>
      <c r="AN45" s="20"/>
      <c r="AO45" s="20"/>
      <c r="AP45" s="20"/>
      <c r="AQ45" s="20"/>
      <c r="AR45" s="20"/>
      <c r="AS45" s="20"/>
      <c r="AT45" s="20"/>
      <c r="AU45" s="20"/>
      <c r="AV45" s="20"/>
      <c r="AW45" s="20"/>
      <c r="CG45" s="17"/>
    </row>
    <row r="46" spans="1:85" s="62" customFormat="1" ht="99.95" customHeight="1">
      <c r="A46" s="92">
        <f t="shared" si="4"/>
        <v>35</v>
      </c>
      <c r="B46" s="47" t="s">
        <v>154</v>
      </c>
      <c r="C46" s="199" t="str">
        <f>IFERROR(VLOOKUP(FORMULACIÓN!B46,Lists!$A$2:$B$6,2,FALSE),"")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6" s="200" t="s">
        <v>269</v>
      </c>
      <c r="E46" s="200" t="s">
        <v>260</v>
      </c>
      <c r="F46" s="200" t="s">
        <v>270</v>
      </c>
      <c r="G46" s="200" t="s">
        <v>273</v>
      </c>
      <c r="H46" s="200" t="s">
        <v>274</v>
      </c>
      <c r="I46" s="58" t="s">
        <v>160</v>
      </c>
      <c r="J46" s="47" t="s">
        <v>229</v>
      </c>
      <c r="K46" s="59">
        <v>0.52</v>
      </c>
      <c r="L46" s="196">
        <v>0.53</v>
      </c>
      <c r="M46" s="196">
        <v>0.6</v>
      </c>
      <c r="N46" s="196">
        <v>0.65</v>
      </c>
      <c r="O46" s="196">
        <v>0.7</v>
      </c>
      <c r="P46" s="63">
        <f ca="1">IFERROR(IF($J46=Lists!$S$2,SUM(FORMULACIÓN!K46:O46),IF(FORMULACIÓN!$J46=Lists!$S$3,SUM(FORMULACIÓN!L46:O46),IF(FORMULACIÓN!$J46=Lists!$S$4,AVERAGE(FORMULACIÓN!L46:O46),IF(FORMULACIÓN!$J46=Lists!$S$5,OFFSET(K46,0,COUNTA(L46:O46)),IF(FORMULACIÓN!$J46=Lists!$S$6,AVERAGE(FORMULACIÓN!L46:O46),""))))),"")</f>
        <v>0.7</v>
      </c>
      <c r="Q46" s="51" t="str">
        <f ca="1">IF($I46=Lists!$R$3,TEXT(FORMULACIÓN!P46,"00,00%"),IF(FORMULACIÓN!P46=0,0,TEXT(FORMULACIÓN!P46,"##.###")))</f>
        <v>70,00%</v>
      </c>
      <c r="R46" s="47" t="s">
        <v>264</v>
      </c>
      <c r="S46" s="205">
        <v>0.02</v>
      </c>
      <c r="T46" s="63" t="s">
        <v>163</v>
      </c>
      <c r="U46" s="66">
        <v>3403648828.5</v>
      </c>
      <c r="V46" s="66"/>
      <c r="W46" s="66"/>
      <c r="X46" s="67">
        <f t="shared" si="0"/>
        <v>3403648828.5</v>
      </c>
      <c r="Y46" s="66">
        <v>3630497409.3333335</v>
      </c>
      <c r="Z46" s="66"/>
      <c r="AA46" s="66"/>
      <c r="AB46" s="67">
        <f t="shared" si="1"/>
        <v>3630497409.3333335</v>
      </c>
      <c r="AC46" s="66">
        <v>5022073571.0466185</v>
      </c>
      <c r="AD46" s="66"/>
      <c r="AE46" s="66"/>
      <c r="AF46" s="67">
        <f t="shared" si="2"/>
        <v>5022073571.0466185</v>
      </c>
      <c r="AG46" s="66">
        <v>1776701935.1592133</v>
      </c>
      <c r="AH46" s="66"/>
      <c r="AI46" s="66"/>
      <c r="AJ46" s="65">
        <f t="shared" si="3"/>
        <v>1776701935.1592133</v>
      </c>
      <c r="AK46" s="65">
        <f>IF(SUM(AB46,AF46,X46,AJ46)=0,"",SUM((AB46,AF46,X46,AJ46)))</f>
        <v>13832921744.039165</v>
      </c>
      <c r="AL46" s="20"/>
      <c r="AM46" s="20"/>
      <c r="AN46" s="20"/>
      <c r="AO46" s="20"/>
      <c r="AP46" s="20"/>
      <c r="AQ46" s="20"/>
      <c r="AR46" s="20"/>
      <c r="AS46" s="20"/>
      <c r="AT46" s="20"/>
      <c r="AU46" s="20"/>
      <c r="AV46" s="20"/>
      <c r="AW46" s="20"/>
      <c r="CG46" s="17"/>
    </row>
    <row r="47" spans="1:85" s="62" customFormat="1" ht="99.95" customHeight="1">
      <c r="A47" s="92">
        <f t="shared" si="4"/>
        <v>36</v>
      </c>
      <c r="B47" s="47" t="s">
        <v>154</v>
      </c>
      <c r="C47" s="199" t="str">
        <f>IFERROR(VLOOKUP(FORMULACIÓN!B47,Lists!$A$2:$B$6,2,FALSE),"")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7" s="200" t="s">
        <v>269</v>
      </c>
      <c r="E47" s="200" t="s">
        <v>260</v>
      </c>
      <c r="F47" s="200" t="s">
        <v>270</v>
      </c>
      <c r="G47" s="200" t="s">
        <v>275</v>
      </c>
      <c r="H47" s="200" t="s">
        <v>276</v>
      </c>
      <c r="I47" s="58" t="s">
        <v>168</v>
      </c>
      <c r="J47" s="47" t="s">
        <v>161</v>
      </c>
      <c r="K47" s="201">
        <v>0</v>
      </c>
      <c r="L47" s="197">
        <v>1</v>
      </c>
      <c r="M47" s="201">
        <v>2</v>
      </c>
      <c r="N47" s="201">
        <v>0</v>
      </c>
      <c r="O47" s="201">
        <v>2</v>
      </c>
      <c r="P47" s="63">
        <f ca="1">IFERROR(IF($J47=Lists!$S$2,SUM(FORMULACIÓN!K47:O47),IF(FORMULACIÓN!$J47=Lists!$S$3,SUM(FORMULACIÓN!L47:O47),IF(FORMULACIÓN!$J47=Lists!$S$4,AVERAGE(FORMULACIÓN!L47:O47),IF(FORMULACIÓN!$J47=Lists!$S$5,OFFSET(K47,0,COUNTA(L47:O47)),IF(FORMULACIÓN!$J47=Lists!$S$6,AVERAGE(FORMULACIÓN!L47:O47),""))))),"")</f>
        <v>5</v>
      </c>
      <c r="Q47" s="51" t="str">
        <f ca="1">IF($I47=Lists!$R$3,TEXT(FORMULACIÓN!P47,"00,00%"),IF(FORMULACIÓN!P47=0,0,TEXT(FORMULACIÓN!P47,"##.###")))</f>
        <v>5</v>
      </c>
      <c r="R47" s="47" t="s">
        <v>264</v>
      </c>
      <c r="S47" s="205">
        <v>0.02</v>
      </c>
      <c r="T47" s="63" t="s">
        <v>163</v>
      </c>
      <c r="U47" s="66">
        <v>3403648828.5</v>
      </c>
      <c r="V47" s="66"/>
      <c r="W47" s="66"/>
      <c r="X47" s="67">
        <f t="shared" si="0"/>
        <v>3403648828.5</v>
      </c>
      <c r="Y47" s="66">
        <v>3630497409.3333335</v>
      </c>
      <c r="Z47" s="66"/>
      <c r="AA47" s="66"/>
      <c r="AB47" s="67">
        <f t="shared" si="1"/>
        <v>3630497409.3333335</v>
      </c>
      <c r="AC47" s="66">
        <v>5398057544.9350338</v>
      </c>
      <c r="AD47" s="66"/>
      <c r="AE47" s="66"/>
      <c r="AF47" s="67">
        <f t="shared" si="2"/>
        <v>5398057544.9350338</v>
      </c>
      <c r="AG47" s="66">
        <v>1909717002.4508665</v>
      </c>
      <c r="AH47" s="66"/>
      <c r="AI47" s="66"/>
      <c r="AJ47" s="65">
        <f t="shared" si="3"/>
        <v>1909717002.4508665</v>
      </c>
      <c r="AK47" s="65">
        <f>IF(SUM(AB47,AF47,X47,AJ47)=0,"",SUM((AB47,AF47,X47,AJ47)))</f>
        <v>14341920785.219234</v>
      </c>
      <c r="AL47" s="20"/>
      <c r="AM47" s="20"/>
      <c r="AN47" s="20"/>
      <c r="AO47" s="20"/>
      <c r="AP47" s="20"/>
      <c r="AQ47" s="20"/>
      <c r="AR47" s="20"/>
      <c r="AS47" s="20"/>
      <c r="AT47" s="20"/>
      <c r="AU47" s="20"/>
      <c r="AV47" s="20"/>
      <c r="AW47" s="20"/>
      <c r="CG47" s="17"/>
    </row>
    <row r="48" spans="1:85" s="62" customFormat="1" ht="99.95" customHeight="1">
      <c r="A48" s="92">
        <f t="shared" si="4"/>
        <v>37</v>
      </c>
      <c r="B48" s="47" t="s">
        <v>154</v>
      </c>
      <c r="C48" s="199" t="str">
        <f>IFERROR(VLOOKUP(FORMULACIÓN!B48,Lists!$A$2:$B$6,2,FALSE),"")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8" s="200" t="s">
        <v>277</v>
      </c>
      <c r="E48" s="200" t="s">
        <v>260</v>
      </c>
      <c r="F48" s="200" t="s">
        <v>278</v>
      </c>
      <c r="G48" s="200" t="s">
        <v>279</v>
      </c>
      <c r="H48" s="200" t="s">
        <v>280</v>
      </c>
      <c r="I48" s="58" t="s">
        <v>168</v>
      </c>
      <c r="J48" s="47" t="s">
        <v>161</v>
      </c>
      <c r="K48" s="58">
        <v>50</v>
      </c>
      <c r="L48" s="58">
        <v>0</v>
      </c>
      <c r="M48" s="58">
        <v>2</v>
      </c>
      <c r="N48" s="58">
        <v>2</v>
      </c>
      <c r="O48" s="58">
        <v>1</v>
      </c>
      <c r="P48" s="63">
        <f ca="1">IFERROR(IF($J48=Lists!$S$2,SUM(FORMULACIÓN!K48:O48),IF(FORMULACIÓN!$J48=Lists!$S$3,SUM(FORMULACIÓN!L48:O48),IF(FORMULACIÓN!$J48=Lists!$S$4,AVERAGE(FORMULACIÓN!L48:O48),IF(FORMULACIÓN!$J48=Lists!$S$5,OFFSET(K48,0,COUNTA(L48:O48)),IF(FORMULACIÓN!$J48=Lists!$S$6,AVERAGE(FORMULACIÓN!L48:O48),""))))),"")</f>
        <v>55</v>
      </c>
      <c r="Q48" s="51" t="str">
        <f ca="1">IF($I48=Lists!$R$3,TEXT(FORMULACIÓN!P48,"00,00%"),IF(FORMULACIÓN!P48=0,0,TEXT(FORMULACIÓN!P48,"##.###")))</f>
        <v>55</v>
      </c>
      <c r="R48" s="47" t="s">
        <v>281</v>
      </c>
      <c r="S48" s="205">
        <v>0.01</v>
      </c>
      <c r="T48" s="63" t="s">
        <v>163</v>
      </c>
      <c r="U48" s="66">
        <v>5545656782</v>
      </c>
      <c r="V48" s="66"/>
      <c r="W48" s="66"/>
      <c r="X48" s="67">
        <f t="shared" si="0"/>
        <v>5545656782</v>
      </c>
      <c r="Y48" s="66">
        <v>5639085453.5</v>
      </c>
      <c r="Z48" s="66"/>
      <c r="AA48" s="66"/>
      <c r="AB48" s="67">
        <f t="shared" si="1"/>
        <v>5639085453.5</v>
      </c>
      <c r="AC48" s="66">
        <v>1783523816.0168037</v>
      </c>
      <c r="AD48" s="66"/>
      <c r="AE48" s="66"/>
      <c r="AF48" s="67">
        <f t="shared" si="2"/>
        <v>1783523816.0168037</v>
      </c>
      <c r="AG48" s="66">
        <v>633817744.62283731</v>
      </c>
      <c r="AH48" s="66"/>
      <c r="AI48" s="66"/>
      <c r="AJ48" s="65">
        <f t="shared" si="3"/>
        <v>633817744.62283731</v>
      </c>
      <c r="AK48" s="65">
        <f>IF(SUM(AB48,AF48,X48,AJ48)=0,"",SUM((AB48,AF48,X48,AJ48)))</f>
        <v>13602083796.139641</v>
      </c>
      <c r="AL48" s="20"/>
      <c r="AM48" s="20"/>
      <c r="AN48" s="20"/>
      <c r="AO48" s="20"/>
      <c r="AP48" s="20"/>
      <c r="AQ48" s="20"/>
      <c r="AR48" s="20"/>
      <c r="AS48" s="20"/>
      <c r="AT48" s="20"/>
      <c r="AU48" s="20"/>
      <c r="AV48" s="20"/>
      <c r="AW48" s="20"/>
      <c r="CG48" s="17"/>
    </row>
    <row r="49" spans="1:85" s="62" customFormat="1" ht="99.95" customHeight="1">
      <c r="A49" s="92">
        <f t="shared" si="4"/>
        <v>38</v>
      </c>
      <c r="B49" s="47" t="s">
        <v>154</v>
      </c>
      <c r="C49" s="199" t="str">
        <f>IFERROR(VLOOKUP(FORMULACIÓN!B49,Lists!$A$2:$B$6,2,FALSE),"")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49" s="200" t="s">
        <v>277</v>
      </c>
      <c r="E49" s="200" t="s">
        <v>260</v>
      </c>
      <c r="F49" s="200" t="s">
        <v>278</v>
      </c>
      <c r="G49" s="200" t="s">
        <v>282</v>
      </c>
      <c r="H49" s="200" t="s">
        <v>283</v>
      </c>
      <c r="I49" s="58" t="s">
        <v>168</v>
      </c>
      <c r="J49" s="47" t="s">
        <v>161</v>
      </c>
      <c r="K49" s="58">
        <v>3</v>
      </c>
      <c r="L49" s="58">
        <v>2</v>
      </c>
      <c r="M49" s="58">
        <v>4</v>
      </c>
      <c r="N49" s="58">
        <v>4</v>
      </c>
      <c r="O49" s="58">
        <v>2</v>
      </c>
      <c r="P49" s="63">
        <f ca="1">IFERROR(IF($J49=Lists!$S$2,SUM(FORMULACIÓN!K49:O49),IF(FORMULACIÓN!$J49=Lists!$S$3,SUM(FORMULACIÓN!L49:O49),IF(FORMULACIÓN!$J49=Lists!$S$4,AVERAGE(FORMULACIÓN!L49:O49),IF(FORMULACIÓN!$J49=Lists!$S$5,OFFSET(K49,0,COUNTA(L49:O49)),IF(FORMULACIÓN!$J49=Lists!$S$6,AVERAGE(FORMULACIÓN!L49:O49),""))))),"")</f>
        <v>15</v>
      </c>
      <c r="Q49" s="51" t="str">
        <f ca="1">IF($I49=Lists!$R$3,TEXT(FORMULACIÓN!P49,"00,00%"),IF(FORMULACIÓN!P49=0,0,TEXT(FORMULACIÓN!P49,"##.###")))</f>
        <v>15</v>
      </c>
      <c r="R49" s="47" t="s">
        <v>281</v>
      </c>
      <c r="S49" s="205">
        <v>0.01</v>
      </c>
      <c r="T49" s="63" t="s">
        <v>163</v>
      </c>
      <c r="U49" s="66">
        <v>5545656782</v>
      </c>
      <c r="V49" s="66"/>
      <c r="W49" s="66"/>
      <c r="X49" s="67">
        <f t="shared" si="0"/>
        <v>5545656782</v>
      </c>
      <c r="Y49" s="66">
        <v>5639085453.5</v>
      </c>
      <c r="Z49" s="66"/>
      <c r="AA49" s="66"/>
      <c r="AB49" s="67">
        <f t="shared" si="1"/>
        <v>5639085453.5</v>
      </c>
      <c r="AC49" s="66">
        <v>5350571448.0504122</v>
      </c>
      <c r="AD49" s="66"/>
      <c r="AE49" s="66"/>
      <c r="AF49" s="67">
        <f t="shared" si="2"/>
        <v>5350571448.0504122</v>
      </c>
      <c r="AG49" s="66">
        <v>1901453233.8685122</v>
      </c>
      <c r="AH49" s="66"/>
      <c r="AI49" s="66"/>
      <c r="AJ49" s="65">
        <f t="shared" si="3"/>
        <v>1901453233.8685122</v>
      </c>
      <c r="AK49" s="65">
        <f>IF(SUM(AB49,AF49,X49,AJ49)=0,"",SUM((AB49,AF49,X49,AJ49)))</f>
        <v>18436766917.418922</v>
      </c>
      <c r="AL49" s="20"/>
      <c r="AM49" s="20"/>
      <c r="AN49" s="20"/>
      <c r="AO49" s="20"/>
      <c r="AP49" s="20"/>
      <c r="AQ49" s="20"/>
      <c r="AR49" s="20"/>
      <c r="AS49" s="20"/>
      <c r="AT49" s="20"/>
      <c r="AU49" s="20"/>
      <c r="AV49" s="20"/>
      <c r="AW49" s="20"/>
      <c r="CG49" s="17"/>
    </row>
    <row r="50" spans="1:85" s="62" customFormat="1" ht="99.95" customHeight="1">
      <c r="A50" s="92">
        <f t="shared" si="4"/>
        <v>39</v>
      </c>
      <c r="B50" s="47" t="s">
        <v>154</v>
      </c>
      <c r="C50" s="199" t="str">
        <f>IFERROR(VLOOKUP(FORMULACIÓN!B50,Lists!$A$2:$B$6,2,FALSE),"")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0" s="200" t="s">
        <v>277</v>
      </c>
      <c r="E50" s="200" t="s">
        <v>260</v>
      </c>
      <c r="F50" s="200" t="s">
        <v>278</v>
      </c>
      <c r="G50" s="200" t="s">
        <v>284</v>
      </c>
      <c r="H50" s="200" t="s">
        <v>285</v>
      </c>
      <c r="I50" s="58" t="s">
        <v>168</v>
      </c>
      <c r="J50" s="47" t="s">
        <v>161</v>
      </c>
      <c r="K50" s="58">
        <v>18</v>
      </c>
      <c r="L50" s="58">
        <v>2</v>
      </c>
      <c r="M50" s="58">
        <v>2</v>
      </c>
      <c r="N50" s="58">
        <v>2</v>
      </c>
      <c r="O50" s="58">
        <v>1</v>
      </c>
      <c r="P50" s="63">
        <f ca="1">IFERROR(IF($J50=Lists!$S$2,SUM(FORMULACIÓN!K50:O50),IF(FORMULACIÓN!$J50=Lists!$S$3,SUM(FORMULACIÓN!L50:O50),IF(FORMULACIÓN!$J50=Lists!$S$4,AVERAGE(FORMULACIÓN!L50:O50),IF(FORMULACIÓN!$J50=Lists!$S$5,OFFSET(K50,0,COUNTA(L50:O50)),IF(FORMULACIÓN!$J50=Lists!$S$6,AVERAGE(FORMULACIÓN!L50:O50),""))))),"")</f>
        <v>25</v>
      </c>
      <c r="Q50" s="51" t="str">
        <f ca="1">IF($I50=Lists!$R$3,TEXT(FORMULACIÓN!P50,"00,00%"),IF(FORMULACIÓN!P50=0,0,TEXT(FORMULACIÓN!P50,"##.###")))</f>
        <v>25</v>
      </c>
      <c r="R50" s="47" t="s">
        <v>281</v>
      </c>
      <c r="S50" s="205">
        <v>0.01</v>
      </c>
      <c r="T50" s="63" t="s">
        <v>163</v>
      </c>
      <c r="U50" s="66">
        <v>5545656782</v>
      </c>
      <c r="V50" s="66"/>
      <c r="W50" s="66"/>
      <c r="X50" s="67">
        <f t="shared" si="0"/>
        <v>5545656782</v>
      </c>
      <c r="Y50" s="66">
        <v>5639085453.5</v>
      </c>
      <c r="Z50" s="66"/>
      <c r="AA50" s="66"/>
      <c r="AB50" s="67">
        <f t="shared" si="1"/>
        <v>5639085453.5</v>
      </c>
      <c r="AC50" s="66">
        <v>6242333356.0588131</v>
      </c>
      <c r="AD50" s="66"/>
      <c r="AE50" s="66"/>
      <c r="AF50" s="67">
        <f t="shared" si="2"/>
        <v>6242333356.0588131</v>
      </c>
      <c r="AG50" s="66">
        <v>2218362106.1799307</v>
      </c>
      <c r="AH50" s="66"/>
      <c r="AI50" s="66"/>
      <c r="AJ50" s="65">
        <f t="shared" si="3"/>
        <v>2218362106.1799307</v>
      </c>
      <c r="AK50" s="65">
        <f>IF(SUM(AB50,AF50,X50,AJ50)=0,"",SUM((AB50,AF50,X50,AJ50)))</f>
        <v>19645437697.738747</v>
      </c>
      <c r="AL50" s="20"/>
      <c r="AM50" s="20"/>
      <c r="AN50" s="20"/>
      <c r="AO50" s="20"/>
      <c r="AP50" s="20"/>
      <c r="AQ50" s="20"/>
      <c r="AR50" s="20"/>
      <c r="AS50" s="20"/>
      <c r="AT50" s="20"/>
      <c r="AU50" s="20"/>
      <c r="AV50" s="20"/>
      <c r="AW50" s="20"/>
      <c r="CG50" s="17"/>
    </row>
    <row r="51" spans="1:85" s="62" customFormat="1" ht="99.95" customHeight="1">
      <c r="A51" s="92">
        <f t="shared" si="4"/>
        <v>40</v>
      </c>
      <c r="B51" s="47" t="s">
        <v>154</v>
      </c>
      <c r="C51" s="199" t="str">
        <f>IFERROR(VLOOKUP(FORMULACIÓN!B51,Lists!$A$2:$B$6,2,FALSE),"")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1" s="200" t="s">
        <v>277</v>
      </c>
      <c r="E51" s="200" t="s">
        <v>260</v>
      </c>
      <c r="F51" s="200" t="s">
        <v>278</v>
      </c>
      <c r="G51" s="200" t="s">
        <v>284</v>
      </c>
      <c r="H51" s="200" t="s">
        <v>286</v>
      </c>
      <c r="I51" s="58" t="s">
        <v>168</v>
      </c>
      <c r="J51" s="47" t="s">
        <v>161</v>
      </c>
      <c r="K51" s="58">
        <v>23</v>
      </c>
      <c r="L51" s="58">
        <v>2</v>
      </c>
      <c r="M51" s="58">
        <v>2</v>
      </c>
      <c r="N51" s="58">
        <v>2</v>
      </c>
      <c r="O51" s="58">
        <v>1</v>
      </c>
      <c r="P51" s="63">
        <f ca="1">IFERROR(IF($J51=Lists!$S$2,SUM(FORMULACIÓN!K51:O51),IF(FORMULACIÓN!$J51=Lists!$S$3,SUM(FORMULACIÓN!L51:O51),IF(FORMULACIÓN!$J51=Lists!$S$4,AVERAGE(FORMULACIÓN!L51:O51),IF(FORMULACIÓN!$J51=Lists!$S$5,OFFSET(K51,0,COUNTA(L51:O51)),IF(FORMULACIÓN!$J51=Lists!$S$6,AVERAGE(FORMULACIÓN!L51:O51),""))))),"")</f>
        <v>30</v>
      </c>
      <c r="Q51" s="51" t="str">
        <f ca="1">IF($I51=Lists!$R$3,TEXT(FORMULACIÓN!P51,"00,00%"),IF(FORMULACIÓN!P51=0,0,TEXT(FORMULACIÓN!P51,"##.###")))</f>
        <v>30</v>
      </c>
      <c r="R51" s="47" t="s">
        <v>281</v>
      </c>
      <c r="S51" s="205">
        <v>0.01</v>
      </c>
      <c r="T51" s="63" t="s">
        <v>163</v>
      </c>
      <c r="U51" s="66">
        <v>5545656782</v>
      </c>
      <c r="V51" s="66"/>
      <c r="W51" s="66"/>
      <c r="X51" s="67">
        <f t="shared" si="0"/>
        <v>5545656782</v>
      </c>
      <c r="Y51" s="66">
        <v>5639085453.5</v>
      </c>
      <c r="Z51" s="66"/>
      <c r="AA51" s="66"/>
      <c r="AB51" s="67">
        <f t="shared" si="1"/>
        <v>5639085453.5</v>
      </c>
      <c r="AC51" s="66">
        <v>8025857172.0756168</v>
      </c>
      <c r="AD51" s="66"/>
      <c r="AE51" s="66"/>
      <c r="AF51" s="67">
        <f t="shared" si="2"/>
        <v>8025857172.0756168</v>
      </c>
      <c r="AG51" s="66">
        <v>2852179850.8027682</v>
      </c>
      <c r="AH51" s="66"/>
      <c r="AI51" s="66"/>
      <c r="AJ51" s="65">
        <f t="shared" si="3"/>
        <v>2852179850.8027682</v>
      </c>
      <c r="AK51" s="65">
        <f>IF(SUM(AB51,AF51,X51,AJ51)=0,"",SUM((AB51,AF51,X51,AJ51)))</f>
        <v>22062779258.378384</v>
      </c>
      <c r="AL51" s="20"/>
      <c r="AM51" s="20"/>
      <c r="AN51" s="20"/>
      <c r="AO51" s="20"/>
      <c r="AP51" s="20"/>
      <c r="AQ51" s="20"/>
      <c r="AR51" s="20"/>
      <c r="AS51" s="20"/>
      <c r="AT51" s="20"/>
      <c r="AU51" s="20"/>
      <c r="AV51" s="20"/>
      <c r="AW51" s="20"/>
      <c r="CG51" s="17"/>
    </row>
    <row r="52" spans="1:85" s="62" customFormat="1" ht="99.95" customHeight="1">
      <c r="A52" s="92">
        <f t="shared" si="4"/>
        <v>41</v>
      </c>
      <c r="B52" s="47" t="s">
        <v>154</v>
      </c>
      <c r="C52" s="199" t="str">
        <f>IFERROR(VLOOKUP(FORMULACIÓN!B52,Lists!$A$2:$B$6,2,FALSE),"")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2" s="200" t="s">
        <v>277</v>
      </c>
      <c r="E52" s="200" t="s">
        <v>260</v>
      </c>
      <c r="F52" s="200" t="s">
        <v>278</v>
      </c>
      <c r="G52" s="200" t="s">
        <v>284</v>
      </c>
      <c r="H52" s="200" t="s">
        <v>287</v>
      </c>
      <c r="I52" s="58" t="s">
        <v>168</v>
      </c>
      <c r="J52" s="47" t="s">
        <v>161</v>
      </c>
      <c r="K52" s="58">
        <v>4</v>
      </c>
      <c r="L52" s="58">
        <v>2</v>
      </c>
      <c r="M52" s="58">
        <v>1</v>
      </c>
      <c r="N52" s="58">
        <v>2</v>
      </c>
      <c r="O52" s="58">
        <v>1</v>
      </c>
      <c r="P52" s="63">
        <f ca="1">IFERROR(IF($J52=Lists!$S$2,SUM(FORMULACIÓN!K52:O52),IF(FORMULACIÓN!$J52=Lists!$S$3,SUM(FORMULACIÓN!L52:O52),IF(FORMULACIÓN!$J52=Lists!$S$4,AVERAGE(FORMULACIÓN!L52:O52),IF(FORMULACIÓN!$J52=Lists!$S$5,OFFSET(K52,0,COUNTA(L52:O52)),IF(FORMULACIÓN!$J52=Lists!$S$6,AVERAGE(FORMULACIÓN!L52:O52),""))))),"")</f>
        <v>10</v>
      </c>
      <c r="Q52" s="51" t="str">
        <f ca="1">IF($I52=Lists!$R$3,TEXT(FORMULACIÓN!P52,"00,00%"),IF(FORMULACIÓN!P52=0,0,TEXT(FORMULACIÓN!P52,"##.###")))</f>
        <v>10</v>
      </c>
      <c r="R52" s="47" t="s">
        <v>281</v>
      </c>
      <c r="S52" s="205">
        <v>0.01</v>
      </c>
      <c r="T52" s="63" t="s">
        <v>163</v>
      </c>
      <c r="U52" s="66">
        <v>5545656782</v>
      </c>
      <c r="V52" s="66"/>
      <c r="W52" s="66"/>
      <c r="X52" s="67">
        <f t="shared" si="0"/>
        <v>5545656782</v>
      </c>
      <c r="Y52" s="66">
        <v>5639085453.5</v>
      </c>
      <c r="Z52" s="66"/>
      <c r="AA52" s="66"/>
      <c r="AB52" s="67">
        <f t="shared" si="1"/>
        <v>5639085453.5</v>
      </c>
      <c r="AC52" s="66">
        <v>11592904804.109224</v>
      </c>
      <c r="AD52" s="66"/>
      <c r="AE52" s="66"/>
      <c r="AF52" s="67">
        <f t="shared" si="2"/>
        <v>11592904804.109224</v>
      </c>
      <c r="AG52" s="66">
        <v>4119815340.0484424</v>
      </c>
      <c r="AH52" s="66"/>
      <c r="AI52" s="66"/>
      <c r="AJ52" s="65">
        <f t="shared" si="3"/>
        <v>4119815340.0484424</v>
      </c>
      <c r="AK52" s="65">
        <f>IF(SUM(AB52,AF52,X52,AJ52)=0,"",SUM((AB52,AF52,X52,AJ52)))</f>
        <v>26897462379.657665</v>
      </c>
      <c r="AL52" s="20"/>
      <c r="AM52" s="20"/>
      <c r="AN52" s="20"/>
      <c r="AO52" s="20"/>
      <c r="AP52" s="20"/>
      <c r="AQ52" s="20"/>
      <c r="AR52" s="20"/>
      <c r="AS52" s="20"/>
      <c r="AT52" s="20"/>
      <c r="AU52" s="20"/>
      <c r="AV52" s="20"/>
      <c r="AW52" s="20"/>
      <c r="CG52" s="17"/>
    </row>
    <row r="53" spans="1:85" s="62" customFormat="1" ht="99.95" customHeight="1">
      <c r="A53" s="92">
        <f t="shared" si="4"/>
        <v>42</v>
      </c>
      <c r="B53" s="47" t="s">
        <v>154</v>
      </c>
      <c r="C53" s="199" t="str">
        <f>IFERROR(VLOOKUP(FORMULACIÓN!B53,Lists!$A$2:$B$6,2,FALSE),"")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3" s="200" t="s">
        <v>246</v>
      </c>
      <c r="E53" s="200" t="s">
        <v>260</v>
      </c>
      <c r="F53" s="58" t="s">
        <v>808</v>
      </c>
      <c r="G53" s="200" t="s">
        <v>288</v>
      </c>
      <c r="H53" s="200" t="s">
        <v>289</v>
      </c>
      <c r="I53" s="58" t="s">
        <v>168</v>
      </c>
      <c r="J53" s="47" t="s">
        <v>169</v>
      </c>
      <c r="K53" s="58">
        <v>0</v>
      </c>
      <c r="L53" s="58">
        <v>1</v>
      </c>
      <c r="M53" s="58">
        <v>0</v>
      </c>
      <c r="N53" s="58">
        <v>0</v>
      </c>
      <c r="O53" s="58">
        <v>0</v>
      </c>
      <c r="P53" s="63">
        <f ca="1">IFERROR(IF($J53=Lists!$S$2,SUM(FORMULACIÓN!K53:O53),IF(FORMULACIÓN!$J53=Lists!$S$3,SUM(FORMULACIÓN!L53:O53),IF(FORMULACIÓN!$J53=Lists!$S$4,AVERAGE(FORMULACIÓN!L53:O53),IF(FORMULACIÓN!$J53=Lists!$S$5,OFFSET(K53,0,COUNTA(L53:O53)),IF(FORMULACIÓN!$J53=Lists!$S$6,AVERAGE(FORMULACIÓN!L53:O53),""))))),"")</f>
        <v>1</v>
      </c>
      <c r="Q53" s="51" t="str">
        <f ca="1">IF($I53=Lists!$R$3,TEXT(FORMULACIÓN!P53,"00,00%"),IF(FORMULACIÓN!P53=0,0,TEXT(FORMULACIÓN!P53,"##.###")))</f>
        <v>1</v>
      </c>
      <c r="R53" s="47" t="s">
        <v>281</v>
      </c>
      <c r="S53" s="205">
        <v>0.01</v>
      </c>
      <c r="T53" s="63" t="s">
        <v>163</v>
      </c>
      <c r="U53" s="66">
        <v>5545656782</v>
      </c>
      <c r="V53" s="66"/>
      <c r="W53" s="66"/>
      <c r="X53" s="67">
        <f t="shared" si="0"/>
        <v>5545656782</v>
      </c>
      <c r="Y53" s="66">
        <v>5639085453.5</v>
      </c>
      <c r="Z53" s="66"/>
      <c r="AA53" s="66"/>
      <c r="AB53" s="67">
        <f t="shared" si="1"/>
        <v>5639085453.5</v>
      </c>
      <c r="AC53" s="66">
        <v>214022857.92201647</v>
      </c>
      <c r="AD53" s="66"/>
      <c r="AE53" s="66"/>
      <c r="AF53" s="67">
        <f t="shared" si="2"/>
        <v>214022857.92201647</v>
      </c>
      <c r="AG53" s="66">
        <v>76058129.354740486</v>
      </c>
      <c r="AH53" s="66"/>
      <c r="AI53" s="66"/>
      <c r="AJ53" s="65">
        <f t="shared" si="3"/>
        <v>76058129.354740486</v>
      </c>
      <c r="AK53" s="65">
        <f>IF(SUM(AB53,AF53,X53,AJ53)=0,"",SUM((AB53,AF53,X53,AJ53)))</f>
        <v>11474823222.776756</v>
      </c>
      <c r="AL53" s="20"/>
      <c r="AM53" s="20"/>
      <c r="AN53" s="20"/>
      <c r="AO53" s="20"/>
      <c r="AP53" s="20"/>
      <c r="AQ53" s="20"/>
      <c r="AR53" s="20"/>
      <c r="AS53" s="20"/>
      <c r="AT53" s="20"/>
      <c r="AU53" s="20"/>
      <c r="AV53" s="20"/>
      <c r="AW53" s="20"/>
      <c r="CG53" s="17"/>
    </row>
    <row r="54" spans="1:85" s="62" customFormat="1" ht="99.95" customHeight="1">
      <c r="A54" s="92">
        <f t="shared" si="4"/>
        <v>43</v>
      </c>
      <c r="B54" s="47" t="s">
        <v>154</v>
      </c>
      <c r="C54" s="199" t="str">
        <f>IFERROR(VLOOKUP(FORMULACIÓN!B54,Lists!$A$2:$B$6,2,FALSE),"")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4" s="200" t="s">
        <v>194</v>
      </c>
      <c r="E54" s="200" t="s">
        <v>260</v>
      </c>
      <c r="F54" s="200" t="s">
        <v>290</v>
      </c>
      <c r="G54" s="200" t="s">
        <v>291</v>
      </c>
      <c r="H54" s="200" t="s">
        <v>292</v>
      </c>
      <c r="I54" s="58" t="s">
        <v>168</v>
      </c>
      <c r="J54" s="47" t="s">
        <v>169</v>
      </c>
      <c r="K54" s="201">
        <v>0</v>
      </c>
      <c r="L54" s="197">
        <v>1</v>
      </c>
      <c r="M54" s="201">
        <v>0</v>
      </c>
      <c r="N54" s="201">
        <v>0</v>
      </c>
      <c r="O54" s="201">
        <v>0</v>
      </c>
      <c r="P54" s="63">
        <f ca="1">IFERROR(IF($J54=Lists!$S$2,SUM(FORMULACIÓN!K54:O54),IF(FORMULACIÓN!$J54=Lists!$S$3,SUM(FORMULACIÓN!L54:O54),IF(FORMULACIÓN!$J54=Lists!$S$4,AVERAGE(FORMULACIÓN!L54:O54),IF(FORMULACIÓN!$J54=Lists!$S$5,OFFSET(K54,0,COUNTA(L54:O54)),IF(FORMULACIÓN!$J54=Lists!$S$6,AVERAGE(FORMULACIÓN!L54:O54),""))))),"")</f>
        <v>1</v>
      </c>
      <c r="Q54" s="51" t="str">
        <f ca="1">IF($I54=Lists!$R$3,TEXT(FORMULACIÓN!P54,"00,00%"),IF(FORMULACIÓN!P54=0,0,TEXT(FORMULACIÓN!P54,"##.###")))</f>
        <v>1</v>
      </c>
      <c r="R54" s="47" t="s">
        <v>293</v>
      </c>
      <c r="S54" s="205">
        <v>3.8461538461538464E-3</v>
      </c>
      <c r="T54" s="63" t="s">
        <v>163</v>
      </c>
      <c r="U54" s="66">
        <v>1570914843.9230769</v>
      </c>
      <c r="V54" s="66"/>
      <c r="W54" s="66"/>
      <c r="X54" s="67">
        <f t="shared" si="0"/>
        <v>1570914843.9230769</v>
      </c>
      <c r="Y54" s="66">
        <v>1675614188.9230769</v>
      </c>
      <c r="Z54" s="66"/>
      <c r="AA54" s="66"/>
      <c r="AB54" s="67">
        <f t="shared" si="1"/>
        <v>1675614188.9230769</v>
      </c>
      <c r="AC54" s="66">
        <v>777435014.82172596</v>
      </c>
      <c r="AD54" s="66"/>
      <c r="AE54" s="66"/>
      <c r="AF54" s="67">
        <f t="shared" si="2"/>
        <v>777435014.82172596</v>
      </c>
      <c r="AG54" s="66">
        <v>275039836.78328121</v>
      </c>
      <c r="AH54" s="66"/>
      <c r="AI54" s="66"/>
      <c r="AJ54" s="65">
        <f t="shared" si="3"/>
        <v>275039836.78328121</v>
      </c>
      <c r="AK54" s="65">
        <f>IF(SUM(AB54,AF54,X54,AJ54)=0,"",SUM((AB54,AF54,X54,AJ54)))</f>
        <v>4299003884.4511614</v>
      </c>
      <c r="AL54" s="20"/>
      <c r="AM54" s="20"/>
      <c r="AN54" s="20"/>
      <c r="AO54" s="20"/>
      <c r="AP54" s="20"/>
      <c r="AQ54" s="20"/>
      <c r="AR54" s="20"/>
      <c r="AS54" s="20"/>
      <c r="AT54" s="20"/>
      <c r="AU54" s="20"/>
      <c r="AV54" s="20"/>
      <c r="AW54" s="20"/>
      <c r="CG54" s="17"/>
    </row>
    <row r="55" spans="1:85" s="62" customFormat="1" ht="99.95" customHeight="1">
      <c r="A55" s="92">
        <f t="shared" si="4"/>
        <v>44</v>
      </c>
      <c r="B55" s="47" t="s">
        <v>154</v>
      </c>
      <c r="C55" s="199" t="str">
        <f>IFERROR(VLOOKUP(FORMULACIÓN!B55,Lists!$A$2:$B$6,2,FALSE),"")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5" s="200" t="s">
        <v>194</v>
      </c>
      <c r="E55" s="200" t="s">
        <v>260</v>
      </c>
      <c r="F55" s="200" t="s">
        <v>290</v>
      </c>
      <c r="G55" s="200" t="s">
        <v>294</v>
      </c>
      <c r="H55" s="200" t="s">
        <v>295</v>
      </c>
      <c r="I55" s="58" t="s">
        <v>168</v>
      </c>
      <c r="J55" s="47" t="s">
        <v>169</v>
      </c>
      <c r="K55" s="201">
        <v>0</v>
      </c>
      <c r="L55" s="197">
        <v>1</v>
      </c>
      <c r="M55" s="201">
        <v>0</v>
      </c>
      <c r="N55" s="201">
        <v>0</v>
      </c>
      <c r="O55" s="201">
        <v>0</v>
      </c>
      <c r="P55" s="63">
        <f ca="1">IFERROR(IF($J55=Lists!$S$2,SUM(FORMULACIÓN!K55:O55),IF(FORMULACIÓN!$J55=Lists!$S$3,SUM(FORMULACIÓN!L55:O55),IF(FORMULACIÓN!$J55=Lists!$S$4,AVERAGE(FORMULACIÓN!L55:O55),IF(FORMULACIÓN!$J55=Lists!$S$5,OFFSET(K55,0,COUNTA(L55:O55)),IF(FORMULACIÓN!$J55=Lists!$S$6,AVERAGE(FORMULACIÓN!L55:O55),""))))),"")</f>
        <v>1</v>
      </c>
      <c r="Q55" s="51" t="str">
        <f ca="1">IF($I55=Lists!$R$3,TEXT(FORMULACIÓN!P55,"00,00%"),IF(FORMULACIÓN!P55=0,0,TEXT(FORMULACIÓN!P55,"##.###")))</f>
        <v>1</v>
      </c>
      <c r="R55" s="47" t="s">
        <v>293</v>
      </c>
      <c r="S55" s="205">
        <v>3.8461538461538464E-3</v>
      </c>
      <c r="T55" s="63" t="s">
        <v>163</v>
      </c>
      <c r="U55" s="66">
        <v>1570914843.9230769</v>
      </c>
      <c r="V55" s="66"/>
      <c r="W55" s="66"/>
      <c r="X55" s="67">
        <f t="shared" si="0"/>
        <v>1570914843.9230769</v>
      </c>
      <c r="Y55" s="66">
        <v>1675614188.9230769</v>
      </c>
      <c r="Z55" s="66"/>
      <c r="AA55" s="66"/>
      <c r="AB55" s="67">
        <f t="shared" si="1"/>
        <v>1675614188.9230769</v>
      </c>
      <c r="AC55" s="66">
        <v>3109740059.2869039</v>
      </c>
      <c r="AD55" s="66"/>
      <c r="AE55" s="66"/>
      <c r="AF55" s="67">
        <f t="shared" si="2"/>
        <v>3109740059.2869039</v>
      </c>
      <c r="AG55" s="66">
        <v>1100159347.1331248</v>
      </c>
      <c r="AH55" s="66"/>
      <c r="AI55" s="66"/>
      <c r="AJ55" s="65">
        <f t="shared" si="3"/>
        <v>1100159347.1331248</v>
      </c>
      <c r="AK55" s="65">
        <f>IF(SUM(AB55,AF55,X55,AJ55)=0,"",SUM((AB55,AF55,X55,AJ55)))</f>
        <v>7456428439.2661819</v>
      </c>
      <c r="AL55" s="20"/>
      <c r="AM55" s="20"/>
      <c r="AN55" s="20"/>
      <c r="AO55" s="20"/>
      <c r="AP55" s="20"/>
      <c r="AQ55" s="20"/>
      <c r="AR55" s="20"/>
      <c r="AS55" s="20"/>
      <c r="AT55" s="20"/>
      <c r="AU55" s="20"/>
      <c r="AV55" s="20"/>
      <c r="AW55" s="20"/>
      <c r="CG55" s="17"/>
    </row>
    <row r="56" spans="1:85" s="62" customFormat="1" ht="99.95" customHeight="1">
      <c r="A56" s="92">
        <f t="shared" si="4"/>
        <v>45</v>
      </c>
      <c r="B56" s="47" t="s">
        <v>154</v>
      </c>
      <c r="C56" s="199" t="str">
        <f>IFERROR(VLOOKUP(FORMULACIÓN!B56,Lists!$A$2:$B$6,2,FALSE),"")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6" s="200" t="s">
        <v>277</v>
      </c>
      <c r="E56" s="200" t="s">
        <v>260</v>
      </c>
      <c r="F56" s="200" t="s">
        <v>296</v>
      </c>
      <c r="G56" s="200" t="s">
        <v>297</v>
      </c>
      <c r="H56" s="200" t="s">
        <v>298</v>
      </c>
      <c r="I56" s="58" t="s">
        <v>160</v>
      </c>
      <c r="J56" s="47" t="s">
        <v>161</v>
      </c>
      <c r="K56" s="59">
        <v>0</v>
      </c>
      <c r="L56" s="196">
        <v>0.1</v>
      </c>
      <c r="M56" s="59">
        <v>0.3</v>
      </c>
      <c r="N56" s="59">
        <v>0.3</v>
      </c>
      <c r="O56" s="59">
        <v>0.3</v>
      </c>
      <c r="P56" s="63">
        <f ca="1">IFERROR(IF($J56=Lists!$S$2,SUM(FORMULACIÓN!K56:O56),IF(FORMULACIÓN!$J56=Lists!$S$3,SUM(FORMULACIÓN!L56:O56),IF(FORMULACIÓN!$J56=Lists!$S$4,AVERAGE(FORMULACIÓN!L56:O56),IF(FORMULACIÓN!$J56=Lists!$S$5,OFFSET(K56,0,COUNTA(L56:O56)),IF(FORMULACIÓN!$J56=Lists!$S$6,AVERAGE(FORMULACIÓN!L56:O56),""))))),"")</f>
        <v>1</v>
      </c>
      <c r="Q56" s="51" t="str">
        <f ca="1">IF($I56=Lists!$R$3,TEXT(FORMULACIÓN!P56,"00,00%"),IF(FORMULACIÓN!P56=0,0,TEXT(FORMULACIÓN!P56,"##.###")))</f>
        <v>100,00%</v>
      </c>
      <c r="R56" s="47" t="s">
        <v>293</v>
      </c>
      <c r="S56" s="205">
        <v>3.8461538461538464E-3</v>
      </c>
      <c r="T56" s="63" t="s">
        <v>163</v>
      </c>
      <c r="U56" s="66">
        <v>1570914843.9230769</v>
      </c>
      <c r="V56" s="66"/>
      <c r="W56" s="66"/>
      <c r="X56" s="67">
        <f t="shared" si="0"/>
        <v>1570914843.9230769</v>
      </c>
      <c r="Y56" s="66">
        <v>1675614188.9230769</v>
      </c>
      <c r="Z56" s="66"/>
      <c r="AA56" s="66"/>
      <c r="AB56" s="67">
        <f t="shared" si="1"/>
        <v>1675614188.9230769</v>
      </c>
      <c r="AC56" s="66">
        <v>1394021405.8872325</v>
      </c>
      <c r="AD56" s="66"/>
      <c r="AE56" s="66"/>
      <c r="AF56" s="67">
        <f t="shared" si="2"/>
        <v>1394021405.8872325</v>
      </c>
      <c r="AG56" s="66">
        <v>493174879.74933177</v>
      </c>
      <c r="AH56" s="66"/>
      <c r="AI56" s="66"/>
      <c r="AJ56" s="65">
        <f t="shared" si="3"/>
        <v>493174879.74933177</v>
      </c>
      <c r="AK56" s="65">
        <f>IF(SUM(AB56,AF56,X56,AJ56)=0,"",SUM((AB56,AF56,X56,AJ56)))</f>
        <v>5133725318.4827175</v>
      </c>
      <c r="AL56" s="20"/>
      <c r="AM56" s="20"/>
      <c r="AN56" s="20"/>
      <c r="AO56" s="20"/>
      <c r="AP56" s="20"/>
      <c r="AQ56" s="20"/>
      <c r="AR56" s="20"/>
      <c r="AS56" s="20"/>
      <c r="AT56" s="20"/>
      <c r="AU56" s="20"/>
      <c r="AV56" s="20"/>
      <c r="AW56" s="20"/>
      <c r="CG56" s="17"/>
    </row>
    <row r="57" spans="1:85" s="62" customFormat="1" ht="99.95" customHeight="1">
      <c r="A57" s="92">
        <f t="shared" si="4"/>
        <v>46</v>
      </c>
      <c r="B57" s="47" t="s">
        <v>154</v>
      </c>
      <c r="C57" s="199" t="str">
        <f>IFERROR(VLOOKUP(FORMULACIÓN!B57,Lists!$A$2:$B$6,2,FALSE),"")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7" s="200" t="s">
        <v>277</v>
      </c>
      <c r="E57" s="200" t="s">
        <v>260</v>
      </c>
      <c r="F57" s="200" t="s">
        <v>296</v>
      </c>
      <c r="G57" s="200" t="s">
        <v>297</v>
      </c>
      <c r="H57" s="200" t="s">
        <v>299</v>
      </c>
      <c r="I57" s="58" t="s">
        <v>168</v>
      </c>
      <c r="J57" s="47" t="s">
        <v>161</v>
      </c>
      <c r="K57" s="201">
        <v>0</v>
      </c>
      <c r="L57" s="197">
        <v>30</v>
      </c>
      <c r="M57" s="201">
        <v>30</v>
      </c>
      <c r="N57" s="201">
        <v>30</v>
      </c>
      <c r="O57" s="201">
        <v>10</v>
      </c>
      <c r="P57" s="63">
        <f ca="1">IFERROR(IF($J57=Lists!$S$2,SUM(FORMULACIÓN!K57:O57),IF(FORMULACIÓN!$J57=Lists!$S$3,SUM(FORMULACIÓN!L57:O57),IF(FORMULACIÓN!$J57=Lists!$S$4,AVERAGE(FORMULACIÓN!L57:O57),IF(FORMULACIÓN!$J57=Lists!$S$5,OFFSET(K57,0,COUNTA(L57:O57)),IF(FORMULACIÓN!$J57=Lists!$S$6,AVERAGE(FORMULACIÓN!L57:O57),""))))),"")</f>
        <v>100</v>
      </c>
      <c r="Q57" s="51" t="str">
        <f ca="1">IF($I57=Lists!$R$3,TEXT(FORMULACIÓN!P57,"00,00%"),IF(FORMULACIÓN!P57=0,0,TEXT(FORMULACIÓN!P57,"##.###")))</f>
        <v>100</v>
      </c>
      <c r="R57" s="47" t="s">
        <v>293</v>
      </c>
      <c r="S57" s="205">
        <v>3.8461538461538464E-3</v>
      </c>
      <c r="T57" s="63" t="s">
        <v>163</v>
      </c>
      <c r="U57" s="66">
        <v>1570914843.9230769</v>
      </c>
      <c r="V57" s="66"/>
      <c r="W57" s="66"/>
      <c r="X57" s="67">
        <f t="shared" si="0"/>
        <v>1570914843.9230769</v>
      </c>
      <c r="Y57" s="66">
        <v>1675614188.9230769</v>
      </c>
      <c r="Z57" s="66"/>
      <c r="AA57" s="66"/>
      <c r="AB57" s="67">
        <f t="shared" si="1"/>
        <v>1675614188.9230769</v>
      </c>
      <c r="AC57" s="66">
        <v>884667430.65920532</v>
      </c>
      <c r="AD57" s="66"/>
      <c r="AE57" s="66"/>
      <c r="AF57" s="67">
        <f t="shared" si="2"/>
        <v>884667430.65920532</v>
      </c>
      <c r="AG57" s="66">
        <v>312976365.99476826</v>
      </c>
      <c r="AH57" s="66"/>
      <c r="AI57" s="66"/>
      <c r="AJ57" s="65">
        <f t="shared" si="3"/>
        <v>312976365.99476826</v>
      </c>
      <c r="AK57" s="65">
        <f>IF(SUM(AB57,AF57,X57,AJ57)=0,"",SUM((AB57,AF57,X57,AJ57)))</f>
        <v>4444172829.5001268</v>
      </c>
      <c r="AL57" s="20"/>
      <c r="AM57" s="20"/>
      <c r="AN57" s="20"/>
      <c r="AO57" s="20"/>
      <c r="AP57" s="20"/>
      <c r="AQ57" s="20"/>
      <c r="AR57" s="20"/>
      <c r="AS57" s="20"/>
      <c r="AT57" s="20"/>
      <c r="AU57" s="20"/>
      <c r="AV57" s="20"/>
      <c r="AW57" s="20"/>
      <c r="CG57" s="17"/>
    </row>
    <row r="58" spans="1:85" s="62" customFormat="1" ht="99.95" customHeight="1">
      <c r="A58" s="92">
        <f t="shared" si="4"/>
        <v>47</v>
      </c>
      <c r="B58" s="47" t="s">
        <v>154</v>
      </c>
      <c r="C58" s="199" t="str">
        <f>IFERROR(VLOOKUP(FORMULACIÓN!B58,Lists!$A$2:$B$6,2,FALSE),"")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8" s="200" t="s">
        <v>300</v>
      </c>
      <c r="E58" s="200" t="s">
        <v>260</v>
      </c>
      <c r="F58" s="200" t="s">
        <v>301</v>
      </c>
      <c r="G58" s="200" t="s">
        <v>302</v>
      </c>
      <c r="H58" s="200" t="s">
        <v>303</v>
      </c>
      <c r="I58" s="58" t="s">
        <v>168</v>
      </c>
      <c r="J58" s="47" t="s">
        <v>169</v>
      </c>
      <c r="K58" s="58">
        <v>0</v>
      </c>
      <c r="L58" s="58">
        <v>0</v>
      </c>
      <c r="M58" s="58">
        <v>1</v>
      </c>
      <c r="N58" s="58">
        <v>0</v>
      </c>
      <c r="O58" s="58">
        <v>0</v>
      </c>
      <c r="P58" s="63">
        <f ca="1">IFERROR(IF($J58=Lists!$S$2,SUM(FORMULACIÓN!K58:O58),IF(FORMULACIÓN!$J58=Lists!$S$3,SUM(FORMULACIÓN!L58:O58),IF(FORMULACIÓN!$J58=Lists!$S$4,AVERAGE(FORMULACIÓN!L58:O58),IF(FORMULACIÓN!$J58=Lists!$S$5,OFFSET(K58,0,COUNTA(L58:O58)),IF(FORMULACIÓN!$J58=Lists!$S$6,AVERAGE(FORMULACIÓN!L58:O58),""))))),"")</f>
        <v>1</v>
      </c>
      <c r="Q58" s="51" t="str">
        <f ca="1">IF($I58=Lists!$R$3,TEXT(FORMULACIÓN!P58,"00,00%"),IF(FORMULACIÓN!P58=0,0,TEXT(FORMULACIÓN!P58,"##.###")))</f>
        <v>1</v>
      </c>
      <c r="R58" s="47" t="s">
        <v>293</v>
      </c>
      <c r="S58" s="205">
        <v>3.8461538461538464E-3</v>
      </c>
      <c r="T58" s="63" t="s">
        <v>163</v>
      </c>
      <c r="U58" s="66">
        <v>1570914843.9230769</v>
      </c>
      <c r="V58" s="66"/>
      <c r="W58" s="66"/>
      <c r="X58" s="67">
        <f t="shared" si="0"/>
        <v>1570914843.9230769</v>
      </c>
      <c r="Y58" s="66">
        <v>1675614188.9230769</v>
      </c>
      <c r="Z58" s="66"/>
      <c r="AA58" s="66"/>
      <c r="AB58" s="67">
        <f t="shared" si="1"/>
        <v>1675614188.9230769</v>
      </c>
      <c r="AC58" s="66">
        <v>3485053514.718081</v>
      </c>
      <c r="AD58" s="66"/>
      <c r="AE58" s="66"/>
      <c r="AF58" s="67">
        <f t="shared" si="2"/>
        <v>3485053514.718081</v>
      </c>
      <c r="AG58" s="66">
        <v>1232937199.3733294</v>
      </c>
      <c r="AH58" s="66"/>
      <c r="AI58" s="66"/>
      <c r="AJ58" s="65">
        <f t="shared" si="3"/>
        <v>1232937199.3733294</v>
      </c>
      <c r="AK58" s="65">
        <f>IF(SUM(AB58,AF58,X58,AJ58)=0,"",SUM((AB58,AF58,X58,AJ58)))</f>
        <v>7964519746.9375639</v>
      </c>
      <c r="AL58" s="20"/>
      <c r="AM58" s="20"/>
      <c r="AN58" s="20"/>
      <c r="AO58" s="20"/>
      <c r="AP58" s="20"/>
      <c r="AQ58" s="20"/>
      <c r="AR58" s="20"/>
      <c r="AS58" s="20"/>
      <c r="AT58" s="20"/>
      <c r="AU58" s="20"/>
      <c r="AV58" s="20"/>
      <c r="AW58" s="20"/>
      <c r="CG58" s="17"/>
    </row>
    <row r="59" spans="1:85" s="62" customFormat="1" ht="99.95" customHeight="1">
      <c r="A59" s="92">
        <f t="shared" si="4"/>
        <v>48</v>
      </c>
      <c r="B59" s="47" t="s">
        <v>154</v>
      </c>
      <c r="C59" s="199" t="str">
        <f>IFERROR(VLOOKUP(FORMULACIÓN!B59,Lists!$A$2:$B$6,2,FALSE),"")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59" s="200" t="s">
        <v>277</v>
      </c>
      <c r="E59" s="200" t="s">
        <v>260</v>
      </c>
      <c r="F59" s="200" t="s">
        <v>304</v>
      </c>
      <c r="G59" s="200" t="s">
        <v>305</v>
      </c>
      <c r="H59" s="200" t="s">
        <v>306</v>
      </c>
      <c r="I59" s="58" t="s">
        <v>160</v>
      </c>
      <c r="J59" s="47" t="s">
        <v>161</v>
      </c>
      <c r="K59" s="59">
        <v>0.6</v>
      </c>
      <c r="L59" s="196">
        <v>0.05</v>
      </c>
      <c r="M59" s="59">
        <v>0.05</v>
      </c>
      <c r="N59" s="59">
        <v>0.05</v>
      </c>
      <c r="O59" s="59">
        <v>0.05</v>
      </c>
      <c r="P59" s="63">
        <f ca="1">IFERROR(IF($J59=Lists!$S$2,SUM(FORMULACIÓN!K59:O59),IF(FORMULACIÓN!$J59=Lists!$S$3,SUM(FORMULACIÓN!L59:O59),IF(FORMULACIÓN!$J59=Lists!$S$4,AVERAGE(FORMULACIÓN!L59:O59),IF(FORMULACIÓN!$J59=Lists!$S$5,OFFSET(K59,0,COUNTA(L59:O59)),IF(FORMULACIÓN!$J59=Lists!$S$6,AVERAGE(FORMULACIÓN!L59:O59),""))))),"")</f>
        <v>0.80000000000000016</v>
      </c>
      <c r="Q59" s="51" t="str">
        <f ca="1">IF($I59=Lists!$R$3,TEXT(FORMULACIÓN!P59,"00,00%"),IF(FORMULACIÓN!P59=0,0,TEXT(FORMULACIÓN!P59,"##.###")))</f>
        <v>80,00%</v>
      </c>
      <c r="R59" s="47" t="s">
        <v>293</v>
      </c>
      <c r="S59" s="205">
        <v>3.8461538461538464E-3</v>
      </c>
      <c r="T59" s="63" t="s">
        <v>163</v>
      </c>
      <c r="U59" s="66">
        <v>1570914843.9230769</v>
      </c>
      <c r="V59" s="66"/>
      <c r="W59" s="66"/>
      <c r="X59" s="67">
        <f t="shared" si="0"/>
        <v>1570914843.9230769</v>
      </c>
      <c r="Y59" s="66">
        <v>1675614188.9230769</v>
      </c>
      <c r="Z59" s="66"/>
      <c r="AA59" s="66"/>
      <c r="AB59" s="67">
        <f t="shared" si="1"/>
        <v>1675614188.9230769</v>
      </c>
      <c r="AC59" s="66">
        <v>3485053514.718081</v>
      </c>
      <c r="AD59" s="66"/>
      <c r="AE59" s="66"/>
      <c r="AF59" s="67">
        <f t="shared" si="2"/>
        <v>3485053514.718081</v>
      </c>
      <c r="AG59" s="66">
        <v>1232937199.3733294</v>
      </c>
      <c r="AH59" s="66"/>
      <c r="AI59" s="66"/>
      <c r="AJ59" s="65">
        <f t="shared" si="3"/>
        <v>1232937199.3733294</v>
      </c>
      <c r="AK59" s="65">
        <f>IF(SUM(AB59,AF59,X59,AJ59)=0,"",SUM((AB59,AF59,X59,AJ59)))</f>
        <v>7964519746.9375639</v>
      </c>
      <c r="AL59" s="20"/>
      <c r="AM59" s="20"/>
      <c r="AN59" s="20"/>
      <c r="AO59" s="20"/>
      <c r="AP59" s="20"/>
      <c r="AQ59" s="20"/>
      <c r="AR59" s="20"/>
      <c r="AS59" s="20"/>
      <c r="AT59" s="20"/>
      <c r="AU59" s="20"/>
      <c r="AV59" s="20"/>
      <c r="AW59" s="20"/>
      <c r="CG59" s="17"/>
    </row>
    <row r="60" spans="1:85" s="62" customFormat="1" ht="99.95" customHeight="1">
      <c r="A60" s="92">
        <f t="shared" si="4"/>
        <v>49</v>
      </c>
      <c r="B60" s="47" t="s">
        <v>154</v>
      </c>
      <c r="C60" s="199" t="str">
        <f>IFERROR(VLOOKUP(FORMULACIÓN!B60,Lists!$A$2:$B$6,2,FALSE),"")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0" s="200" t="s">
        <v>277</v>
      </c>
      <c r="E60" s="200" t="s">
        <v>260</v>
      </c>
      <c r="F60" s="200" t="s">
        <v>304</v>
      </c>
      <c r="G60" s="200" t="s">
        <v>307</v>
      </c>
      <c r="H60" s="200" t="s">
        <v>308</v>
      </c>
      <c r="I60" s="58" t="s">
        <v>168</v>
      </c>
      <c r="J60" s="47" t="s">
        <v>161</v>
      </c>
      <c r="K60" s="58">
        <v>152</v>
      </c>
      <c r="L60" s="58">
        <v>10</v>
      </c>
      <c r="M60" s="58">
        <v>15</v>
      </c>
      <c r="N60" s="58">
        <v>20</v>
      </c>
      <c r="O60" s="58">
        <v>5</v>
      </c>
      <c r="P60" s="63">
        <f ca="1">IFERROR(IF($J60=Lists!$S$2,SUM(FORMULACIÓN!K60:O60),IF(FORMULACIÓN!$J60=Lists!$S$3,SUM(FORMULACIÓN!L60:O60),IF(FORMULACIÓN!$J60=Lists!$S$4,AVERAGE(FORMULACIÓN!L60:O60),IF(FORMULACIÓN!$J60=Lists!$S$5,OFFSET(K60,0,COUNTA(L60:O60)),IF(FORMULACIÓN!$J60=Lists!$S$6,AVERAGE(FORMULACIÓN!L60:O60),""))))),"")</f>
        <v>202</v>
      </c>
      <c r="Q60" s="51" t="str">
        <f ca="1">IF($I60=Lists!$R$3,TEXT(FORMULACIÓN!P60,"00,00%"),IF(FORMULACIÓN!P60=0,0,TEXT(FORMULACIÓN!P60,"##.###")))</f>
        <v>202</v>
      </c>
      <c r="R60" s="47" t="s">
        <v>293</v>
      </c>
      <c r="S60" s="205">
        <v>3.8461538461538464E-3</v>
      </c>
      <c r="T60" s="63" t="s">
        <v>163</v>
      </c>
      <c r="U60" s="66">
        <v>1570914843.9230769</v>
      </c>
      <c r="V60" s="66"/>
      <c r="W60" s="66"/>
      <c r="X60" s="67">
        <f t="shared" si="0"/>
        <v>1570914843.9230769</v>
      </c>
      <c r="Y60" s="66">
        <v>1675614188.9230769</v>
      </c>
      <c r="Z60" s="66"/>
      <c r="AA60" s="66"/>
      <c r="AB60" s="67">
        <f t="shared" si="1"/>
        <v>1675614188.9230769</v>
      </c>
      <c r="AC60" s="66">
        <v>3324204890.9618626</v>
      </c>
      <c r="AD60" s="66"/>
      <c r="AE60" s="66"/>
      <c r="AF60" s="67">
        <f t="shared" si="2"/>
        <v>3324204890.9618626</v>
      </c>
      <c r="AG60" s="66">
        <v>1176032405.5560989</v>
      </c>
      <c r="AH60" s="66"/>
      <c r="AI60" s="66"/>
      <c r="AJ60" s="65">
        <f t="shared" si="3"/>
        <v>1176032405.5560989</v>
      </c>
      <c r="AK60" s="65">
        <f>IF(SUM(AB60,AF60,X60,AJ60)=0,"",SUM((AB60,AF60,X60,AJ60)))</f>
        <v>7746766329.3641148</v>
      </c>
      <c r="AL60" s="20"/>
      <c r="AM60" s="20"/>
      <c r="AN60" s="20"/>
      <c r="AO60" s="20"/>
      <c r="AP60" s="20"/>
      <c r="AQ60" s="20"/>
      <c r="AR60" s="20"/>
      <c r="AS60" s="20"/>
      <c r="AT60" s="20"/>
      <c r="AU60" s="20"/>
      <c r="AV60" s="20"/>
      <c r="AW60" s="20"/>
      <c r="CG60" s="17"/>
    </row>
    <row r="61" spans="1:85" s="62" customFormat="1" ht="99.95" customHeight="1">
      <c r="A61" s="92">
        <f t="shared" si="4"/>
        <v>50</v>
      </c>
      <c r="B61" s="47" t="s">
        <v>154</v>
      </c>
      <c r="C61" s="199" t="str">
        <f>IFERROR(VLOOKUP(FORMULACIÓN!B61,Lists!$A$2:$B$6,2,FALSE),"")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1" s="200" t="s">
        <v>300</v>
      </c>
      <c r="E61" s="200" t="s">
        <v>260</v>
      </c>
      <c r="F61" s="200" t="s">
        <v>309</v>
      </c>
      <c r="G61" s="200" t="s">
        <v>310</v>
      </c>
      <c r="H61" s="200" t="s">
        <v>311</v>
      </c>
      <c r="I61" s="58" t="s">
        <v>168</v>
      </c>
      <c r="J61" s="47" t="s">
        <v>169</v>
      </c>
      <c r="K61" s="58">
        <v>0</v>
      </c>
      <c r="L61" s="58">
        <v>1</v>
      </c>
      <c r="M61" s="58">
        <v>0</v>
      </c>
      <c r="N61" s="58">
        <v>0</v>
      </c>
      <c r="O61" s="58">
        <v>0</v>
      </c>
      <c r="P61" s="63">
        <f ca="1">IFERROR(IF($J61=Lists!$S$2,SUM(FORMULACIÓN!K61:O61),IF(FORMULACIÓN!$J61=Lists!$S$3,SUM(FORMULACIÓN!L61:O61),IF(FORMULACIÓN!$J61=Lists!$S$4,AVERAGE(FORMULACIÓN!L61:O61),IF(FORMULACIÓN!$J61=Lists!$S$5,OFFSET(K61,0,COUNTA(L61:O61)),IF(FORMULACIÓN!$J61=Lists!$S$6,AVERAGE(FORMULACIÓN!L61:O61),""))))),"")</f>
        <v>1</v>
      </c>
      <c r="Q61" s="51" t="str">
        <f ca="1">IF($I61=Lists!$R$3,TEXT(FORMULACIÓN!P61,"00,00%"),IF(FORMULACIÓN!P61=0,0,TEXT(FORMULACIÓN!P61,"##.###")))</f>
        <v>1</v>
      </c>
      <c r="R61" s="47" t="s">
        <v>293</v>
      </c>
      <c r="S61" s="205">
        <v>3.8461538461538464E-3</v>
      </c>
      <c r="T61" s="63" t="s">
        <v>163</v>
      </c>
      <c r="U61" s="66">
        <v>1570914843.9230769</v>
      </c>
      <c r="V61" s="66"/>
      <c r="W61" s="66"/>
      <c r="X61" s="67">
        <f t="shared" si="0"/>
        <v>1570914843.9230769</v>
      </c>
      <c r="Y61" s="66">
        <v>1675614188.9230769</v>
      </c>
      <c r="Z61" s="66"/>
      <c r="AA61" s="66"/>
      <c r="AB61" s="67">
        <f t="shared" si="1"/>
        <v>1675614188.9230769</v>
      </c>
      <c r="AC61" s="66">
        <v>1715718653.3996706</v>
      </c>
      <c r="AD61" s="66"/>
      <c r="AE61" s="66"/>
      <c r="AF61" s="67">
        <f t="shared" si="2"/>
        <v>1715718653.3996706</v>
      </c>
      <c r="AG61" s="66">
        <v>606984467.383793</v>
      </c>
      <c r="AH61" s="66"/>
      <c r="AI61" s="66"/>
      <c r="AJ61" s="65">
        <f t="shared" si="3"/>
        <v>606984467.383793</v>
      </c>
      <c r="AK61" s="65">
        <f>IF(SUM(AB61,AF61,X61,AJ61)=0,"",SUM((AB61,AF61,X61,AJ61)))</f>
        <v>5569232153.6296167</v>
      </c>
      <c r="AL61" s="20"/>
      <c r="AM61" s="20"/>
      <c r="AN61" s="20"/>
      <c r="AO61" s="20"/>
      <c r="AP61" s="20"/>
      <c r="AQ61" s="20"/>
      <c r="AR61" s="20"/>
      <c r="AS61" s="20"/>
      <c r="AT61" s="20"/>
      <c r="AU61" s="20"/>
      <c r="AV61" s="20"/>
      <c r="AW61" s="20"/>
      <c r="CG61" s="17"/>
    </row>
    <row r="62" spans="1:85" s="62" customFormat="1" ht="99.95" customHeight="1">
      <c r="A62" s="92">
        <f t="shared" si="4"/>
        <v>51</v>
      </c>
      <c r="B62" s="47" t="s">
        <v>154</v>
      </c>
      <c r="C62" s="199" t="str">
        <f>IFERROR(VLOOKUP(FORMULACIÓN!B62,Lists!$A$2:$B$6,2,FALSE),"")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2" s="200" t="s">
        <v>300</v>
      </c>
      <c r="E62" s="200" t="s">
        <v>260</v>
      </c>
      <c r="F62" s="200" t="s">
        <v>309</v>
      </c>
      <c r="G62" s="200" t="s">
        <v>312</v>
      </c>
      <c r="H62" s="200" t="s">
        <v>313</v>
      </c>
      <c r="I62" s="58" t="s">
        <v>160</v>
      </c>
      <c r="J62" s="47" t="s">
        <v>161</v>
      </c>
      <c r="K62" s="59">
        <v>0</v>
      </c>
      <c r="L62" s="196">
        <v>0</v>
      </c>
      <c r="M62" s="59">
        <v>0.3</v>
      </c>
      <c r="N62" s="59">
        <v>0.5</v>
      </c>
      <c r="O62" s="59">
        <v>0.2</v>
      </c>
      <c r="P62" s="63">
        <f ca="1">IFERROR(IF($J62=Lists!$S$2,SUM(FORMULACIÓN!K62:O62),IF(FORMULACIÓN!$J62=Lists!$S$3,SUM(FORMULACIÓN!L62:O62),IF(FORMULACIÓN!$J62=Lists!$S$4,AVERAGE(FORMULACIÓN!L62:O62),IF(FORMULACIÓN!$J62=Lists!$S$5,OFFSET(K62,0,COUNTA(L62:O62)),IF(FORMULACIÓN!$J62=Lists!$S$6,AVERAGE(FORMULACIÓN!L62:O62),""))))),"")</f>
        <v>1</v>
      </c>
      <c r="Q62" s="51" t="str">
        <f ca="1">IF($I62=Lists!$R$3,TEXT(FORMULACIÓN!P62,"00,00%"),IF(FORMULACIÓN!P62=0,0,TEXT(FORMULACIÓN!P62,"##.###")))</f>
        <v>100,00%</v>
      </c>
      <c r="R62" s="47" t="s">
        <v>293</v>
      </c>
      <c r="S62" s="205">
        <v>3.8461538461538464E-3</v>
      </c>
      <c r="T62" s="63" t="s">
        <v>163</v>
      </c>
      <c r="U62" s="66">
        <v>1570914843.9230769</v>
      </c>
      <c r="V62" s="66"/>
      <c r="W62" s="66"/>
      <c r="X62" s="67">
        <f t="shared" si="0"/>
        <v>1570914843.9230769</v>
      </c>
      <c r="Y62" s="66">
        <v>1675614188.9230769</v>
      </c>
      <c r="Z62" s="66"/>
      <c r="AA62" s="66"/>
      <c r="AB62" s="67">
        <f t="shared" si="1"/>
        <v>1675614188.9230769</v>
      </c>
      <c r="AC62" s="66">
        <v>3324204890.9618626</v>
      </c>
      <c r="AD62" s="66"/>
      <c r="AE62" s="66"/>
      <c r="AF62" s="67">
        <f t="shared" si="2"/>
        <v>3324204890.9618626</v>
      </c>
      <c r="AG62" s="66">
        <v>1176032405.5560989</v>
      </c>
      <c r="AH62" s="66"/>
      <c r="AI62" s="66"/>
      <c r="AJ62" s="65">
        <f t="shared" si="3"/>
        <v>1176032405.5560989</v>
      </c>
      <c r="AK62" s="65">
        <f>IF(SUM(AB62,AF62,X62,AJ62)=0,"",SUM((AB62,AF62,X62,AJ62)))</f>
        <v>7746766329.3641148</v>
      </c>
      <c r="AL62" s="20"/>
      <c r="AM62" s="20"/>
      <c r="AN62" s="20"/>
      <c r="AO62" s="20"/>
      <c r="AP62" s="20"/>
      <c r="AQ62" s="20"/>
      <c r="AR62" s="20"/>
      <c r="AS62" s="20"/>
      <c r="AT62" s="20"/>
      <c r="AU62" s="20"/>
      <c r="AV62" s="20"/>
      <c r="AW62" s="20"/>
      <c r="CG62" s="17"/>
    </row>
    <row r="63" spans="1:85" s="62" customFormat="1" ht="99.95" customHeight="1">
      <c r="A63" s="92">
        <f t="shared" si="4"/>
        <v>52</v>
      </c>
      <c r="B63" s="47" t="s">
        <v>154</v>
      </c>
      <c r="C63" s="199" t="str">
        <f>IFERROR(VLOOKUP(FORMULACIÓN!B63,Lists!$A$2:$B$6,2,FALSE),"")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3" s="200" t="s">
        <v>194</v>
      </c>
      <c r="E63" s="200" t="s">
        <v>260</v>
      </c>
      <c r="F63" s="200" t="s">
        <v>314</v>
      </c>
      <c r="G63" s="200" t="s">
        <v>315</v>
      </c>
      <c r="H63" s="200" t="s">
        <v>316</v>
      </c>
      <c r="I63" s="58" t="s">
        <v>168</v>
      </c>
      <c r="J63" s="47" t="s">
        <v>169</v>
      </c>
      <c r="K63" s="58">
        <v>0</v>
      </c>
      <c r="L63" s="58">
        <v>0</v>
      </c>
      <c r="M63" s="58">
        <v>1</v>
      </c>
      <c r="N63" s="58">
        <v>0</v>
      </c>
      <c r="O63" s="58">
        <v>0</v>
      </c>
      <c r="P63" s="63">
        <f ca="1">IFERROR(IF($J63=Lists!$S$2,SUM(FORMULACIÓN!K63:O63),IF(FORMULACIÓN!$J63=Lists!$S$3,SUM(FORMULACIÓN!L63:O63),IF(FORMULACIÓN!$J63=Lists!$S$4,AVERAGE(FORMULACIÓN!L63:O63),IF(FORMULACIÓN!$J63=Lists!$S$5,OFFSET(K63,0,COUNTA(L63:O63)),IF(FORMULACIÓN!$J63=Lists!$S$6,AVERAGE(FORMULACIÓN!L63:O63),""))))),"")</f>
        <v>1</v>
      </c>
      <c r="Q63" s="51" t="str">
        <f ca="1">IF($I63=Lists!$R$3,TEXT(FORMULACIÓN!P63,"00,00%"),IF(FORMULACIÓN!P63=0,0,TEXT(FORMULACIÓN!P63,"##.###")))</f>
        <v>1</v>
      </c>
      <c r="R63" s="47" t="s">
        <v>293</v>
      </c>
      <c r="S63" s="205">
        <v>3.8461538461538464E-3</v>
      </c>
      <c r="T63" s="63" t="s">
        <v>163</v>
      </c>
      <c r="U63" s="66">
        <v>1570914843.9230769</v>
      </c>
      <c r="V63" s="66"/>
      <c r="W63" s="66"/>
      <c r="X63" s="67">
        <f t="shared" si="0"/>
        <v>1570914843.9230769</v>
      </c>
      <c r="Y63" s="66">
        <v>1675614188.9230769</v>
      </c>
      <c r="Z63" s="66"/>
      <c r="AA63" s="66"/>
      <c r="AB63" s="67">
        <f t="shared" si="1"/>
        <v>1675614188.9230769</v>
      </c>
      <c r="AC63" s="66">
        <v>525438837.60364914</v>
      </c>
      <c r="AD63" s="66"/>
      <c r="AE63" s="66"/>
      <c r="AF63" s="67">
        <f t="shared" si="2"/>
        <v>525438837.60364914</v>
      </c>
      <c r="AG63" s="66">
        <v>185888993.13628659</v>
      </c>
      <c r="AH63" s="66"/>
      <c r="AI63" s="66"/>
      <c r="AJ63" s="65">
        <f t="shared" si="3"/>
        <v>185888993.13628659</v>
      </c>
      <c r="AK63" s="65">
        <f>IF(SUM(AB63,AF63,X63,AJ63)=0,"",SUM((AB63,AF63,X63,AJ63)))</f>
        <v>3957856863.5860891</v>
      </c>
      <c r="AL63" s="20"/>
      <c r="AM63" s="20"/>
      <c r="AN63" s="20"/>
      <c r="AO63" s="20"/>
      <c r="AP63" s="20"/>
      <c r="AQ63" s="20"/>
      <c r="AR63" s="20"/>
      <c r="AS63" s="20"/>
      <c r="AT63" s="20"/>
      <c r="AU63" s="20"/>
      <c r="AV63" s="20"/>
      <c r="AW63" s="20"/>
      <c r="CG63" s="17"/>
    </row>
    <row r="64" spans="1:85" s="62" customFormat="1" ht="99.95" customHeight="1">
      <c r="A64" s="92">
        <f t="shared" si="4"/>
        <v>53</v>
      </c>
      <c r="B64" s="47" t="s">
        <v>154</v>
      </c>
      <c r="C64" s="199" t="str">
        <f>IFERROR(VLOOKUP(FORMULACIÓN!B64,Lists!$A$2:$B$6,2,FALSE),"")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4" s="200" t="s">
        <v>194</v>
      </c>
      <c r="E64" s="200" t="s">
        <v>260</v>
      </c>
      <c r="F64" s="200" t="s">
        <v>314</v>
      </c>
      <c r="G64" s="200" t="s">
        <v>317</v>
      </c>
      <c r="H64" s="200" t="s">
        <v>318</v>
      </c>
      <c r="I64" s="58" t="s">
        <v>160</v>
      </c>
      <c r="J64" s="47" t="s">
        <v>161</v>
      </c>
      <c r="K64" s="59">
        <v>0</v>
      </c>
      <c r="L64" s="196">
        <v>0</v>
      </c>
      <c r="M64" s="59">
        <v>0.1</v>
      </c>
      <c r="N64" s="59">
        <v>0.5</v>
      </c>
      <c r="O64" s="59">
        <v>0.1</v>
      </c>
      <c r="P64" s="63">
        <f ca="1">IFERROR(IF($J64=Lists!$S$2,SUM(FORMULACIÓN!K64:O64),IF(FORMULACIÓN!$J64=Lists!$S$3,SUM(FORMULACIÓN!L64:O64),IF(FORMULACIÓN!$J64=Lists!$S$4,AVERAGE(FORMULACIÓN!L64:O64),IF(FORMULACIÓN!$J64=Lists!$S$5,OFFSET(K64,0,COUNTA(L64:O64)),IF(FORMULACIÓN!$J64=Lists!$S$6,AVERAGE(FORMULACIÓN!L64:O64),""))))),"")</f>
        <v>0.7</v>
      </c>
      <c r="Q64" s="51" t="str">
        <f ca="1">IF($I64=Lists!$R$3,TEXT(FORMULACIÓN!P64,"00,00%"),IF(FORMULACIÓN!P64=0,0,TEXT(FORMULACIÓN!P64,"##.###")))</f>
        <v>70,00%</v>
      </c>
      <c r="R64" s="47" t="s">
        <v>293</v>
      </c>
      <c r="S64" s="205">
        <v>3.8461538461538464E-3</v>
      </c>
      <c r="T64" s="63" t="s">
        <v>163</v>
      </c>
      <c r="U64" s="66">
        <v>1570914843.9230769</v>
      </c>
      <c r="V64" s="66"/>
      <c r="W64" s="66"/>
      <c r="X64" s="67">
        <f t="shared" si="0"/>
        <v>1570914843.9230769</v>
      </c>
      <c r="Y64" s="66">
        <v>1675614188.9230769</v>
      </c>
      <c r="Z64" s="66"/>
      <c r="AA64" s="66"/>
      <c r="AB64" s="67">
        <f t="shared" si="1"/>
        <v>1675614188.9230769</v>
      </c>
      <c r="AC64" s="66">
        <v>670202598.98424625</v>
      </c>
      <c r="AD64" s="66"/>
      <c r="AE64" s="66"/>
      <c r="AF64" s="67">
        <f t="shared" si="2"/>
        <v>670202598.98424625</v>
      </c>
      <c r="AG64" s="66">
        <v>237103307.57179409</v>
      </c>
      <c r="AH64" s="66"/>
      <c r="AI64" s="66"/>
      <c r="AJ64" s="65">
        <f t="shared" si="3"/>
        <v>237103307.57179409</v>
      </c>
      <c r="AK64" s="65">
        <f>IF(SUM(AB64,AF64,X64,AJ64)=0,"",SUM((AB64,AF64,X64,AJ64)))</f>
        <v>4153834939.4021935</v>
      </c>
      <c r="AL64" s="20"/>
      <c r="AM64" s="20"/>
      <c r="AN64" s="20"/>
      <c r="AO64" s="20"/>
      <c r="AP64" s="20"/>
      <c r="AQ64" s="20"/>
      <c r="AR64" s="20"/>
      <c r="AS64" s="20"/>
      <c r="AT64" s="20"/>
      <c r="AU64" s="20"/>
      <c r="AV64" s="20"/>
      <c r="AW64" s="20"/>
      <c r="CG64" s="17"/>
    </row>
    <row r="65" spans="1:85" s="62" customFormat="1" ht="99.95" customHeight="1">
      <c r="A65" s="92">
        <f t="shared" si="4"/>
        <v>54</v>
      </c>
      <c r="B65" s="47" t="s">
        <v>154</v>
      </c>
      <c r="C65" s="199" t="str">
        <f>IFERROR(VLOOKUP(FORMULACIÓN!B65,Lists!$A$2:$B$6,2,FALSE),"")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5" s="200" t="s">
        <v>194</v>
      </c>
      <c r="E65" s="200" t="s">
        <v>260</v>
      </c>
      <c r="F65" s="200" t="s">
        <v>314</v>
      </c>
      <c r="G65" s="200" t="s">
        <v>319</v>
      </c>
      <c r="H65" s="200" t="s">
        <v>320</v>
      </c>
      <c r="I65" s="58" t="s">
        <v>168</v>
      </c>
      <c r="J65" s="47" t="s">
        <v>161</v>
      </c>
      <c r="K65" s="58">
        <v>0</v>
      </c>
      <c r="L65" s="58">
        <v>30</v>
      </c>
      <c r="M65" s="58">
        <v>30</v>
      </c>
      <c r="N65" s="58">
        <v>30</v>
      </c>
      <c r="O65" s="58">
        <v>10</v>
      </c>
      <c r="P65" s="63">
        <f ca="1">IFERROR(IF($J65=Lists!$S$2,SUM(FORMULACIÓN!K65:O65),IF(FORMULACIÓN!$J65=Lists!$S$3,SUM(FORMULACIÓN!L65:O65),IF(FORMULACIÓN!$J65=Lists!$S$4,AVERAGE(FORMULACIÓN!L65:O65),IF(FORMULACIÓN!$J65=Lists!$S$5,OFFSET(K65,0,COUNTA(L65:O65)),IF(FORMULACIÓN!$J65=Lists!$S$6,AVERAGE(FORMULACIÓN!L65:O65),""))))),"")</f>
        <v>100</v>
      </c>
      <c r="Q65" s="51" t="str">
        <f ca="1">IF($I65=Lists!$R$3,TEXT(FORMULACIÓN!P65,"00,00%"),IF(FORMULACIÓN!P65=0,0,TEXT(FORMULACIÓN!P65,"##.###")))</f>
        <v>100</v>
      </c>
      <c r="R65" s="47" t="s">
        <v>293</v>
      </c>
      <c r="S65" s="205">
        <v>3.8461538461538464E-3</v>
      </c>
      <c r="T65" s="63" t="s">
        <v>163</v>
      </c>
      <c r="U65" s="66">
        <v>1570914843.9230769</v>
      </c>
      <c r="V65" s="66"/>
      <c r="W65" s="66"/>
      <c r="X65" s="67">
        <f t="shared" si="0"/>
        <v>1570914843.9230769</v>
      </c>
      <c r="Y65" s="66">
        <v>1675614188.9230769</v>
      </c>
      <c r="Z65" s="66"/>
      <c r="AA65" s="66"/>
      <c r="AB65" s="67">
        <f t="shared" si="1"/>
        <v>1675614188.9230769</v>
      </c>
      <c r="AC65" s="66">
        <v>525438837.60364914</v>
      </c>
      <c r="AD65" s="66"/>
      <c r="AE65" s="66"/>
      <c r="AF65" s="67">
        <f t="shared" si="2"/>
        <v>525438837.60364914</v>
      </c>
      <c r="AG65" s="66">
        <v>185888993.13628659</v>
      </c>
      <c r="AH65" s="66"/>
      <c r="AI65" s="66"/>
      <c r="AJ65" s="65">
        <f t="shared" si="3"/>
        <v>185888993.13628659</v>
      </c>
      <c r="AK65" s="65">
        <f>IF(SUM(AB65,AF65,X65,AJ65)=0,"",SUM((AB65,AF65,X65,AJ65)))</f>
        <v>3957856863.5860891</v>
      </c>
      <c r="AL65" s="20"/>
      <c r="AM65" s="20"/>
      <c r="AN65" s="20"/>
      <c r="AO65" s="20"/>
      <c r="AP65" s="20"/>
      <c r="AQ65" s="20"/>
      <c r="AR65" s="20"/>
      <c r="AS65" s="20"/>
      <c r="AT65" s="20"/>
      <c r="AU65" s="20"/>
      <c r="AV65" s="20"/>
      <c r="AW65" s="20"/>
      <c r="CG65" s="17"/>
    </row>
    <row r="66" spans="1:85" s="62" customFormat="1" ht="99.95" customHeight="1">
      <c r="A66" s="92">
        <f t="shared" si="4"/>
        <v>55</v>
      </c>
      <c r="B66" s="47" t="s">
        <v>154</v>
      </c>
      <c r="C66" s="199" t="str">
        <f>IFERROR(VLOOKUP(FORMULACIÓN!B66,Lists!$A$2:$B$6,2,FALSE),"")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6" s="200" t="s">
        <v>194</v>
      </c>
      <c r="E66" s="200" t="s">
        <v>260</v>
      </c>
      <c r="F66" s="200" t="s">
        <v>314</v>
      </c>
      <c r="G66" s="200" t="s">
        <v>321</v>
      </c>
      <c r="H66" s="200" t="s">
        <v>322</v>
      </c>
      <c r="I66" s="58" t="s">
        <v>160</v>
      </c>
      <c r="J66" s="47" t="s">
        <v>323</v>
      </c>
      <c r="K66" s="59">
        <v>0.33</v>
      </c>
      <c r="L66" s="196">
        <v>0.5</v>
      </c>
      <c r="M66" s="59">
        <v>0.6</v>
      </c>
      <c r="N66" s="59">
        <v>0.65</v>
      </c>
      <c r="O66" s="59">
        <v>0.65</v>
      </c>
      <c r="P66" s="63">
        <f ca="1">IFERROR(IF($J66=Lists!$S$2,SUM(FORMULACIÓN!K66:O66),IF(FORMULACIÓN!$J66=Lists!$S$3,SUM(FORMULACIÓN!L66:O66),IF(FORMULACIÓN!$J66=Lists!$S$4,AVERAGE(FORMULACIÓN!L66:O66),IF(FORMULACIÓN!$J66=Lists!$S$5,OFFSET(K66,0,COUNTA(L66:O66)),IF(FORMULACIÓN!$J66=Lists!$S$6,AVERAGE(FORMULACIÓN!L66:O66),""))))),"")</f>
        <v>0.6</v>
      </c>
      <c r="Q66" s="51" t="str">
        <f ca="1">IF($I66=Lists!$R$3,TEXT(FORMULACIÓN!P66,"00,00%"),IF(FORMULACIÓN!P66=0,0,TEXT(FORMULACIÓN!P66,"##.###")))</f>
        <v>60,00%</v>
      </c>
      <c r="R66" s="47" t="s">
        <v>293</v>
      </c>
      <c r="S66" s="205">
        <v>3.8461538461538464E-3</v>
      </c>
      <c r="T66" s="63" t="s">
        <v>163</v>
      </c>
      <c r="U66" s="66">
        <v>1570914843.9230769</v>
      </c>
      <c r="V66" s="66"/>
      <c r="W66" s="66"/>
      <c r="X66" s="67">
        <f t="shared" si="0"/>
        <v>1570914843.9230769</v>
      </c>
      <c r="Y66" s="66">
        <v>1675614188.9230769</v>
      </c>
      <c r="Z66" s="66"/>
      <c r="AA66" s="66"/>
      <c r="AB66" s="67">
        <f t="shared" si="1"/>
        <v>1675614188.9230769</v>
      </c>
      <c r="AC66" s="66">
        <v>607887901.06995142</v>
      </c>
      <c r="AD66" s="66"/>
      <c r="AE66" s="66"/>
      <c r="AF66" s="67">
        <f t="shared" si="2"/>
        <v>607887901.06995142</v>
      </c>
      <c r="AG66" s="66">
        <v>215057703.73765588</v>
      </c>
      <c r="AH66" s="66"/>
      <c r="AI66" s="66"/>
      <c r="AJ66" s="65">
        <f t="shared" si="3"/>
        <v>215057703.73765588</v>
      </c>
      <c r="AK66" s="65">
        <f>IF(SUM(AB66,AF66,X66,AJ66)=0,"",SUM((AB66,AF66,X66,AJ66)))</f>
        <v>4069474637.6537609</v>
      </c>
      <c r="AL66" s="20"/>
      <c r="AM66" s="20"/>
      <c r="AN66" s="20"/>
      <c r="AO66" s="20"/>
      <c r="AP66" s="20"/>
      <c r="AQ66" s="20"/>
      <c r="AR66" s="20"/>
      <c r="AS66" s="20"/>
      <c r="AT66" s="20"/>
      <c r="AU66" s="20"/>
      <c r="AV66" s="20"/>
      <c r="AW66" s="20"/>
      <c r="CG66" s="17"/>
    </row>
    <row r="67" spans="1:85" s="62" customFormat="1" ht="99.95" customHeight="1">
      <c r="A67" s="92">
        <f t="shared" si="4"/>
        <v>56</v>
      </c>
      <c r="B67" s="47" t="s">
        <v>154</v>
      </c>
      <c r="C67" s="199" t="str">
        <f>IFERROR(VLOOKUP(FORMULACIÓN!B67,Lists!$A$2:$B$6,2,FALSE),"")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7" s="200" t="s">
        <v>194</v>
      </c>
      <c r="E67" s="200" t="s">
        <v>260</v>
      </c>
      <c r="F67" s="200" t="s">
        <v>324</v>
      </c>
      <c r="G67" s="200" t="s">
        <v>325</v>
      </c>
      <c r="H67" s="200" t="s">
        <v>326</v>
      </c>
      <c r="I67" s="58" t="s">
        <v>168</v>
      </c>
      <c r="J67" s="47" t="s">
        <v>169</v>
      </c>
      <c r="K67" s="58">
        <v>0</v>
      </c>
      <c r="L67" s="58">
        <v>1</v>
      </c>
      <c r="M67" s="58">
        <v>0</v>
      </c>
      <c r="N67" s="58">
        <v>0</v>
      </c>
      <c r="O67" s="58">
        <v>0</v>
      </c>
      <c r="P67" s="63">
        <f ca="1">IFERROR(IF($J67=Lists!$S$2,SUM(FORMULACIÓN!K67:O67),IF(FORMULACIÓN!$J67=Lists!$S$3,SUM(FORMULACIÓN!L67:O67),IF(FORMULACIÓN!$J67=Lists!$S$4,AVERAGE(FORMULACIÓN!L67:O67),IF(FORMULACIÓN!$J67=Lists!$S$5,OFFSET(K67,0,COUNTA(L67:O67)),IF(FORMULACIÓN!$J67=Lists!$S$6,AVERAGE(FORMULACIÓN!L67:O67),""))))),"")</f>
        <v>1</v>
      </c>
      <c r="Q67" s="51" t="str">
        <f ca="1">IF($I67=Lists!$R$3,TEXT(FORMULACIÓN!P67,"00,00%"),IF(FORMULACIÓN!P67=0,0,TEXT(FORMULACIÓN!P67,"##.###")))</f>
        <v>1</v>
      </c>
      <c r="R67" s="47" t="s">
        <v>327</v>
      </c>
      <c r="S67" s="205">
        <v>8.5714285714285719E-3</v>
      </c>
      <c r="T67" s="63" t="s">
        <v>163</v>
      </c>
      <c r="U67" s="66">
        <v>2917413281.5714288</v>
      </c>
      <c r="V67" s="66"/>
      <c r="W67" s="66"/>
      <c r="X67" s="67">
        <f t="shared" si="0"/>
        <v>2917413281.5714288</v>
      </c>
      <c r="Y67" s="66">
        <v>3111854922.2857141</v>
      </c>
      <c r="Z67" s="66"/>
      <c r="AA67" s="66"/>
      <c r="AB67" s="67">
        <f t="shared" si="1"/>
        <v>3111854922.2857141</v>
      </c>
      <c r="AC67" s="66">
        <v>2038586766.0056672</v>
      </c>
      <c r="AD67" s="66"/>
      <c r="AE67" s="66"/>
      <c r="AF67" s="67">
        <f t="shared" si="2"/>
        <v>2038586766.0056672</v>
      </c>
      <c r="AG67" s="66">
        <v>721208281.98010671</v>
      </c>
      <c r="AH67" s="66"/>
      <c r="AI67" s="66"/>
      <c r="AJ67" s="65">
        <f t="shared" si="3"/>
        <v>721208281.98010671</v>
      </c>
      <c r="AK67" s="65">
        <f>IF(SUM(AB67,AF67,X67,AJ67)=0,"",SUM((AB67,AF67,X67,AJ67)))</f>
        <v>8789063251.8429165</v>
      </c>
      <c r="AL67" s="20"/>
      <c r="AM67" s="20"/>
      <c r="AN67" s="20"/>
      <c r="AO67" s="20"/>
      <c r="AP67" s="20"/>
      <c r="AQ67" s="20"/>
      <c r="AR67" s="20"/>
      <c r="AS67" s="20"/>
      <c r="AT67" s="20"/>
      <c r="AU67" s="20"/>
      <c r="AV67" s="20"/>
      <c r="AW67" s="20"/>
      <c r="CG67" s="17"/>
    </row>
    <row r="68" spans="1:85" s="62" customFormat="1" ht="99.95" customHeight="1">
      <c r="A68" s="92">
        <f t="shared" si="4"/>
        <v>57</v>
      </c>
      <c r="B68" s="47" t="s">
        <v>154</v>
      </c>
      <c r="C68" s="199" t="str">
        <f>IFERROR(VLOOKUP(FORMULACIÓN!B68,Lists!$A$2:$B$6,2,FALSE),"")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8" s="200" t="s">
        <v>194</v>
      </c>
      <c r="E68" s="200" t="s">
        <v>260</v>
      </c>
      <c r="F68" s="200" t="s">
        <v>324</v>
      </c>
      <c r="G68" s="200" t="s">
        <v>328</v>
      </c>
      <c r="H68" s="200" t="s">
        <v>329</v>
      </c>
      <c r="I68" s="58" t="s">
        <v>168</v>
      </c>
      <c r="J68" s="47" t="s">
        <v>161</v>
      </c>
      <c r="K68" s="58">
        <v>0</v>
      </c>
      <c r="L68" s="58">
        <v>1</v>
      </c>
      <c r="M68" s="58">
        <v>1</v>
      </c>
      <c r="N68" s="58">
        <v>1</v>
      </c>
      <c r="O68" s="58">
        <v>0</v>
      </c>
      <c r="P68" s="63">
        <f ca="1">IFERROR(IF($J68=Lists!$S$2,SUM(FORMULACIÓN!K68:O68),IF(FORMULACIÓN!$J68=Lists!$S$3,SUM(FORMULACIÓN!L68:O68),IF(FORMULACIÓN!$J68=Lists!$S$4,AVERAGE(FORMULACIÓN!L68:O68),IF(FORMULACIÓN!$J68=Lists!$S$5,OFFSET(K68,0,COUNTA(L68:O68)),IF(FORMULACIÓN!$J68=Lists!$S$6,AVERAGE(FORMULACIÓN!L68:O68),""))))),"")</f>
        <v>3</v>
      </c>
      <c r="Q68" s="51" t="str">
        <f ca="1">IF($I68=Lists!$R$3,TEXT(FORMULACIÓN!P68,"00,00%"),IF(FORMULACIÓN!P68=0,0,TEXT(FORMULACIÓN!P68,"##.###")))</f>
        <v>3</v>
      </c>
      <c r="R68" s="47" t="s">
        <v>327</v>
      </c>
      <c r="S68" s="205">
        <v>8.5714285714285719E-3</v>
      </c>
      <c r="T68" s="63" t="s">
        <v>163</v>
      </c>
      <c r="U68" s="66">
        <v>2917413281.5714288</v>
      </c>
      <c r="V68" s="66"/>
      <c r="W68" s="66"/>
      <c r="X68" s="67">
        <f t="shared" si="0"/>
        <v>2917413281.5714288</v>
      </c>
      <c r="Y68" s="66">
        <v>3111854922.2857141</v>
      </c>
      <c r="Z68" s="66"/>
      <c r="AA68" s="66"/>
      <c r="AB68" s="67">
        <f t="shared" si="1"/>
        <v>3111854922.2857141</v>
      </c>
      <c r="AC68" s="66">
        <v>7381090014.8481054</v>
      </c>
      <c r="AD68" s="66"/>
      <c r="AE68" s="66"/>
      <c r="AF68" s="67">
        <f t="shared" si="2"/>
        <v>7381090014.8481054</v>
      </c>
      <c r="AG68" s="66">
        <v>2611271365.7900419</v>
      </c>
      <c r="AH68" s="66"/>
      <c r="AI68" s="66"/>
      <c r="AJ68" s="65">
        <f t="shared" si="3"/>
        <v>2611271365.7900419</v>
      </c>
      <c r="AK68" s="65">
        <f>IF(SUM(AB68,AF68,X68,AJ68)=0,"",SUM((AB68,AF68,X68,AJ68)))</f>
        <v>16021629584.495289</v>
      </c>
      <c r="AL68" s="20"/>
      <c r="AM68" s="20"/>
      <c r="AN68" s="20"/>
      <c r="AO68" s="20"/>
      <c r="AP68" s="20"/>
      <c r="AQ68" s="20"/>
      <c r="AR68" s="20"/>
      <c r="AS68" s="20"/>
      <c r="AT68" s="20"/>
      <c r="AU68" s="20"/>
      <c r="AV68" s="20"/>
      <c r="AW68" s="20"/>
      <c r="CG68" s="17"/>
    </row>
    <row r="69" spans="1:85" s="62" customFormat="1" ht="99.95" customHeight="1">
      <c r="A69" s="92">
        <f t="shared" si="4"/>
        <v>58</v>
      </c>
      <c r="B69" s="47" t="s">
        <v>154</v>
      </c>
      <c r="C69" s="199" t="str">
        <f>IFERROR(VLOOKUP(FORMULACIÓN!B69,Lists!$A$2:$B$6,2,FALSE),"")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69" s="200" t="s">
        <v>194</v>
      </c>
      <c r="E69" s="200" t="s">
        <v>260</v>
      </c>
      <c r="F69" s="200" t="s">
        <v>324</v>
      </c>
      <c r="G69" s="200" t="s">
        <v>330</v>
      </c>
      <c r="H69" s="200" t="s">
        <v>331</v>
      </c>
      <c r="I69" s="58" t="s">
        <v>160</v>
      </c>
      <c r="J69" s="47" t="s">
        <v>229</v>
      </c>
      <c r="K69" s="59">
        <v>0</v>
      </c>
      <c r="L69" s="196">
        <v>0.8</v>
      </c>
      <c r="M69" s="59">
        <v>0.8</v>
      </c>
      <c r="N69" s="59">
        <v>0.8</v>
      </c>
      <c r="O69" s="59">
        <v>0.8</v>
      </c>
      <c r="P69" s="63">
        <f ca="1">IFERROR(IF($J69=Lists!$S$2,SUM(FORMULACIÓN!K69:O69),IF(FORMULACIÓN!$J69=Lists!$S$3,SUM(FORMULACIÓN!L69:O69),IF(FORMULACIÓN!$J69=Lists!$S$4,AVERAGE(FORMULACIÓN!L69:O69),IF(FORMULACIÓN!$J69=Lists!$S$5,OFFSET(K69,0,COUNTA(L69:O69)),IF(FORMULACIÓN!$J69=Lists!$S$6,AVERAGE(FORMULACIÓN!L69:O69),""))))),"")</f>
        <v>0.8</v>
      </c>
      <c r="Q69" s="51" t="str">
        <f ca="1">IF($I69=Lists!$R$3,TEXT(FORMULACIÓN!P69,"00,00%"),IF(FORMULACIÓN!P69=0,0,TEXT(FORMULACIÓN!P69,"##.###")))</f>
        <v>80,00%</v>
      </c>
      <c r="R69" s="47" t="s">
        <v>327</v>
      </c>
      <c r="S69" s="205">
        <v>8.5714285714285719E-3</v>
      </c>
      <c r="T69" s="63" t="s">
        <v>163</v>
      </c>
      <c r="U69" s="66">
        <v>2917413281.5714288</v>
      </c>
      <c r="V69" s="66"/>
      <c r="W69" s="66"/>
      <c r="X69" s="67">
        <f t="shared" si="0"/>
        <v>2917413281.5714288</v>
      </c>
      <c r="Y69" s="66">
        <v>3111854922.2857141</v>
      </c>
      <c r="Z69" s="66"/>
      <c r="AA69" s="66"/>
      <c r="AB69" s="67">
        <f t="shared" si="1"/>
        <v>3111854922.2857141</v>
      </c>
      <c r="AC69" s="66">
        <v>4217765722.7703457</v>
      </c>
      <c r="AD69" s="66"/>
      <c r="AE69" s="66"/>
      <c r="AF69" s="67">
        <f t="shared" si="2"/>
        <v>4217765722.7703457</v>
      </c>
      <c r="AG69" s="66">
        <v>1492155066.1657381</v>
      </c>
      <c r="AH69" s="66"/>
      <c r="AI69" s="66"/>
      <c r="AJ69" s="65">
        <f t="shared" si="3"/>
        <v>1492155066.1657381</v>
      </c>
      <c r="AK69" s="65">
        <f>IF(SUM(AB69,AF69,X69,AJ69)=0,"",SUM((AB69,AF69,X69,AJ69)))</f>
        <v>11739188992.793228</v>
      </c>
      <c r="AL69" s="20"/>
      <c r="AM69" s="20"/>
      <c r="AN69" s="20"/>
      <c r="AO69" s="20"/>
      <c r="AP69" s="20"/>
      <c r="AQ69" s="20"/>
      <c r="AR69" s="20"/>
      <c r="AS69" s="20"/>
      <c r="AT69" s="20"/>
      <c r="AU69" s="20"/>
      <c r="AV69" s="20"/>
      <c r="AW69" s="20"/>
      <c r="CG69" s="17"/>
    </row>
    <row r="70" spans="1:85" s="62" customFormat="1" ht="99.95" customHeight="1">
      <c r="A70" s="92">
        <f t="shared" si="4"/>
        <v>59</v>
      </c>
      <c r="B70" s="47" t="s">
        <v>154</v>
      </c>
      <c r="C70" s="199" t="str">
        <f>IFERROR(VLOOKUP(FORMULACIÓN!B70,Lists!$A$2:$B$6,2,FALSE),"")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70" s="200" t="s">
        <v>269</v>
      </c>
      <c r="E70" s="200" t="s">
        <v>260</v>
      </c>
      <c r="F70" s="200" t="s">
        <v>332</v>
      </c>
      <c r="G70" s="200" t="s">
        <v>333</v>
      </c>
      <c r="H70" s="200" t="s">
        <v>334</v>
      </c>
      <c r="I70" s="58" t="s">
        <v>160</v>
      </c>
      <c r="J70" s="47" t="s">
        <v>161</v>
      </c>
      <c r="K70" s="59">
        <v>0.35</v>
      </c>
      <c r="L70" s="196">
        <v>0.05</v>
      </c>
      <c r="M70" s="59">
        <v>0.1</v>
      </c>
      <c r="N70" s="59">
        <v>0.1</v>
      </c>
      <c r="O70" s="59">
        <v>0</v>
      </c>
      <c r="P70" s="63">
        <f ca="1">IFERROR(IF($J70=Lists!$S$2,SUM(FORMULACIÓN!K70:O70),IF(FORMULACIÓN!$J70=Lists!$S$3,SUM(FORMULACIÓN!L70:O70),IF(FORMULACIÓN!$J70=Lists!$S$4,AVERAGE(FORMULACIÓN!L70:O70),IF(FORMULACIÓN!$J70=Lists!$S$5,OFFSET(K70,0,COUNTA(L70:O70)),IF(FORMULACIÓN!$J70=Lists!$S$6,AVERAGE(FORMULACIÓN!L70:O70),""))))),"")</f>
        <v>0.6</v>
      </c>
      <c r="Q70" s="51" t="str">
        <f ca="1">IF($I70=Lists!$R$3,TEXT(FORMULACIÓN!P70,"00,00%"),IF(FORMULACIÓN!P70=0,0,TEXT(FORMULACIÓN!P70,"##.###")))</f>
        <v>60,00%</v>
      </c>
      <c r="R70" s="47" t="s">
        <v>327</v>
      </c>
      <c r="S70" s="205">
        <v>8.5714285714285719E-3</v>
      </c>
      <c r="T70" s="63" t="s">
        <v>163</v>
      </c>
      <c r="U70" s="66">
        <v>2917413281.5714288</v>
      </c>
      <c r="V70" s="66"/>
      <c r="W70" s="66"/>
      <c r="X70" s="67">
        <f t="shared" si="0"/>
        <v>2917413281.5714288</v>
      </c>
      <c r="Y70" s="66">
        <v>3111854922.2857141</v>
      </c>
      <c r="Z70" s="66"/>
      <c r="AA70" s="66"/>
      <c r="AB70" s="67">
        <f t="shared" si="1"/>
        <v>3111854922.2857141</v>
      </c>
      <c r="AC70" s="66">
        <v>2811843815.1802301</v>
      </c>
      <c r="AD70" s="66"/>
      <c r="AE70" s="66"/>
      <c r="AF70" s="67">
        <f t="shared" si="2"/>
        <v>2811843815.1802301</v>
      </c>
      <c r="AG70" s="66">
        <v>994770044.11049199</v>
      </c>
      <c r="AH70" s="66"/>
      <c r="AI70" s="66"/>
      <c r="AJ70" s="65">
        <f t="shared" si="3"/>
        <v>994770044.11049199</v>
      </c>
      <c r="AK70" s="65">
        <f>IF(SUM(AB70,AF70,X70,AJ70)=0,"",SUM((AB70,AF70,X70,AJ70)))</f>
        <v>9835882063.1478653</v>
      </c>
      <c r="AL70" s="20"/>
      <c r="AM70" s="20"/>
      <c r="AN70" s="20"/>
      <c r="AO70" s="20"/>
      <c r="AP70" s="20"/>
      <c r="AQ70" s="20"/>
      <c r="AR70" s="20"/>
      <c r="AS70" s="20"/>
      <c r="AT70" s="20"/>
      <c r="AU70" s="20"/>
      <c r="AV70" s="20"/>
      <c r="AW70" s="20"/>
      <c r="CG70" s="17"/>
    </row>
    <row r="71" spans="1:85" s="62" customFormat="1" ht="99.95" customHeight="1">
      <c r="A71" s="92">
        <f t="shared" si="4"/>
        <v>60</v>
      </c>
      <c r="B71" s="47" t="s">
        <v>154</v>
      </c>
      <c r="C71" s="199" t="str">
        <f>IFERROR(VLOOKUP(FORMULACIÓN!B71,Lists!$A$2:$B$6,2,FALSE),"")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71" s="200" t="s">
        <v>269</v>
      </c>
      <c r="E71" s="200" t="s">
        <v>260</v>
      </c>
      <c r="F71" s="200" t="s">
        <v>332</v>
      </c>
      <c r="G71" s="200" t="s">
        <v>335</v>
      </c>
      <c r="H71" s="200" t="s">
        <v>336</v>
      </c>
      <c r="I71" s="58" t="s">
        <v>160</v>
      </c>
      <c r="J71" s="47" t="s">
        <v>337</v>
      </c>
      <c r="K71" s="59">
        <v>0.42</v>
      </c>
      <c r="L71" s="196">
        <v>0.4</v>
      </c>
      <c r="M71" s="59">
        <v>0.4</v>
      </c>
      <c r="N71" s="59">
        <v>0.4</v>
      </c>
      <c r="O71" s="59">
        <v>0.4</v>
      </c>
      <c r="P71" s="63">
        <f ca="1">IFERROR(IF($J71=Lists!$S$2,SUM(FORMULACIÓN!K71:O71),IF(FORMULACIÓN!$J71=Lists!$S$3,SUM(FORMULACIÓN!L71:O71),IF(FORMULACIÓN!$J71=Lists!$S$4,AVERAGE(FORMULACIÓN!L71:O71),IF(FORMULACIÓN!$J71=Lists!$S$5,OFFSET(K71,0,COUNTA(L71:O71)),IF(FORMULACIÓN!$J71=Lists!$S$6,AVERAGE(FORMULACIÓN!L71:O71),""))))),"")</f>
        <v>0.4</v>
      </c>
      <c r="Q71" s="51" t="str">
        <f ca="1">IF($I71=Lists!$R$3,TEXT(FORMULACIÓN!P71,"00,00%"),IF(FORMULACIÓN!P71=0,0,TEXT(FORMULACIÓN!P71,"##.###")))</f>
        <v>40,00%</v>
      </c>
      <c r="R71" s="47" t="s">
        <v>327</v>
      </c>
      <c r="S71" s="205">
        <v>8.5714285714285719E-3</v>
      </c>
      <c r="T71" s="63" t="s">
        <v>163</v>
      </c>
      <c r="U71" s="66">
        <v>2917413281.5714288</v>
      </c>
      <c r="V71" s="66"/>
      <c r="W71" s="66"/>
      <c r="X71" s="67">
        <f t="shared" si="0"/>
        <v>2917413281.5714288</v>
      </c>
      <c r="Y71" s="66">
        <v>3111854922.2857141</v>
      </c>
      <c r="Z71" s="66"/>
      <c r="AA71" s="66"/>
      <c r="AB71" s="67">
        <f t="shared" si="1"/>
        <v>3111854922.2857141</v>
      </c>
      <c r="AC71" s="66">
        <v>3794680367.5169744</v>
      </c>
      <c r="AD71" s="66"/>
      <c r="AE71" s="66"/>
      <c r="AF71" s="67">
        <f t="shared" si="2"/>
        <v>3794680367.5169744</v>
      </c>
      <c r="AG71" s="66">
        <v>1342476540.1979213</v>
      </c>
      <c r="AH71" s="66"/>
      <c r="AI71" s="66"/>
      <c r="AJ71" s="65">
        <f t="shared" si="3"/>
        <v>1342476540.1979213</v>
      </c>
      <c r="AK71" s="65">
        <f>IF(SUM(AB71,AF71,X71,AJ71)=0,"",SUM((AB71,AF71,X71,AJ71)))</f>
        <v>11166425111.572039</v>
      </c>
      <c r="AL71" s="20"/>
      <c r="AM71" s="20"/>
      <c r="AN71" s="20"/>
      <c r="AO71" s="20"/>
      <c r="AP71" s="20"/>
      <c r="AQ71" s="20"/>
      <c r="AR71" s="20"/>
      <c r="AS71" s="20"/>
      <c r="AT71" s="20"/>
      <c r="AU71" s="20"/>
      <c r="AV71" s="20"/>
      <c r="AW71" s="20"/>
      <c r="CG71" s="17"/>
    </row>
    <row r="72" spans="1:85" s="62" customFormat="1" ht="99.95" customHeight="1">
      <c r="A72" s="92">
        <f t="shared" si="4"/>
        <v>61</v>
      </c>
      <c r="B72" s="47" t="s">
        <v>154</v>
      </c>
      <c r="C72" s="199" t="str">
        <f>IFERROR(VLOOKUP(FORMULACIÓN!B72,Lists!$A$2:$B$6,2,FALSE),"")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72" s="200" t="s">
        <v>194</v>
      </c>
      <c r="E72" s="200" t="s">
        <v>260</v>
      </c>
      <c r="F72" s="200" t="s">
        <v>338</v>
      </c>
      <c r="G72" s="200" t="s">
        <v>339</v>
      </c>
      <c r="H72" s="200" t="s">
        <v>340</v>
      </c>
      <c r="I72" s="58" t="s">
        <v>168</v>
      </c>
      <c r="J72" s="47" t="s">
        <v>169</v>
      </c>
      <c r="K72" s="58">
        <v>0</v>
      </c>
      <c r="L72" s="197">
        <v>0</v>
      </c>
      <c r="M72" s="201">
        <v>1</v>
      </c>
      <c r="N72" s="201">
        <v>0</v>
      </c>
      <c r="O72" s="201">
        <v>0</v>
      </c>
      <c r="P72" s="63">
        <f ca="1">IFERROR(IF($J72=Lists!$S$2,SUM(FORMULACIÓN!K72:O72),IF(FORMULACIÓN!$J72=Lists!$S$3,SUM(FORMULACIÓN!L72:O72),IF(FORMULACIÓN!$J72=Lists!$S$4,AVERAGE(FORMULACIÓN!L72:O72),IF(FORMULACIÓN!$J72=Lists!$S$5,OFFSET(K72,0,COUNTA(L72:O72)),IF(FORMULACIÓN!$J72=Lists!$S$6,AVERAGE(FORMULACIÓN!L72:O72),""))))),"")</f>
        <v>1</v>
      </c>
      <c r="Q72" s="51" t="str">
        <f ca="1">IF($I72=Lists!$R$3,TEXT(FORMULACIÓN!P72,"00,00%"),IF(FORMULACIÓN!P72=0,0,TEXT(FORMULACIÓN!P72,"##.###")))</f>
        <v>1</v>
      </c>
      <c r="R72" s="47" t="s">
        <v>327</v>
      </c>
      <c r="S72" s="205">
        <v>8.5714285714285719E-3</v>
      </c>
      <c r="T72" s="63" t="s">
        <v>163</v>
      </c>
      <c r="U72" s="66">
        <v>2917413281.5714288</v>
      </c>
      <c r="V72" s="66"/>
      <c r="W72" s="66"/>
      <c r="X72" s="67">
        <f t="shared" si="0"/>
        <v>2917413281.5714288</v>
      </c>
      <c r="Y72" s="66">
        <v>3111854922.2857141</v>
      </c>
      <c r="Z72" s="66"/>
      <c r="AA72" s="66"/>
      <c r="AB72" s="67">
        <f t="shared" si="1"/>
        <v>3111854922.2857141</v>
      </c>
      <c r="AC72" s="66">
        <v>1124737526.0720923</v>
      </c>
      <c r="AD72" s="66"/>
      <c r="AE72" s="66"/>
      <c r="AF72" s="67">
        <f t="shared" si="2"/>
        <v>1124737526.0720923</v>
      </c>
      <c r="AG72" s="66">
        <v>397908017.64419687</v>
      </c>
      <c r="AH72" s="66"/>
      <c r="AI72" s="66"/>
      <c r="AJ72" s="65">
        <f t="shared" si="3"/>
        <v>397908017.64419687</v>
      </c>
      <c r="AK72" s="65">
        <f>IF(SUM(AB72,AF72,X72,AJ72)=0,"",SUM((AB72,AF72,X72,AJ72)))</f>
        <v>7551913747.573432</v>
      </c>
      <c r="AL72" s="20"/>
      <c r="AM72" s="20"/>
      <c r="AN72" s="20"/>
      <c r="AO72" s="20"/>
      <c r="AP72" s="20"/>
      <c r="AQ72" s="20"/>
      <c r="AR72" s="20"/>
      <c r="AS72" s="20"/>
      <c r="AT72" s="20"/>
      <c r="AU72" s="20"/>
      <c r="AV72" s="20"/>
      <c r="AW72" s="20"/>
      <c r="CG72" s="17"/>
    </row>
    <row r="73" spans="1:85" s="62" customFormat="1" ht="99.95" customHeight="1">
      <c r="A73" s="92">
        <f t="shared" si="4"/>
        <v>62</v>
      </c>
      <c r="B73" s="47" t="s">
        <v>154</v>
      </c>
      <c r="C73" s="199" t="str">
        <f>IFERROR(VLOOKUP(FORMULACIÓN!B73,Lists!$A$2:$B$6,2,FALSE),"")</f>
        <v>Garantizar la formación en educación superior de manera integral e inclusiva, con calidad, pertinencia, flexibilidad, interdisciplinariedad, competencias digitales, internacionalización, multilingüismo e interculturalidad, mediante procesos de autorregulación sostenible y con perspectiva regional.</v>
      </c>
      <c r="D73" s="200" t="s">
        <v>194</v>
      </c>
      <c r="E73" s="200" t="s">
        <v>260</v>
      </c>
      <c r="F73" s="200" t="s">
        <v>338</v>
      </c>
      <c r="G73" s="200" t="s">
        <v>341</v>
      </c>
      <c r="H73" s="200" t="s">
        <v>342</v>
      </c>
      <c r="I73" s="58" t="s">
        <v>168</v>
      </c>
      <c r="J73" s="47" t="s">
        <v>161</v>
      </c>
      <c r="K73" s="58">
        <v>0</v>
      </c>
      <c r="L73" s="197">
        <v>5</v>
      </c>
      <c r="M73" s="197">
        <v>5</v>
      </c>
      <c r="N73" s="197">
        <v>5</v>
      </c>
      <c r="O73" s="197">
        <v>0</v>
      </c>
      <c r="P73" s="63">
        <f ca="1">IFERROR(IF($J73=Lists!$S$2,SUM(FORMULACIÓN!K73:O73),IF(FORMULACIÓN!$J73=Lists!$S$3,SUM(FORMULACIÓN!L73:O73),IF(FORMULACIÓN!$J73=Lists!$S$4,AVERAGE(FORMULACIÓN!L73:O73),IF(FORMULACIÓN!$J73=Lists!$S$5,OFFSET(K73,0,COUNTA(L73:O73)),IF(FORMULACIÓN!$J73=Lists!$S$6,AVERAGE(FORMULACIÓN!L73:O73),""))))),"")</f>
        <v>15</v>
      </c>
      <c r="Q73" s="51" t="str">
        <f ca="1">IF($I73=Lists!$R$3,TEXT(FORMULACIÓN!P73,"00,00%"),IF(FORMULACIÓN!P73=0,0,TEXT(FORMULACIÓN!P73,"##.###")))</f>
        <v>15</v>
      </c>
      <c r="R73" s="47" t="s">
        <v>327</v>
      </c>
      <c r="S73" s="205">
        <v>8.5714285714285719E-3</v>
      </c>
      <c r="T73" s="63" t="s">
        <v>163</v>
      </c>
      <c r="U73" s="66">
        <v>2917413281.5714288</v>
      </c>
      <c r="V73" s="66"/>
      <c r="W73" s="66"/>
      <c r="X73" s="67">
        <f t="shared" si="0"/>
        <v>2917413281.5714288</v>
      </c>
      <c r="Y73" s="66">
        <v>3111854922.2857141</v>
      </c>
      <c r="Z73" s="66"/>
      <c r="AA73" s="66"/>
      <c r="AB73" s="67">
        <f t="shared" si="1"/>
        <v>3111854922.2857141</v>
      </c>
      <c r="AC73" s="66">
        <v>2460363338.2827015</v>
      </c>
      <c r="AD73" s="66"/>
      <c r="AE73" s="66"/>
      <c r="AF73" s="67">
        <f t="shared" si="2"/>
        <v>2460363338.2827015</v>
      </c>
      <c r="AG73" s="66">
        <v>870423788.59668064</v>
      </c>
      <c r="AH73" s="66"/>
      <c r="AI73" s="66"/>
      <c r="AJ73" s="65">
        <f t="shared" si="3"/>
        <v>870423788.59668064</v>
      </c>
      <c r="AK73" s="65">
        <f>IF(SUM(AB73,AF73,X73,AJ73)=0,"",SUM((AB73,AF73,X73,AJ73)))</f>
        <v>9360055330.7365265</v>
      </c>
      <c r="AL73" s="20"/>
      <c r="AM73" s="20"/>
      <c r="AN73" s="20"/>
      <c r="AO73" s="20"/>
      <c r="AP73" s="20"/>
      <c r="AQ73" s="20"/>
      <c r="AR73" s="20"/>
      <c r="AS73" s="20"/>
      <c r="AT73" s="20"/>
      <c r="AU73" s="20"/>
      <c r="AV73" s="20"/>
      <c r="AW73" s="20"/>
      <c r="CG73" s="17"/>
    </row>
    <row r="74" spans="1:85" s="62" customFormat="1" ht="99.95" customHeight="1">
      <c r="A74" s="92">
        <f t="shared" si="4"/>
        <v>63</v>
      </c>
      <c r="B74" s="47" t="s">
        <v>343</v>
      </c>
      <c r="C74" s="199" t="str">
        <f>IFERROR(VLOOKUP(FORMULACIÓN!B74,Lists!$A$2:$B$6,2,FALSE),"")</f>
        <v>Fortalecer y consolidar los procesos de investigación, creación e innovación al servicio del progreso científico, tecnológico, ambiental, cultural, social y humano, en el contexto regional, nacional e internacional.</v>
      </c>
      <c r="D74" s="200" t="s">
        <v>344</v>
      </c>
      <c r="E74" s="200" t="s">
        <v>345</v>
      </c>
      <c r="F74" s="200" t="s">
        <v>346</v>
      </c>
      <c r="G74" s="200" t="s">
        <v>347</v>
      </c>
      <c r="H74" s="200" t="s">
        <v>348</v>
      </c>
      <c r="I74" s="58" t="s">
        <v>168</v>
      </c>
      <c r="J74" s="63" t="s">
        <v>169</v>
      </c>
      <c r="K74" s="58">
        <v>3</v>
      </c>
      <c r="L74" s="58">
        <v>6</v>
      </c>
      <c r="M74" s="58">
        <v>6</v>
      </c>
      <c r="N74" s="58">
        <v>6</v>
      </c>
      <c r="O74" s="58">
        <v>2</v>
      </c>
      <c r="P74" s="63">
        <f ca="1">IFERROR(IF($J74=Lists!$S$2,SUM(FORMULACIÓN!K74:O74),IF(FORMULACIÓN!$J74=Lists!$S$3,SUM(FORMULACIÓN!L74:O74),IF(FORMULACIÓN!$J74=Lists!$S$4,AVERAGE(FORMULACIÓN!L74:O74),IF(FORMULACIÓN!$J74=Lists!$S$5,OFFSET(K74,0,COUNTA(L74:O74)),IF(FORMULACIÓN!$J74=Lists!$S$6,AVERAGE(FORMULACIÓN!L74:O74),""))))),"")</f>
        <v>20</v>
      </c>
      <c r="Q74" s="51" t="str">
        <f ca="1">IF($I74=Lists!$R$3,TEXT(FORMULACIÓN!P74,"00,00%"),IF(FORMULACIÓN!P74=0,0,TEXT(FORMULACIÓN!P74,"##.###")))</f>
        <v>20</v>
      </c>
      <c r="R74" s="63" t="s">
        <v>349</v>
      </c>
      <c r="S74" s="59">
        <v>0.05</v>
      </c>
      <c r="T74" s="58" t="s">
        <v>350</v>
      </c>
      <c r="U74" s="66">
        <v>604348089.78989434</v>
      </c>
      <c r="V74" s="66"/>
      <c r="W74" s="66"/>
      <c r="X74" s="67">
        <f t="shared" si="0"/>
        <v>604348089.78989434</v>
      </c>
      <c r="Y74" s="64">
        <v>654230372.37492466</v>
      </c>
      <c r="Z74" s="66"/>
      <c r="AA74" s="66"/>
      <c r="AB74" s="67">
        <f t="shared" si="1"/>
        <v>654230372.37492466</v>
      </c>
      <c r="AC74" s="64">
        <v>712135108.53708446</v>
      </c>
      <c r="AD74" s="66"/>
      <c r="AE74" s="66"/>
      <c r="AF74" s="67">
        <f t="shared" si="2"/>
        <v>712135108.53708446</v>
      </c>
      <c r="AG74" s="64">
        <v>251078490.47668868</v>
      </c>
      <c r="AH74" s="66"/>
      <c r="AI74" s="66"/>
      <c r="AJ74" s="65">
        <f t="shared" si="3"/>
        <v>251078490.47668868</v>
      </c>
      <c r="AK74" s="65">
        <f>IF(SUM(AB74,AF74,X74,AJ74)=0,"",SUM((AB74,AF74,X74,AJ74)))</f>
        <v>2221792061.1785922</v>
      </c>
      <c r="AL74" s="20"/>
      <c r="AM74" s="20"/>
      <c r="AN74" s="20"/>
      <c r="AO74" s="20"/>
      <c r="AP74" s="20"/>
      <c r="AQ74" s="20"/>
      <c r="AR74" s="20"/>
      <c r="AS74" s="20"/>
      <c r="AT74" s="20"/>
      <c r="AU74" s="20"/>
      <c r="AV74" s="20"/>
      <c r="AW74" s="20"/>
      <c r="CG74" s="17"/>
    </row>
    <row r="75" spans="1:85" s="62" customFormat="1" ht="99.95" customHeight="1">
      <c r="A75" s="92">
        <f t="shared" si="4"/>
        <v>64</v>
      </c>
      <c r="B75" s="47" t="s">
        <v>343</v>
      </c>
      <c r="C75" s="199" t="str">
        <f>IFERROR(VLOOKUP(FORMULACIÓN!B75,Lists!$A$2:$B$6,2,FALSE),"")</f>
        <v>Fortalecer y consolidar los procesos de investigación, creación e innovación al servicio del progreso científico, tecnológico, ambiental, cultural, social y humano, en el contexto regional, nacional e internacional.</v>
      </c>
      <c r="D75" s="200" t="s">
        <v>344</v>
      </c>
      <c r="E75" s="200" t="s">
        <v>345</v>
      </c>
      <c r="F75" s="200" t="s">
        <v>346</v>
      </c>
      <c r="G75" s="200" t="s">
        <v>347</v>
      </c>
      <c r="H75" s="200" t="s">
        <v>351</v>
      </c>
      <c r="I75" s="58" t="s">
        <v>168</v>
      </c>
      <c r="J75" s="63" t="s">
        <v>169</v>
      </c>
      <c r="K75" s="201">
        <v>3</v>
      </c>
      <c r="L75" s="197">
        <v>2</v>
      </c>
      <c r="M75" s="201">
        <v>3</v>
      </c>
      <c r="N75" s="201">
        <v>2</v>
      </c>
      <c r="O75" s="201">
        <v>1</v>
      </c>
      <c r="P75" s="63">
        <f ca="1">IFERROR(IF($J75=Lists!$S$2,SUM(FORMULACIÓN!K75:O75),IF(FORMULACIÓN!$J75=Lists!$S$3,SUM(FORMULACIÓN!L75:O75),IF(FORMULACIÓN!$J75=Lists!$S$4,AVERAGE(FORMULACIÓN!L75:O75),IF(FORMULACIÓN!$J75=Lists!$S$5,OFFSET(K75,0,COUNTA(L75:O75)),IF(FORMULACIÓN!$J75=Lists!$S$6,AVERAGE(FORMULACIÓN!L75:O75),""))))),"")</f>
        <v>8</v>
      </c>
      <c r="Q75" s="51" t="str">
        <f ca="1">IF($I75=Lists!$R$3,TEXT(FORMULACIÓN!P75,"00,00%"),IF(FORMULACIÓN!P75=0,0,TEXT(FORMULACIÓN!P75,"##.###")))</f>
        <v>8</v>
      </c>
      <c r="R75" s="63" t="s">
        <v>349</v>
      </c>
      <c r="S75" s="59">
        <v>0.05</v>
      </c>
      <c r="T75" s="58" t="s">
        <v>350</v>
      </c>
      <c r="U75" s="66">
        <v>997174348.15332556</v>
      </c>
      <c r="V75" s="66"/>
      <c r="W75" s="66"/>
      <c r="X75" s="67">
        <f t="shared" si="0"/>
        <v>997174348.15332556</v>
      </c>
      <c r="Y75" s="66">
        <v>1079480114.4186254</v>
      </c>
      <c r="Z75" s="66"/>
      <c r="AA75" s="66"/>
      <c r="AB75" s="67">
        <f t="shared" si="1"/>
        <v>1079480114.4186254</v>
      </c>
      <c r="AC75" s="66">
        <v>1175022929.086189</v>
      </c>
      <c r="AD75" s="66"/>
      <c r="AE75" s="66"/>
      <c r="AF75" s="67">
        <f t="shared" si="2"/>
        <v>1175022929.086189</v>
      </c>
      <c r="AG75" s="66">
        <v>414279509.28653622</v>
      </c>
      <c r="AH75" s="66"/>
      <c r="AI75" s="66"/>
      <c r="AJ75" s="65">
        <f t="shared" si="3"/>
        <v>414279509.28653622</v>
      </c>
      <c r="AK75" s="65">
        <f>IF(SUM(AB75,AF75,X75,AJ75)=0,"",SUM((AB75,AF75,X75,AJ75)))</f>
        <v>3665956900.9446759</v>
      </c>
      <c r="AL75" s="20"/>
      <c r="AM75" s="20"/>
      <c r="AN75" s="20"/>
      <c r="AO75" s="20"/>
      <c r="AP75" s="20"/>
      <c r="AQ75" s="20"/>
      <c r="AR75" s="20"/>
      <c r="AS75" s="20"/>
      <c r="AT75" s="20"/>
      <c r="AU75" s="20"/>
      <c r="AV75" s="20"/>
      <c r="AW75" s="20"/>
      <c r="CG75" s="17"/>
    </row>
    <row r="76" spans="1:85" s="62" customFormat="1" ht="99.95" customHeight="1">
      <c r="A76" s="92">
        <f t="shared" si="4"/>
        <v>65</v>
      </c>
      <c r="B76" s="200" t="s">
        <v>343</v>
      </c>
      <c r="C76" s="199" t="str">
        <f>IFERROR(VLOOKUP(FORMULACIÓN!B76,Lists!$A$2:$B$6,2,FALSE),"")</f>
        <v>Fortalecer y consolidar los procesos de investigación, creación e innovación al servicio del progreso científico, tecnológico, ambiental, cultural, social y humano, en el contexto regional, nacional e internacional.</v>
      </c>
      <c r="D76" s="200" t="s">
        <v>352</v>
      </c>
      <c r="E76" s="200" t="s">
        <v>345</v>
      </c>
      <c r="F76" s="200" t="s">
        <v>346</v>
      </c>
      <c r="G76" s="200" t="s">
        <v>353</v>
      </c>
      <c r="H76" s="200" t="s">
        <v>354</v>
      </c>
      <c r="I76" s="58" t="s">
        <v>168</v>
      </c>
      <c r="J76" s="63" t="s">
        <v>161</v>
      </c>
      <c r="K76" s="58">
        <v>4</v>
      </c>
      <c r="L76" s="58">
        <v>0</v>
      </c>
      <c r="M76" s="58">
        <v>2</v>
      </c>
      <c r="N76" s="58">
        <v>2</v>
      </c>
      <c r="O76" s="58">
        <v>0</v>
      </c>
      <c r="P76" s="63">
        <f ca="1">IFERROR(IF($J76=Lists!$S$2,SUM(FORMULACIÓN!K76:O76),IF(FORMULACIÓN!$J76=Lists!$S$3,SUM(FORMULACIÓN!L76:O76),IF(FORMULACIÓN!$J76=Lists!$S$4,AVERAGE(FORMULACIÓN!L76:O76),IF(FORMULACIÓN!$J76=Lists!$S$5,OFFSET(K76,0,COUNTA(L76:O76)),IF(FORMULACIÓN!$J76=Lists!$S$6,AVERAGE(FORMULACIÓN!L76:O76),""))))),"")</f>
        <v>8</v>
      </c>
      <c r="Q76" s="51" t="str">
        <f ca="1">IF($I76=Lists!$R$3,TEXT(FORMULACIÓN!P76,"00,00%"),IF(FORMULACIÓN!P76=0,0,TEXT(FORMULACIÓN!P76,"##.###")))</f>
        <v>8</v>
      </c>
      <c r="R76" s="63" t="s">
        <v>349</v>
      </c>
      <c r="S76" s="59">
        <v>0.05</v>
      </c>
      <c r="T76" s="58" t="s">
        <v>350</v>
      </c>
      <c r="U76" s="66">
        <v>181304426.9369683</v>
      </c>
      <c r="V76" s="66"/>
      <c r="W76" s="66"/>
      <c r="X76" s="67">
        <f t="shared" ref="X76:X139" si="5">IF(SUM(U76:W76)=0,"",SUM(U76:W76))</f>
        <v>181304426.9369683</v>
      </c>
      <c r="Y76" s="66">
        <v>196269111.71247739</v>
      </c>
      <c r="Z76" s="66"/>
      <c r="AA76" s="66"/>
      <c r="AB76" s="67">
        <f t="shared" ref="AB76:AB139" si="6">IF(SUM(Y76:AA76)=0,"",SUM(Y76:AA76))</f>
        <v>196269111.71247739</v>
      </c>
      <c r="AC76" s="66">
        <v>213640532.56112534</v>
      </c>
      <c r="AD76" s="66"/>
      <c r="AE76" s="66"/>
      <c r="AF76" s="67">
        <f t="shared" ref="AF76:AF139" si="7">IF(SUM(AC76:AE76)=0,"",SUM(AC76:AE76))</f>
        <v>213640532.56112534</v>
      </c>
      <c r="AG76" s="66">
        <v>75323547.143006593</v>
      </c>
      <c r="AH76" s="66"/>
      <c r="AI76" s="66"/>
      <c r="AJ76" s="65">
        <f t="shared" ref="AJ76:AJ139" si="8">IF(SUM(AG76:AI76)=0,"",SUM(AG76:AI76))</f>
        <v>75323547.143006593</v>
      </c>
      <c r="AK76" s="65">
        <f>IF(SUM(AB76,AF76,X76,AJ76)=0,"",SUM((AB76,AF76,X76,AJ76)))</f>
        <v>666537618.35357761</v>
      </c>
      <c r="AL76" s="20"/>
      <c r="AM76" s="20"/>
      <c r="AN76" s="20"/>
      <c r="AO76" s="20"/>
      <c r="AP76" s="20"/>
      <c r="AQ76" s="20"/>
      <c r="AR76" s="20"/>
      <c r="AS76" s="20"/>
      <c r="AT76" s="20"/>
      <c r="AU76" s="20"/>
      <c r="AV76" s="20"/>
      <c r="AW76" s="20"/>
      <c r="CG76" s="17"/>
    </row>
    <row r="77" spans="1:85" s="62" customFormat="1" ht="99.95" customHeight="1">
      <c r="A77" s="92">
        <f t="shared" si="4"/>
        <v>66</v>
      </c>
      <c r="B77" s="200" t="s">
        <v>343</v>
      </c>
      <c r="C77" s="199" t="str">
        <f>IFERROR(VLOOKUP(FORMULACIÓN!B77,Lists!$A$2:$B$6,2,FALSE),"")</f>
        <v>Fortalecer y consolidar los procesos de investigación, creación e innovación al servicio del progreso científico, tecnológico, ambiental, cultural, social y humano, en el contexto regional, nacional e internacional.</v>
      </c>
      <c r="D77" s="200" t="s">
        <v>355</v>
      </c>
      <c r="E77" s="200" t="s">
        <v>345</v>
      </c>
      <c r="F77" s="200" t="s">
        <v>356</v>
      </c>
      <c r="G77" s="200" t="s">
        <v>357</v>
      </c>
      <c r="H77" s="200" t="s">
        <v>358</v>
      </c>
      <c r="I77" s="58" t="s">
        <v>168</v>
      </c>
      <c r="J77" s="63" t="s">
        <v>169</v>
      </c>
      <c r="K77" s="58">
        <v>1</v>
      </c>
      <c r="L77" s="58">
        <v>3</v>
      </c>
      <c r="M77" s="58">
        <v>3</v>
      </c>
      <c r="N77" s="58">
        <v>3</v>
      </c>
      <c r="O77" s="58">
        <v>1</v>
      </c>
      <c r="P77" s="63">
        <f ca="1">IFERROR(IF($J77=Lists!$S$2,SUM(FORMULACIÓN!K77:O77),IF(FORMULACIÓN!$J77=Lists!$S$3,SUM(FORMULACIÓN!L77:O77),IF(FORMULACIÓN!$J77=Lists!$S$4,AVERAGE(FORMULACIÓN!L77:O77),IF(FORMULACIÓN!$J77=Lists!$S$5,OFFSET(K77,0,COUNTA(L77:O77)),IF(FORMULACIÓN!$J77=Lists!$S$6,AVERAGE(FORMULACIÓN!L77:O77),""))))),"")</f>
        <v>10</v>
      </c>
      <c r="Q77" s="51" t="str">
        <f ca="1">IF($I77=Lists!$R$3,TEXT(FORMULACIÓN!P77,"00,00%"),IF(FORMULACIÓN!P77=0,0,TEXT(FORMULACIÓN!P77,"##.###")))</f>
        <v>10</v>
      </c>
      <c r="R77" s="63" t="s">
        <v>359</v>
      </c>
      <c r="S77" s="59">
        <v>7.4999999999999997E-2</v>
      </c>
      <c r="T77" s="58" t="s">
        <v>350</v>
      </c>
      <c r="U77" s="66">
        <v>302174044.89494717</v>
      </c>
      <c r="V77" s="66"/>
      <c r="W77" s="66"/>
      <c r="X77" s="67">
        <f t="shared" si="5"/>
        <v>302174044.89494717</v>
      </c>
      <c r="Y77" s="66">
        <v>327115186.18746233</v>
      </c>
      <c r="Z77" s="66"/>
      <c r="AA77" s="66"/>
      <c r="AB77" s="67">
        <f t="shared" si="6"/>
        <v>327115186.18746233</v>
      </c>
      <c r="AC77" s="66">
        <v>356067554.26854217</v>
      </c>
      <c r="AD77" s="66"/>
      <c r="AE77" s="66"/>
      <c r="AF77" s="67">
        <f t="shared" si="7"/>
        <v>356067554.26854217</v>
      </c>
      <c r="AG77" s="66">
        <v>125539245.23834433</v>
      </c>
      <c r="AH77" s="66"/>
      <c r="AI77" s="66"/>
      <c r="AJ77" s="65">
        <f t="shared" si="8"/>
        <v>125539245.23834433</v>
      </c>
      <c r="AK77" s="65">
        <f>IF(SUM(AB77,AF77,X77,AJ77)=0,"",SUM((AB77,AF77,X77,AJ77)))</f>
        <v>1110896030.5892961</v>
      </c>
      <c r="AL77" s="20"/>
      <c r="AM77" s="20"/>
      <c r="AN77" s="20"/>
      <c r="AO77" s="20"/>
      <c r="AP77" s="20"/>
      <c r="AQ77" s="20"/>
      <c r="AR77" s="20"/>
      <c r="AS77" s="20"/>
      <c r="AT77" s="20"/>
      <c r="AU77" s="20"/>
      <c r="AV77" s="20"/>
      <c r="AW77" s="20"/>
      <c r="CG77" s="17"/>
    </row>
    <row r="78" spans="1:85" s="62" customFormat="1" ht="99.95" customHeight="1">
      <c r="A78" s="92">
        <f t="shared" ref="A78:A141" si="9">IF(B78&lt;&gt;"",A77+1,"")</f>
        <v>67</v>
      </c>
      <c r="B78" s="200" t="s">
        <v>343</v>
      </c>
      <c r="C78" s="199" t="str">
        <f>IFERROR(VLOOKUP(FORMULACIÓN!B78,Lists!$A$2:$B$6,2,FALSE),"")</f>
        <v>Fortalecer y consolidar los procesos de investigación, creación e innovación al servicio del progreso científico, tecnológico, ambiental, cultural, social y humano, en el contexto regional, nacional e internacional.</v>
      </c>
      <c r="D78" s="200" t="s">
        <v>355</v>
      </c>
      <c r="E78" s="200" t="s">
        <v>345</v>
      </c>
      <c r="F78" s="200" t="s">
        <v>356</v>
      </c>
      <c r="G78" s="200" t="s">
        <v>357</v>
      </c>
      <c r="H78" s="200" t="s">
        <v>360</v>
      </c>
      <c r="I78" s="58" t="s">
        <v>168</v>
      </c>
      <c r="J78" s="63" t="s">
        <v>169</v>
      </c>
      <c r="K78" s="58">
        <v>1</v>
      </c>
      <c r="L78" s="58">
        <v>6</v>
      </c>
      <c r="M78" s="58">
        <v>6</v>
      </c>
      <c r="N78" s="58">
        <v>6</v>
      </c>
      <c r="O78" s="58">
        <v>2</v>
      </c>
      <c r="P78" s="63">
        <f ca="1">IFERROR(IF($J78=Lists!$S$2,SUM(FORMULACIÓN!K78:O78),IF(FORMULACIÓN!$J78=Lists!$S$3,SUM(FORMULACIÓN!L78:O78),IF(FORMULACIÓN!$J78=Lists!$S$4,AVERAGE(FORMULACIÓN!L78:O78),IF(FORMULACIÓN!$J78=Lists!$S$5,OFFSET(K78,0,COUNTA(L78:O78)),IF(FORMULACIÓN!$J78=Lists!$S$6,AVERAGE(FORMULACIÓN!L78:O78),""))))),"")</f>
        <v>20</v>
      </c>
      <c r="Q78" s="51" t="str">
        <f ca="1">IF($I78=Lists!$R$3,TEXT(FORMULACIÓN!P78,"00,00%"),IF(FORMULACIÓN!P78=0,0,TEXT(FORMULACIÓN!P78,"##.###")))</f>
        <v>20</v>
      </c>
      <c r="R78" s="63" t="s">
        <v>359</v>
      </c>
      <c r="S78" s="59">
        <v>7.4999999999999997E-2</v>
      </c>
      <c r="T78" s="58" t="s">
        <v>350</v>
      </c>
      <c r="U78" s="66">
        <v>1033435233.5407194</v>
      </c>
      <c r="V78" s="66"/>
      <c r="W78" s="66"/>
      <c r="X78" s="67">
        <f t="shared" si="5"/>
        <v>1033435233.5407194</v>
      </c>
      <c r="Y78" s="66">
        <v>1118733936.761121</v>
      </c>
      <c r="Z78" s="66"/>
      <c r="AA78" s="66"/>
      <c r="AB78" s="67">
        <f t="shared" si="6"/>
        <v>1118733936.761121</v>
      </c>
      <c r="AC78" s="66">
        <v>1217751035.5984144</v>
      </c>
      <c r="AD78" s="66"/>
      <c r="AE78" s="66"/>
      <c r="AF78" s="67">
        <f t="shared" si="7"/>
        <v>1217751035.5984144</v>
      </c>
      <c r="AG78" s="66">
        <v>429344218.7151376</v>
      </c>
      <c r="AH78" s="66"/>
      <c r="AI78" s="66"/>
      <c r="AJ78" s="65">
        <f t="shared" si="8"/>
        <v>429344218.7151376</v>
      </c>
      <c r="AK78" s="65">
        <f>IF(SUM(AB78,AF78,X78,AJ78)=0,"",SUM((AB78,AF78,X78,AJ78)))</f>
        <v>3799264424.6153922</v>
      </c>
      <c r="AL78" s="20"/>
      <c r="AM78" s="20"/>
      <c r="AN78" s="20"/>
      <c r="AO78" s="20"/>
      <c r="AP78" s="20"/>
      <c r="AQ78" s="20"/>
      <c r="AR78" s="20"/>
      <c r="AS78" s="20"/>
      <c r="AT78" s="20"/>
      <c r="AU78" s="20"/>
      <c r="AV78" s="20"/>
      <c r="AW78" s="20"/>
      <c r="CG78" s="17"/>
    </row>
    <row r="79" spans="1:85" s="62" customFormat="1" ht="99.95" customHeight="1">
      <c r="A79" s="92">
        <f t="shared" si="9"/>
        <v>68</v>
      </c>
      <c r="B79" s="200" t="s">
        <v>343</v>
      </c>
      <c r="C79" s="199" t="str">
        <f>IFERROR(VLOOKUP(FORMULACIÓN!B79,Lists!$A$2:$B$6,2,FALSE),"")</f>
        <v>Fortalecer y consolidar los procesos de investigación, creación e innovación al servicio del progreso científico, tecnológico, ambiental, cultural, social y humano, en el contexto regional, nacional e internacional.</v>
      </c>
      <c r="D79" s="200" t="s">
        <v>352</v>
      </c>
      <c r="E79" s="200" t="s">
        <v>361</v>
      </c>
      <c r="F79" s="200" t="s">
        <v>362</v>
      </c>
      <c r="G79" s="200" t="s">
        <v>363</v>
      </c>
      <c r="H79" s="200" t="s">
        <v>364</v>
      </c>
      <c r="I79" s="58" t="s">
        <v>168</v>
      </c>
      <c r="J79" s="63" t="s">
        <v>169</v>
      </c>
      <c r="K79" s="58">
        <v>80</v>
      </c>
      <c r="L79" s="58">
        <v>150</v>
      </c>
      <c r="M79" s="58">
        <v>150</v>
      </c>
      <c r="N79" s="58">
        <v>150</v>
      </c>
      <c r="O79" s="58">
        <v>50</v>
      </c>
      <c r="P79" s="63">
        <f ca="1">IFERROR(IF($J79=Lists!$S$2,SUM(FORMULACIÓN!K79:O79),IF(FORMULACIÓN!$J79=Lists!$S$3,SUM(FORMULACIÓN!L79:O79),IF(FORMULACIÓN!$J79=Lists!$S$4,AVERAGE(FORMULACIÓN!L79:O79),IF(FORMULACIÓN!$J79=Lists!$S$5,OFFSET(K79,0,COUNTA(L79:O79)),IF(FORMULACIÓN!$J79=Lists!$S$6,AVERAGE(FORMULACIÓN!L79:O79),""))))),"")</f>
        <v>500</v>
      </c>
      <c r="Q79" s="51" t="str">
        <f ca="1">IF($I79=Lists!$R$3,TEXT(FORMULACIÓN!P79,"00,00%"),IF(FORMULACIÓN!P79=0,0,TEXT(FORMULACIÓN!P79,"##.###")))</f>
        <v>500</v>
      </c>
      <c r="R79" s="63" t="s">
        <v>365</v>
      </c>
      <c r="S79" s="59">
        <v>0.03</v>
      </c>
      <c r="T79" s="58" t="s">
        <v>350</v>
      </c>
      <c r="U79" s="66">
        <v>190560208.49230903</v>
      </c>
      <c r="V79" s="66"/>
      <c r="W79" s="66"/>
      <c r="X79" s="67">
        <f t="shared" si="5"/>
        <v>190560208.49230903</v>
      </c>
      <c r="Y79" s="66">
        <v>206288856.15425551</v>
      </c>
      <c r="Z79" s="66"/>
      <c r="AA79" s="66"/>
      <c r="AB79" s="67">
        <f t="shared" si="6"/>
        <v>206288856.15425551</v>
      </c>
      <c r="AC79" s="66">
        <v>224547106.29547703</v>
      </c>
      <c r="AD79" s="66"/>
      <c r="AE79" s="66"/>
      <c r="AF79" s="67">
        <f t="shared" si="7"/>
        <v>224547106.29547703</v>
      </c>
      <c r="AG79" s="66">
        <v>79168893.39355047</v>
      </c>
      <c r="AH79" s="66"/>
      <c r="AI79" s="66"/>
      <c r="AJ79" s="65">
        <f t="shared" si="8"/>
        <v>79168893.39355047</v>
      </c>
      <c r="AK79" s="65">
        <f>IF(SUM(AB79,AF79,X79,AJ79)=0,"",SUM((AB79,AF79,X79,AJ79)))</f>
        <v>700565064.33559215</v>
      </c>
      <c r="AL79" s="20"/>
      <c r="AM79" s="20"/>
      <c r="AN79" s="20"/>
      <c r="AO79" s="20"/>
      <c r="AP79" s="20"/>
      <c r="AQ79" s="20"/>
      <c r="AR79" s="20"/>
      <c r="AS79" s="20"/>
      <c r="AT79" s="20"/>
      <c r="AU79" s="20"/>
      <c r="AV79" s="20"/>
      <c r="AW79" s="20"/>
      <c r="CG79" s="17"/>
    </row>
    <row r="80" spans="1:85" s="62" customFormat="1" ht="99.95" customHeight="1">
      <c r="A80" s="92">
        <f t="shared" si="9"/>
        <v>69</v>
      </c>
      <c r="B80" s="200" t="s">
        <v>343</v>
      </c>
      <c r="C80" s="199" t="str">
        <f>IFERROR(VLOOKUP(FORMULACIÓN!B80,Lists!$A$2:$B$6,2,FALSE),"")</f>
        <v>Fortalecer y consolidar los procesos de investigación, creación e innovación al servicio del progreso científico, tecnológico, ambiental, cultural, social y humano, en el contexto regional, nacional e internacional.</v>
      </c>
      <c r="D80" s="200" t="s">
        <v>352</v>
      </c>
      <c r="E80" s="200" t="s">
        <v>361</v>
      </c>
      <c r="F80" s="200" t="s">
        <v>362</v>
      </c>
      <c r="G80" s="200" t="s">
        <v>363</v>
      </c>
      <c r="H80" s="200" t="s">
        <v>366</v>
      </c>
      <c r="I80" s="58" t="s">
        <v>168</v>
      </c>
      <c r="J80" s="63" t="s">
        <v>169</v>
      </c>
      <c r="K80" s="58">
        <v>130</v>
      </c>
      <c r="L80" s="197">
        <v>400</v>
      </c>
      <c r="M80" s="201">
        <v>400</v>
      </c>
      <c r="N80" s="201">
        <v>400</v>
      </c>
      <c r="O80" s="201">
        <v>200</v>
      </c>
      <c r="P80" s="63">
        <f ca="1">IFERROR(IF($J80=Lists!$S$2,SUM(FORMULACIÓN!K80:O80),IF(FORMULACIÓN!$J80=Lists!$S$3,SUM(FORMULACIÓN!L80:O80),IF(FORMULACIÓN!$J80=Lists!$S$4,AVERAGE(FORMULACIÓN!L80:O80),IF(FORMULACIÓN!$J80=Lists!$S$5,OFFSET(K80,0,COUNTA(L80:O80)),IF(FORMULACIÓN!$J80=Lists!$S$6,AVERAGE(FORMULACIÓN!L80:O80),""))))),"")</f>
        <v>1400</v>
      </c>
      <c r="Q80" s="51" t="str">
        <f ca="1">IF($I80=Lists!$R$3,TEXT(FORMULACIÓN!P80,"00,00%"),IF(FORMULACIÓN!P80=0,0,TEXT(FORMULACIÓN!P80,"##.###")))</f>
        <v>1.400</v>
      </c>
      <c r="R80" s="63" t="s">
        <v>365</v>
      </c>
      <c r="S80" s="59">
        <v>0.03</v>
      </c>
      <c r="T80" s="58" t="s">
        <v>350</v>
      </c>
      <c r="U80" s="66">
        <v>217783095.41978174</v>
      </c>
      <c r="V80" s="66"/>
      <c r="W80" s="66"/>
      <c r="X80" s="67">
        <f t="shared" si="5"/>
        <v>217783095.41978174</v>
      </c>
      <c r="Y80" s="66">
        <v>235758692.74772057</v>
      </c>
      <c r="Z80" s="66"/>
      <c r="AA80" s="66"/>
      <c r="AB80" s="67">
        <f t="shared" si="6"/>
        <v>235758692.74772057</v>
      </c>
      <c r="AC80" s="66">
        <v>256625264.33768806</v>
      </c>
      <c r="AD80" s="66"/>
      <c r="AE80" s="66"/>
      <c r="AF80" s="67">
        <f t="shared" si="7"/>
        <v>256625264.33768806</v>
      </c>
      <c r="AG80" s="66">
        <v>90478735.306914821</v>
      </c>
      <c r="AH80" s="66"/>
      <c r="AI80" s="66"/>
      <c r="AJ80" s="65">
        <f t="shared" si="8"/>
        <v>90478735.306914821</v>
      </c>
      <c r="AK80" s="65">
        <f>IF(SUM(AB80,AF80,X80,AJ80)=0,"",SUM((AB80,AF80,X80,AJ80)))</f>
        <v>800645787.81210518</v>
      </c>
      <c r="AL80" s="20"/>
      <c r="AM80" s="20"/>
      <c r="AN80" s="20"/>
      <c r="AO80" s="20"/>
      <c r="AP80" s="20"/>
      <c r="AQ80" s="20"/>
      <c r="AR80" s="20"/>
      <c r="AS80" s="20"/>
      <c r="AT80" s="20"/>
      <c r="AU80" s="20"/>
      <c r="AV80" s="20"/>
      <c r="AW80" s="20"/>
      <c r="CG80" s="17"/>
    </row>
    <row r="81" spans="1:85" s="62" customFormat="1" ht="99.95" customHeight="1">
      <c r="A81" s="92">
        <f t="shared" si="9"/>
        <v>70</v>
      </c>
      <c r="B81" s="200" t="s">
        <v>343</v>
      </c>
      <c r="C81" s="199" t="str">
        <f>IFERROR(VLOOKUP(FORMULACIÓN!B81,Lists!$A$2:$B$6,2,FALSE),"")</f>
        <v>Fortalecer y consolidar los procesos de investigación, creación e innovación al servicio del progreso científico, tecnológico, ambiental, cultural, social y humano, en el contexto regional, nacional e internacional.</v>
      </c>
      <c r="D81" s="200" t="s">
        <v>352</v>
      </c>
      <c r="E81" s="200" t="s">
        <v>361</v>
      </c>
      <c r="F81" s="200" t="s">
        <v>362</v>
      </c>
      <c r="G81" s="200" t="s">
        <v>363</v>
      </c>
      <c r="H81" s="200" t="s">
        <v>367</v>
      </c>
      <c r="I81" s="58" t="s">
        <v>168</v>
      </c>
      <c r="J81" s="63" t="s">
        <v>169</v>
      </c>
      <c r="K81" s="58">
        <v>10</v>
      </c>
      <c r="L81" s="197">
        <v>30</v>
      </c>
      <c r="M81" s="201">
        <v>30</v>
      </c>
      <c r="N81" s="201">
        <v>30</v>
      </c>
      <c r="O81" s="201">
        <v>10</v>
      </c>
      <c r="P81" s="63">
        <f ca="1">IFERROR(IF($J81=Lists!$S$2,SUM(FORMULACIÓN!K81:O81),IF(FORMULACIÓN!$J81=Lists!$S$3,SUM(FORMULACIÓN!L81:O81),IF(FORMULACIÓN!$J81=Lists!$S$4,AVERAGE(FORMULACIÓN!L81:O81),IF(FORMULACIÓN!$J81=Lists!$S$5,OFFSET(K81,0,COUNTA(L81:O81)),IF(FORMULACIÓN!$J81=Lists!$S$6,AVERAGE(FORMULACIÓN!L81:O81),""))))),"")</f>
        <v>100</v>
      </c>
      <c r="Q81" s="51" t="str">
        <f ca="1">IF($I81=Lists!$R$3,TEXT(FORMULACIÓN!P81,"00,00%"),IF(FORMULACIÓN!P81=0,0,TEXT(FORMULACIÓN!P81,"##.###")))</f>
        <v>100</v>
      </c>
      <c r="R81" s="63" t="s">
        <v>365</v>
      </c>
      <c r="S81" s="59">
        <v>0.03</v>
      </c>
      <c r="T81" s="58" t="s">
        <v>350</v>
      </c>
      <c r="U81" s="66">
        <v>190560208.49230903</v>
      </c>
      <c r="V81" s="66"/>
      <c r="W81" s="66"/>
      <c r="X81" s="67">
        <f t="shared" si="5"/>
        <v>190560208.49230903</v>
      </c>
      <c r="Y81" s="66">
        <v>206288856.15425551</v>
      </c>
      <c r="Z81" s="66"/>
      <c r="AA81" s="66"/>
      <c r="AB81" s="67">
        <f t="shared" si="6"/>
        <v>206288856.15425551</v>
      </c>
      <c r="AC81" s="66">
        <v>224547106.29547703</v>
      </c>
      <c r="AD81" s="66"/>
      <c r="AE81" s="66"/>
      <c r="AF81" s="67">
        <f t="shared" si="7"/>
        <v>224547106.29547703</v>
      </c>
      <c r="AG81" s="66">
        <v>79168893.39355047</v>
      </c>
      <c r="AH81" s="66"/>
      <c r="AI81" s="66"/>
      <c r="AJ81" s="65">
        <f t="shared" si="8"/>
        <v>79168893.39355047</v>
      </c>
      <c r="AK81" s="65">
        <f>IF(SUM(AB81,AF81,X81,AJ81)=0,"",SUM((AB81,AF81,X81,AJ81)))</f>
        <v>700565064.33559215</v>
      </c>
      <c r="AL81" s="20"/>
      <c r="AM81" s="20"/>
      <c r="AN81" s="20"/>
      <c r="AO81" s="20"/>
      <c r="AP81" s="20"/>
      <c r="AQ81" s="20"/>
      <c r="AR81" s="20"/>
      <c r="AS81" s="20"/>
      <c r="AT81" s="20"/>
      <c r="AU81" s="20"/>
      <c r="AV81" s="20"/>
      <c r="AW81" s="20"/>
      <c r="CG81" s="17"/>
    </row>
    <row r="82" spans="1:85" s="62" customFormat="1" ht="99.95" customHeight="1">
      <c r="A82" s="92">
        <f t="shared" si="9"/>
        <v>71</v>
      </c>
      <c r="B82" s="200" t="s">
        <v>343</v>
      </c>
      <c r="C82" s="199" t="str">
        <f>IFERROR(VLOOKUP(FORMULACIÓN!B82,Lists!$A$2:$B$6,2,FALSE),"")</f>
        <v>Fortalecer y consolidar los procesos de investigación, creación e innovación al servicio del progreso científico, tecnológico, ambiental, cultural, social y humano, en el contexto regional, nacional e internacional.</v>
      </c>
      <c r="D82" s="200" t="s">
        <v>368</v>
      </c>
      <c r="E82" s="200" t="s">
        <v>361</v>
      </c>
      <c r="F82" s="200" t="s">
        <v>362</v>
      </c>
      <c r="G82" s="200" t="s">
        <v>369</v>
      </c>
      <c r="H82" s="200" t="s">
        <v>370</v>
      </c>
      <c r="I82" s="58" t="s">
        <v>168</v>
      </c>
      <c r="J82" s="63" t="s">
        <v>169</v>
      </c>
      <c r="K82" s="58">
        <v>1</v>
      </c>
      <c r="L82" s="197">
        <v>2</v>
      </c>
      <c r="M82" s="201">
        <v>2</v>
      </c>
      <c r="N82" s="201">
        <v>2</v>
      </c>
      <c r="O82" s="201">
        <v>1</v>
      </c>
      <c r="P82" s="63">
        <f ca="1">IFERROR(IF($J82=Lists!$S$2,SUM(FORMULACIÓN!K82:O82),IF(FORMULACIÓN!$J82=Lists!$S$3,SUM(FORMULACIÓN!L82:O82),IF(FORMULACIÓN!$J82=Lists!$S$4,AVERAGE(FORMULACIÓN!L82:O82),IF(FORMULACIÓN!$J82=Lists!$S$5,OFFSET(K82,0,COUNTA(L82:O82)),IF(FORMULACIÓN!$J82=Lists!$S$6,AVERAGE(FORMULACIÓN!L82:O82),""))))),"")</f>
        <v>7</v>
      </c>
      <c r="Q82" s="51" t="str">
        <f ca="1">IF($I82=Lists!$R$3,TEXT(FORMULACIÓN!P82,"00,00%"),IF(FORMULACIÓN!P82=0,0,TEXT(FORMULACIÓN!P82,"##.###")))</f>
        <v>7</v>
      </c>
      <c r="R82" s="63" t="s">
        <v>365</v>
      </c>
      <c r="S82" s="59">
        <v>0.03</v>
      </c>
      <c r="T82" s="58" t="s">
        <v>350</v>
      </c>
      <c r="U82" s="66">
        <v>217783095.41978174</v>
      </c>
      <c r="V82" s="66"/>
      <c r="W82" s="66"/>
      <c r="X82" s="67">
        <f t="shared" si="5"/>
        <v>217783095.41978174</v>
      </c>
      <c r="Y82" s="66">
        <v>235758692.74772057</v>
      </c>
      <c r="Z82" s="66"/>
      <c r="AA82" s="66"/>
      <c r="AB82" s="67">
        <f t="shared" si="6"/>
        <v>235758692.74772057</v>
      </c>
      <c r="AC82" s="66">
        <v>256625264.33768806</v>
      </c>
      <c r="AD82" s="66"/>
      <c r="AE82" s="66"/>
      <c r="AF82" s="67">
        <f t="shared" si="7"/>
        <v>256625264.33768806</v>
      </c>
      <c r="AG82" s="66">
        <v>90478735.306914821</v>
      </c>
      <c r="AH82" s="66"/>
      <c r="AI82" s="66"/>
      <c r="AJ82" s="65">
        <f t="shared" si="8"/>
        <v>90478735.306914821</v>
      </c>
      <c r="AK82" s="65">
        <f>IF(SUM(AB82,AF82,X82,AJ82)=0,"",SUM((AB82,AF82,X82,AJ82)))</f>
        <v>800645787.81210518</v>
      </c>
      <c r="AL82" s="20"/>
      <c r="AM82" s="20"/>
      <c r="AN82" s="20"/>
      <c r="AO82" s="20"/>
      <c r="AP82" s="20"/>
      <c r="AQ82" s="20"/>
      <c r="AR82" s="20"/>
      <c r="AS82" s="20"/>
      <c r="AT82" s="20"/>
      <c r="AU82" s="20"/>
      <c r="AV82" s="20"/>
      <c r="AW82" s="20"/>
      <c r="CG82" s="17"/>
    </row>
    <row r="83" spans="1:85" s="62" customFormat="1" ht="99.95" customHeight="1">
      <c r="A83" s="92">
        <f t="shared" si="9"/>
        <v>72</v>
      </c>
      <c r="B83" s="200" t="s">
        <v>343</v>
      </c>
      <c r="C83" s="199" t="str">
        <f>IFERROR(VLOOKUP(FORMULACIÓN!B83,Lists!$A$2:$B$6,2,FALSE),"")</f>
        <v>Fortalecer y consolidar los procesos de investigación, creación e innovación al servicio del progreso científico, tecnológico, ambiental, cultural, social y humano, en el contexto regional, nacional e internacional.</v>
      </c>
      <c r="D83" s="200" t="s">
        <v>368</v>
      </c>
      <c r="E83" s="200" t="s">
        <v>361</v>
      </c>
      <c r="F83" s="200" t="s">
        <v>362</v>
      </c>
      <c r="G83" s="200" t="s">
        <v>369</v>
      </c>
      <c r="H83" s="200" t="s">
        <v>371</v>
      </c>
      <c r="I83" s="58" t="s">
        <v>168</v>
      </c>
      <c r="J83" s="63" t="s">
        <v>169</v>
      </c>
      <c r="K83" s="58">
        <v>3</v>
      </c>
      <c r="L83" s="58">
        <v>2</v>
      </c>
      <c r="M83" s="58">
        <v>2</v>
      </c>
      <c r="N83" s="58">
        <v>2</v>
      </c>
      <c r="O83" s="58">
        <v>1</v>
      </c>
      <c r="P83" s="63">
        <f ca="1">IFERROR(IF($J83=Lists!$S$2,SUM(FORMULACIÓN!K83:O83),IF(FORMULACIÓN!$J83=Lists!$S$3,SUM(FORMULACIÓN!L83:O83),IF(FORMULACIÓN!$J83=Lists!$S$4,AVERAGE(FORMULACIÓN!L83:O83),IF(FORMULACIÓN!$J83=Lists!$S$5,OFFSET(K83,0,COUNTA(L83:O83)),IF(FORMULACIÓN!$J83=Lists!$S$6,AVERAGE(FORMULACIÓN!L83:O83),""))))),"")</f>
        <v>7</v>
      </c>
      <c r="Q83" s="51" t="str">
        <f ca="1">IF($I83=Lists!$R$3,TEXT(FORMULACIÓN!P83,"00,00%"),IF(FORMULACIÓN!P83=0,0,TEXT(FORMULACIÓN!P83,"##.###")))</f>
        <v>7</v>
      </c>
      <c r="R83" s="63" t="s">
        <v>365</v>
      </c>
      <c r="S83" s="59">
        <v>0.03</v>
      </c>
      <c r="T83" s="58" t="s">
        <v>350</v>
      </c>
      <c r="U83" s="66">
        <v>408343303.91209078</v>
      </c>
      <c r="V83" s="66"/>
      <c r="W83" s="66"/>
      <c r="X83" s="67">
        <f t="shared" si="5"/>
        <v>408343303.91209078</v>
      </c>
      <c r="Y83" s="66">
        <v>442047548.90197611</v>
      </c>
      <c r="Z83" s="66"/>
      <c r="AA83" s="66"/>
      <c r="AB83" s="67">
        <f t="shared" si="6"/>
        <v>442047548.90197611</v>
      </c>
      <c r="AC83" s="66">
        <v>481172370.63316506</v>
      </c>
      <c r="AD83" s="66"/>
      <c r="AE83" s="66"/>
      <c r="AF83" s="67">
        <f t="shared" si="7"/>
        <v>481172370.63316506</v>
      </c>
      <c r="AG83" s="66">
        <v>169647628.70046529</v>
      </c>
      <c r="AH83" s="66"/>
      <c r="AI83" s="66"/>
      <c r="AJ83" s="65">
        <f t="shared" si="8"/>
        <v>169647628.70046529</v>
      </c>
      <c r="AK83" s="65">
        <f>IF(SUM(AB83,AF83,X83,AJ83)=0,"",SUM((AB83,AF83,X83,AJ83)))</f>
        <v>1501210852.1476972</v>
      </c>
      <c r="AL83" s="20"/>
      <c r="AM83" s="20"/>
      <c r="AN83" s="20"/>
      <c r="AO83" s="20"/>
      <c r="AP83" s="20"/>
      <c r="AQ83" s="20"/>
      <c r="AR83" s="20"/>
      <c r="AS83" s="20"/>
      <c r="AT83" s="20"/>
      <c r="AU83" s="20"/>
      <c r="AV83" s="20"/>
      <c r="AW83" s="20"/>
      <c r="CG83" s="17"/>
    </row>
    <row r="84" spans="1:85" s="62" customFormat="1" ht="99.95" customHeight="1">
      <c r="A84" s="92">
        <f t="shared" si="9"/>
        <v>73</v>
      </c>
      <c r="B84" s="200" t="s">
        <v>343</v>
      </c>
      <c r="C84" s="199" t="str">
        <f>IFERROR(VLOOKUP(FORMULACIÓN!B84,Lists!$A$2:$B$6,2,FALSE),"")</f>
        <v>Fortalecer y consolidar los procesos de investigación, creación e innovación al servicio del progreso científico, tecnológico, ambiental, cultural, social y humano, en el contexto regional, nacional e internacional.</v>
      </c>
      <c r="D84" s="200" t="s">
        <v>355</v>
      </c>
      <c r="E84" s="200" t="s">
        <v>361</v>
      </c>
      <c r="F84" s="200" t="s">
        <v>372</v>
      </c>
      <c r="G84" s="200" t="s">
        <v>373</v>
      </c>
      <c r="H84" s="200" t="s">
        <v>374</v>
      </c>
      <c r="I84" s="58" t="s">
        <v>168</v>
      </c>
      <c r="J84" s="63" t="s">
        <v>169</v>
      </c>
      <c r="K84" s="58">
        <v>10</v>
      </c>
      <c r="L84" s="58">
        <v>75</v>
      </c>
      <c r="M84" s="58">
        <v>75</v>
      </c>
      <c r="N84" s="58">
        <v>75</v>
      </c>
      <c r="O84" s="58">
        <v>25</v>
      </c>
      <c r="P84" s="63">
        <f ca="1">IFERROR(IF($J84=Lists!$S$2,SUM(FORMULACIÓN!K84:O84),IF(FORMULACIÓN!$J84=Lists!$S$3,SUM(FORMULACIÓN!L84:O84),IF(FORMULACIÓN!$J84=Lists!$S$4,AVERAGE(FORMULACIÓN!L84:O84),IF(FORMULACIÓN!$J84=Lists!$S$5,OFFSET(K84,0,COUNTA(L84:O84)),IF(FORMULACIÓN!$J84=Lists!$S$6,AVERAGE(FORMULACIÓN!L84:O84),""))))),"")</f>
        <v>250</v>
      </c>
      <c r="Q84" s="51" t="str">
        <f ca="1">IF($I84=Lists!$R$3,TEXT(FORMULACIÓN!P84,"00,00%"),IF(FORMULACIÓN!P84=0,0,TEXT(FORMULACIÓN!P84,"##.###")))</f>
        <v>250</v>
      </c>
      <c r="R84" s="63" t="s">
        <v>365</v>
      </c>
      <c r="S84" s="59">
        <v>0.03</v>
      </c>
      <c r="T84" s="58" t="s">
        <v>350</v>
      </c>
      <c r="U84" s="66">
        <v>217783095.41978174</v>
      </c>
      <c r="V84" s="66"/>
      <c r="W84" s="66"/>
      <c r="X84" s="67">
        <f t="shared" si="5"/>
        <v>217783095.41978174</v>
      </c>
      <c r="Y84" s="66">
        <v>235758692.74772057</v>
      </c>
      <c r="Z84" s="66"/>
      <c r="AA84" s="66"/>
      <c r="AB84" s="67">
        <f t="shared" si="6"/>
        <v>235758692.74772057</v>
      </c>
      <c r="AC84" s="66">
        <v>256625264.33768806</v>
      </c>
      <c r="AD84" s="66"/>
      <c r="AE84" s="66"/>
      <c r="AF84" s="67">
        <f t="shared" si="7"/>
        <v>256625264.33768806</v>
      </c>
      <c r="AG84" s="66">
        <v>90478735.306914821</v>
      </c>
      <c r="AH84" s="66"/>
      <c r="AI84" s="66"/>
      <c r="AJ84" s="65">
        <f t="shared" si="8"/>
        <v>90478735.306914821</v>
      </c>
      <c r="AK84" s="65">
        <f>IF(SUM(AB84,AF84,X84,AJ84)=0,"",SUM((AB84,AF84,X84,AJ84)))</f>
        <v>800645787.81210518</v>
      </c>
      <c r="AL84" s="20"/>
      <c r="AM84" s="20"/>
      <c r="AN84" s="20"/>
      <c r="AO84" s="20"/>
      <c r="AP84" s="20"/>
      <c r="AQ84" s="20"/>
      <c r="AR84" s="20"/>
      <c r="AS84" s="20"/>
      <c r="AT84" s="20"/>
      <c r="AU84" s="20"/>
      <c r="AV84" s="20"/>
      <c r="AW84" s="20"/>
      <c r="CG84" s="17"/>
    </row>
    <row r="85" spans="1:85" s="62" customFormat="1" ht="99.95" customHeight="1">
      <c r="A85" s="92">
        <f t="shared" si="9"/>
        <v>74</v>
      </c>
      <c r="B85" s="200" t="s">
        <v>343</v>
      </c>
      <c r="C85" s="199" t="str">
        <f>IFERROR(VLOOKUP(FORMULACIÓN!B85,Lists!$A$2:$B$6,2,FALSE),"")</f>
        <v>Fortalecer y consolidar los procesos de investigación, creación e innovación al servicio del progreso científico, tecnológico, ambiental, cultural, social y humano, en el contexto regional, nacional e internacional.</v>
      </c>
      <c r="D85" s="200" t="s">
        <v>355</v>
      </c>
      <c r="E85" s="200" t="s">
        <v>361</v>
      </c>
      <c r="F85" s="200" t="s">
        <v>372</v>
      </c>
      <c r="G85" s="200" t="s">
        <v>373</v>
      </c>
      <c r="H85" s="200" t="s">
        <v>375</v>
      </c>
      <c r="I85" s="58" t="s">
        <v>168</v>
      </c>
      <c r="J85" s="63" t="s">
        <v>169</v>
      </c>
      <c r="K85" s="58">
        <v>6</v>
      </c>
      <c r="L85" s="58">
        <v>30</v>
      </c>
      <c r="M85" s="58">
        <v>30</v>
      </c>
      <c r="N85" s="58">
        <v>30</v>
      </c>
      <c r="O85" s="58">
        <v>10</v>
      </c>
      <c r="P85" s="63">
        <f ca="1">IFERROR(IF($J85=Lists!$S$2,SUM(FORMULACIÓN!K85:O85),IF(FORMULACIÓN!$J85=Lists!$S$3,SUM(FORMULACIÓN!L85:O85),IF(FORMULACIÓN!$J85=Lists!$S$4,AVERAGE(FORMULACIÓN!L85:O85),IF(FORMULACIÓN!$J85=Lists!$S$5,OFFSET(K85,0,COUNTA(L85:O85)),IF(FORMULACIÓN!$J85=Lists!$S$6,AVERAGE(FORMULACIÓN!L85:O85),""))))),"")</f>
        <v>100</v>
      </c>
      <c r="Q85" s="51" t="str">
        <f ca="1">IF($I85=Lists!$R$3,TEXT(FORMULACIÓN!P85,"00,00%"),IF(FORMULACIÓN!P85=0,0,TEXT(FORMULACIÓN!P85,"##.###")))</f>
        <v>100</v>
      </c>
      <c r="R85" s="63" t="s">
        <v>365</v>
      </c>
      <c r="S85" s="59">
        <v>0.03</v>
      </c>
      <c r="T85" s="58" t="s">
        <v>350</v>
      </c>
      <c r="U85" s="66">
        <v>326674643.12967265</v>
      </c>
      <c r="V85" s="66"/>
      <c r="W85" s="66"/>
      <c r="X85" s="67">
        <f t="shared" si="5"/>
        <v>326674643.12967265</v>
      </c>
      <c r="Y85" s="66">
        <v>353638039.12158084</v>
      </c>
      <c r="Z85" s="66"/>
      <c r="AA85" s="66"/>
      <c r="AB85" s="67">
        <f t="shared" si="6"/>
        <v>353638039.12158084</v>
      </c>
      <c r="AC85" s="66">
        <v>384937896.50653207</v>
      </c>
      <c r="AD85" s="66"/>
      <c r="AE85" s="66"/>
      <c r="AF85" s="67">
        <f t="shared" si="7"/>
        <v>384937896.50653207</v>
      </c>
      <c r="AG85" s="66">
        <v>135718102.96037224</v>
      </c>
      <c r="AH85" s="66"/>
      <c r="AI85" s="66"/>
      <c r="AJ85" s="65">
        <f t="shared" si="8"/>
        <v>135718102.96037224</v>
      </c>
      <c r="AK85" s="65">
        <f>IF(SUM(AB85,AF85,X85,AJ85)=0,"",SUM((AB85,AF85,X85,AJ85)))</f>
        <v>1200968681.7181578</v>
      </c>
      <c r="AL85" s="20"/>
      <c r="AM85" s="20"/>
      <c r="AN85" s="20"/>
      <c r="AO85" s="20"/>
      <c r="AP85" s="20"/>
      <c r="AQ85" s="20"/>
      <c r="AR85" s="20"/>
      <c r="AS85" s="20"/>
      <c r="AT85" s="20"/>
      <c r="AU85" s="20"/>
      <c r="AV85" s="20"/>
      <c r="AW85" s="20"/>
      <c r="CG85" s="17"/>
    </row>
    <row r="86" spans="1:85" s="62" customFormat="1" ht="99.95" customHeight="1">
      <c r="A86" s="92">
        <f t="shared" si="9"/>
        <v>75</v>
      </c>
      <c r="B86" s="200" t="s">
        <v>343</v>
      </c>
      <c r="C86" s="199" t="str">
        <f>IFERROR(VLOOKUP(FORMULACIÓN!B86,Lists!$A$2:$B$6,2,FALSE),"")</f>
        <v>Fortalecer y consolidar los procesos de investigación, creación e innovación al servicio del progreso científico, tecnológico, ambiental, cultural, social y humano, en el contexto regional, nacional e internacional.</v>
      </c>
      <c r="D86" s="200" t="s">
        <v>355</v>
      </c>
      <c r="E86" s="200" t="s">
        <v>361</v>
      </c>
      <c r="F86" s="200" t="s">
        <v>376</v>
      </c>
      <c r="G86" s="200" t="s">
        <v>377</v>
      </c>
      <c r="H86" s="200" t="s">
        <v>378</v>
      </c>
      <c r="I86" s="58" t="s">
        <v>160</v>
      </c>
      <c r="J86" s="63" t="s">
        <v>229</v>
      </c>
      <c r="K86" s="59">
        <v>0.51</v>
      </c>
      <c r="L86" s="196">
        <v>0.6</v>
      </c>
      <c r="M86" s="59">
        <v>0.65</v>
      </c>
      <c r="N86" s="59">
        <v>0.7</v>
      </c>
      <c r="O86" s="59">
        <v>0.7</v>
      </c>
      <c r="P86" s="63">
        <f ca="1">IFERROR(IF($J86=Lists!$S$2,SUM(FORMULACIÓN!K86:O86),IF(FORMULACIÓN!$J86=Lists!$S$3,SUM(FORMULACIÓN!L86:O86),IF(FORMULACIÓN!$J86=Lists!$S$4,AVERAGE(FORMULACIÓN!L86:O86),IF(FORMULACIÓN!$J86=Lists!$S$5,OFFSET(K86,0,COUNTA(L86:O86)),IF(FORMULACIÓN!$J86=Lists!$S$6,AVERAGE(FORMULACIÓN!L86:O86),""))))),"")</f>
        <v>0.7</v>
      </c>
      <c r="Q86" s="51" t="str">
        <f ca="1">IF($I86=Lists!$R$3,TEXT(FORMULACIÓN!P86,"00,00%"),IF(FORMULACIÓN!P86=0,0,TEXT(FORMULACIÓN!P86,"##.###")))</f>
        <v>70,00%</v>
      </c>
      <c r="R86" s="63" t="s">
        <v>365</v>
      </c>
      <c r="S86" s="59">
        <v>0.03</v>
      </c>
      <c r="T86" s="58" t="s">
        <v>350</v>
      </c>
      <c r="U86" s="66">
        <v>108891547.70989087</v>
      </c>
      <c r="V86" s="66"/>
      <c r="W86" s="66"/>
      <c r="X86" s="67">
        <f t="shared" si="5"/>
        <v>108891547.70989087</v>
      </c>
      <c r="Y86" s="66">
        <v>117879346.37386028</v>
      </c>
      <c r="Z86" s="66"/>
      <c r="AA86" s="66"/>
      <c r="AB86" s="67">
        <f t="shared" si="6"/>
        <v>117879346.37386028</v>
      </c>
      <c r="AC86" s="66">
        <v>128312632.16884403</v>
      </c>
      <c r="AD86" s="66"/>
      <c r="AE86" s="66"/>
      <c r="AF86" s="67">
        <f t="shared" si="7"/>
        <v>128312632.16884403</v>
      </c>
      <c r="AG86" s="66">
        <v>45239367.653457411</v>
      </c>
      <c r="AH86" s="66"/>
      <c r="AI86" s="66"/>
      <c r="AJ86" s="65">
        <f t="shared" si="8"/>
        <v>45239367.653457411</v>
      </c>
      <c r="AK86" s="65">
        <f>IF(SUM(AB86,AF86,X86,AJ86)=0,"",SUM((AB86,AF86,X86,AJ86)))</f>
        <v>400322893.90605259</v>
      </c>
      <c r="AL86" s="20"/>
      <c r="AM86" s="20"/>
      <c r="AN86" s="20"/>
      <c r="AO86" s="20"/>
      <c r="AP86" s="20"/>
      <c r="AQ86" s="20"/>
      <c r="AR86" s="20"/>
      <c r="AS86" s="20"/>
      <c r="AT86" s="20"/>
      <c r="AU86" s="20"/>
      <c r="AV86" s="20"/>
      <c r="AW86" s="20"/>
      <c r="CG86" s="17"/>
    </row>
    <row r="87" spans="1:85" s="62" customFormat="1" ht="99.95" customHeight="1">
      <c r="A87" s="92">
        <f t="shared" si="9"/>
        <v>76</v>
      </c>
      <c r="B87" s="200" t="s">
        <v>343</v>
      </c>
      <c r="C87" s="199" t="str">
        <f>IFERROR(VLOOKUP(FORMULACIÓN!B87,Lists!$A$2:$B$6,2,FALSE),"")</f>
        <v>Fortalecer y consolidar los procesos de investigación, creación e innovación al servicio del progreso científico, tecnológico, ambiental, cultural, social y humano, en el contexto regional, nacional e internacional.</v>
      </c>
      <c r="D87" s="200" t="s">
        <v>368</v>
      </c>
      <c r="E87" s="200" t="s">
        <v>361</v>
      </c>
      <c r="F87" s="200" t="s">
        <v>376</v>
      </c>
      <c r="G87" s="200" t="s">
        <v>379</v>
      </c>
      <c r="H87" s="200" t="s">
        <v>380</v>
      </c>
      <c r="I87" s="58" t="s">
        <v>160</v>
      </c>
      <c r="J87" s="63" t="s">
        <v>229</v>
      </c>
      <c r="K87" s="59">
        <v>0.31</v>
      </c>
      <c r="L87" s="196">
        <v>0.31</v>
      </c>
      <c r="M87" s="59">
        <v>0.4</v>
      </c>
      <c r="N87" s="59">
        <v>0.5</v>
      </c>
      <c r="O87" s="59">
        <v>0.5</v>
      </c>
      <c r="P87" s="63">
        <f ca="1">IFERROR(IF($J87=Lists!$S$2,SUM(FORMULACIÓN!K87:O87),IF(FORMULACIÓN!$J87=Lists!$S$3,SUM(FORMULACIÓN!L87:O87),IF(FORMULACIÓN!$J87=Lists!$S$4,AVERAGE(FORMULACIÓN!L87:O87),IF(FORMULACIÓN!$J87=Lists!$S$5,OFFSET(K87,0,COUNTA(L87:O87)),IF(FORMULACIÓN!$J87=Lists!$S$6,AVERAGE(FORMULACIÓN!L87:O87),""))))),"")</f>
        <v>0.5</v>
      </c>
      <c r="Q87" s="51" t="str">
        <f ca="1">IF($I87=Lists!$R$3,TEXT(FORMULACIÓN!P87,"00,00%"),IF(FORMULACIÓN!P87=0,0,TEXT(FORMULACIÓN!P87,"##.###")))</f>
        <v>50,00%</v>
      </c>
      <c r="R87" s="63" t="s">
        <v>365</v>
      </c>
      <c r="S87" s="59">
        <v>0.03</v>
      </c>
      <c r="T87" s="58" t="s">
        <v>350</v>
      </c>
      <c r="U87" s="66">
        <v>136114434.63736358</v>
      </c>
      <c r="V87" s="66"/>
      <c r="W87" s="66"/>
      <c r="X87" s="67">
        <f t="shared" si="5"/>
        <v>136114434.63736358</v>
      </c>
      <c r="Y87" s="66">
        <v>147349182.96732536</v>
      </c>
      <c r="Z87" s="66"/>
      <c r="AA87" s="66"/>
      <c r="AB87" s="67">
        <f t="shared" si="6"/>
        <v>147349182.96732536</v>
      </c>
      <c r="AC87" s="66">
        <v>160390790.21105504</v>
      </c>
      <c r="AD87" s="66"/>
      <c r="AE87" s="66"/>
      <c r="AF87" s="67">
        <f t="shared" si="7"/>
        <v>160390790.21105504</v>
      </c>
      <c r="AG87" s="66">
        <v>56549209.566821769</v>
      </c>
      <c r="AH87" s="66"/>
      <c r="AI87" s="66"/>
      <c r="AJ87" s="65">
        <f t="shared" si="8"/>
        <v>56549209.566821769</v>
      </c>
      <c r="AK87" s="65">
        <f>IF(SUM(AB87,AF87,X87,AJ87)=0,"",SUM((AB87,AF87,X87,AJ87)))</f>
        <v>500403617.38256568</v>
      </c>
      <c r="AL87" s="20"/>
      <c r="AM87" s="20"/>
      <c r="AN87" s="20"/>
      <c r="AO87" s="20"/>
      <c r="AP87" s="20"/>
      <c r="AQ87" s="20"/>
      <c r="AR87" s="20"/>
      <c r="AS87" s="20"/>
      <c r="AT87" s="20"/>
      <c r="AU87" s="20"/>
      <c r="AV87" s="20"/>
      <c r="AW87" s="20"/>
      <c r="CG87" s="17"/>
    </row>
    <row r="88" spans="1:85" s="62" customFormat="1" ht="99.95" customHeight="1">
      <c r="A88" s="92">
        <f t="shared" si="9"/>
        <v>77</v>
      </c>
      <c r="B88" s="200" t="s">
        <v>343</v>
      </c>
      <c r="C88" s="199" t="str">
        <f>IFERROR(VLOOKUP(FORMULACIÓN!B88,Lists!$A$2:$B$6,2,FALSE),"")</f>
        <v>Fortalecer y consolidar los procesos de investigación, creación e innovación al servicio del progreso científico, tecnológico, ambiental, cultural, social y humano, en el contexto regional, nacional e internacional.</v>
      </c>
      <c r="D88" s="200" t="s">
        <v>355</v>
      </c>
      <c r="E88" s="200" t="s">
        <v>361</v>
      </c>
      <c r="F88" s="200" t="s">
        <v>372</v>
      </c>
      <c r="G88" s="200" t="s">
        <v>381</v>
      </c>
      <c r="H88" s="200" t="s">
        <v>382</v>
      </c>
      <c r="I88" s="58" t="s">
        <v>168</v>
      </c>
      <c r="J88" s="63" t="s">
        <v>169</v>
      </c>
      <c r="K88" s="58">
        <v>26</v>
      </c>
      <c r="L88" s="58">
        <v>90</v>
      </c>
      <c r="M88" s="58">
        <v>90</v>
      </c>
      <c r="N88" s="58">
        <v>90</v>
      </c>
      <c r="O88" s="58">
        <v>30</v>
      </c>
      <c r="P88" s="63">
        <f ca="1">IFERROR(IF($J88=Lists!$S$2,SUM(FORMULACIÓN!K88:O88),IF(FORMULACIÓN!$J88=Lists!$S$3,SUM(FORMULACIÓN!L88:O88),IF(FORMULACIÓN!$J88=Lists!$S$4,AVERAGE(FORMULACIÓN!L88:O88),IF(FORMULACIÓN!$J88=Lists!$S$5,OFFSET(K88,0,COUNTA(L88:O88)),IF(FORMULACIÓN!$J88=Lists!$S$6,AVERAGE(FORMULACIÓN!L88:O88),""))))),"")</f>
        <v>300</v>
      </c>
      <c r="Q88" s="51" t="str">
        <f ca="1">IF($I88=Lists!$R$3,TEXT(FORMULACIÓN!P88,"00,00%"),IF(FORMULACIÓN!P88=0,0,TEXT(FORMULACIÓN!P88,"##.###")))</f>
        <v>300</v>
      </c>
      <c r="R88" s="63" t="s">
        <v>383</v>
      </c>
      <c r="S88" s="59">
        <v>0.04</v>
      </c>
      <c r="T88" s="58" t="s">
        <v>350</v>
      </c>
      <c r="U88" s="66">
        <v>805797453.0531925</v>
      </c>
      <c r="V88" s="66"/>
      <c r="W88" s="66"/>
      <c r="X88" s="67">
        <f t="shared" si="5"/>
        <v>805797453.0531925</v>
      </c>
      <c r="Y88" s="66">
        <v>872307163.16656613</v>
      </c>
      <c r="Z88" s="66"/>
      <c r="AA88" s="66"/>
      <c r="AB88" s="67">
        <f t="shared" si="6"/>
        <v>872307163.16656613</v>
      </c>
      <c r="AC88" s="66">
        <v>949513478.04944575</v>
      </c>
      <c r="AD88" s="66"/>
      <c r="AE88" s="66"/>
      <c r="AF88" s="67">
        <f t="shared" si="7"/>
        <v>949513478.04944575</v>
      </c>
      <c r="AG88" s="66">
        <v>334771320.63558483</v>
      </c>
      <c r="AH88" s="66"/>
      <c r="AI88" s="66"/>
      <c r="AJ88" s="65">
        <f t="shared" si="8"/>
        <v>334771320.63558483</v>
      </c>
      <c r="AK88" s="65">
        <f>IF(SUM(AB88,AF88,X88,AJ88)=0,"",SUM((AB88,AF88,X88,AJ88)))</f>
        <v>2962389414.9047894</v>
      </c>
      <c r="AL88" s="20"/>
      <c r="AM88" s="20"/>
      <c r="AN88" s="20"/>
      <c r="AO88" s="20"/>
      <c r="AP88" s="20"/>
      <c r="AQ88" s="20"/>
      <c r="AR88" s="20"/>
      <c r="AS88" s="20"/>
      <c r="AT88" s="20"/>
      <c r="AU88" s="20"/>
      <c r="AV88" s="20"/>
      <c r="AW88" s="20"/>
      <c r="CG88" s="17"/>
    </row>
    <row r="89" spans="1:85" s="62" customFormat="1" ht="99.95" customHeight="1">
      <c r="A89" s="92">
        <f t="shared" si="9"/>
        <v>78</v>
      </c>
      <c r="B89" s="200" t="s">
        <v>343</v>
      </c>
      <c r="C89" s="199" t="str">
        <f>IFERROR(VLOOKUP(FORMULACIÓN!B89,Lists!$A$2:$B$6,2,FALSE),"")</f>
        <v>Fortalecer y consolidar los procesos de investigación, creación e innovación al servicio del progreso científico, tecnológico, ambiental, cultural, social y humano, en el contexto regional, nacional e internacional.</v>
      </c>
      <c r="D89" s="200" t="s">
        <v>355</v>
      </c>
      <c r="E89" s="200" t="s">
        <v>361</v>
      </c>
      <c r="F89" s="200" t="s">
        <v>372</v>
      </c>
      <c r="G89" s="200" t="s">
        <v>381</v>
      </c>
      <c r="H89" s="200" t="s">
        <v>384</v>
      </c>
      <c r="I89" s="58" t="s">
        <v>168</v>
      </c>
      <c r="J89" s="63" t="s">
        <v>169</v>
      </c>
      <c r="K89" s="58">
        <v>27</v>
      </c>
      <c r="L89" s="58">
        <v>105</v>
      </c>
      <c r="M89" s="58">
        <v>105</v>
      </c>
      <c r="N89" s="58">
        <v>105</v>
      </c>
      <c r="O89" s="58">
        <v>35</v>
      </c>
      <c r="P89" s="63">
        <f ca="1">IFERROR(IF($J89=Lists!$S$2,SUM(FORMULACIÓN!K89:O89),IF(FORMULACIÓN!$J89=Lists!$S$3,SUM(FORMULACIÓN!L89:O89),IF(FORMULACIÓN!$J89=Lists!$S$4,AVERAGE(FORMULACIÓN!L89:O89),IF(FORMULACIÓN!$J89=Lists!$S$5,OFFSET(K89,0,COUNTA(L89:O89)),IF(FORMULACIÓN!$J89=Lists!$S$6,AVERAGE(FORMULACIÓN!L89:O89),""))))),"")</f>
        <v>350</v>
      </c>
      <c r="Q89" s="51" t="str">
        <f ca="1">IF($I89=Lists!$R$3,TEXT(FORMULACIÓN!P89,"00,00%"),IF(FORMULACIÓN!P89=0,0,TEXT(FORMULACIÓN!P89,"##.###")))</f>
        <v>350</v>
      </c>
      <c r="R89" s="63" t="s">
        <v>383</v>
      </c>
      <c r="S89" s="59">
        <v>0.04</v>
      </c>
      <c r="T89" s="58" t="s">
        <v>350</v>
      </c>
      <c r="U89" s="66">
        <v>1208696179.5797887</v>
      </c>
      <c r="V89" s="66"/>
      <c r="W89" s="66"/>
      <c r="X89" s="67">
        <f t="shared" si="5"/>
        <v>1208696179.5797887</v>
      </c>
      <c r="Y89" s="66">
        <v>1308460744.7498491</v>
      </c>
      <c r="Z89" s="66"/>
      <c r="AA89" s="66"/>
      <c r="AB89" s="67">
        <f t="shared" si="6"/>
        <v>1308460744.7498491</v>
      </c>
      <c r="AC89" s="66">
        <v>1424270217.0741684</v>
      </c>
      <c r="AD89" s="66"/>
      <c r="AE89" s="66"/>
      <c r="AF89" s="67">
        <f t="shared" si="7"/>
        <v>1424270217.0741684</v>
      </c>
      <c r="AG89" s="66">
        <v>502156980.95337725</v>
      </c>
      <c r="AH89" s="66"/>
      <c r="AI89" s="66"/>
      <c r="AJ89" s="65">
        <f t="shared" si="8"/>
        <v>502156980.95337725</v>
      </c>
      <c r="AK89" s="65">
        <f>IF(SUM(AB89,AF89,X89,AJ89)=0,"",SUM((AB89,AF89,X89,AJ89)))</f>
        <v>4443584122.3571835</v>
      </c>
      <c r="AL89" s="20"/>
      <c r="AM89" s="20"/>
      <c r="AN89" s="20"/>
      <c r="AO89" s="20"/>
      <c r="AP89" s="20"/>
      <c r="AQ89" s="20"/>
      <c r="AR89" s="20"/>
      <c r="AS89" s="20"/>
      <c r="AT89" s="20"/>
      <c r="AU89" s="20"/>
      <c r="AV89" s="20"/>
      <c r="AW89" s="20"/>
      <c r="CG89" s="17"/>
    </row>
    <row r="90" spans="1:85" s="62" customFormat="1" ht="99.95" customHeight="1">
      <c r="A90" s="92">
        <f t="shared" si="9"/>
        <v>79</v>
      </c>
      <c r="B90" s="200" t="s">
        <v>343</v>
      </c>
      <c r="C90" s="199" t="str">
        <f>IFERROR(VLOOKUP(FORMULACIÓN!B90,Lists!$A$2:$B$6,2,FALSE),"")</f>
        <v>Fortalecer y consolidar los procesos de investigación, creación e innovación al servicio del progreso científico, tecnológico, ambiental, cultural, social y humano, en el contexto regional, nacional e internacional.</v>
      </c>
      <c r="D90" s="200" t="s">
        <v>352</v>
      </c>
      <c r="E90" s="200" t="s">
        <v>361</v>
      </c>
      <c r="F90" s="200" t="s">
        <v>385</v>
      </c>
      <c r="G90" s="200" t="s">
        <v>386</v>
      </c>
      <c r="H90" s="200" t="s">
        <v>387</v>
      </c>
      <c r="I90" s="58" t="s">
        <v>168</v>
      </c>
      <c r="J90" s="63" t="s">
        <v>169</v>
      </c>
      <c r="K90" s="58">
        <v>52</v>
      </c>
      <c r="L90" s="58">
        <v>40</v>
      </c>
      <c r="M90" s="58">
        <v>40</v>
      </c>
      <c r="N90" s="58">
        <v>40</v>
      </c>
      <c r="O90" s="58">
        <v>20</v>
      </c>
      <c r="P90" s="63">
        <f ca="1">IFERROR(IF($J90=Lists!$S$2,SUM(FORMULACIÓN!K90:O90),IF(FORMULACIÓN!$J90=Lists!$S$3,SUM(FORMULACIÓN!L90:O90),IF(FORMULACIÓN!$J90=Lists!$S$4,AVERAGE(FORMULACIÓN!L90:O90),IF(FORMULACIÓN!$J90=Lists!$S$5,OFFSET(K90,0,COUNTA(L90:O90)),IF(FORMULACIÓN!$J90=Lists!$S$6,AVERAGE(FORMULACIÓN!L90:O90),""))))),"")</f>
        <v>140</v>
      </c>
      <c r="Q90" s="51" t="str">
        <f ca="1">IF($I90=Lists!$R$3,TEXT(FORMULACIÓN!P90,"00,00%"),IF(FORMULACIÓN!P90=0,0,TEXT(FORMULACIÓN!P90,"##.###")))</f>
        <v>140</v>
      </c>
      <c r="R90" s="63" t="s">
        <v>388</v>
      </c>
      <c r="S90" s="59">
        <v>0.02</v>
      </c>
      <c r="T90" s="58" t="s">
        <v>350</v>
      </c>
      <c r="U90" s="66">
        <v>700693437.43755865</v>
      </c>
      <c r="V90" s="66"/>
      <c r="W90" s="66"/>
      <c r="X90" s="67">
        <f t="shared" si="5"/>
        <v>700693437.43755865</v>
      </c>
      <c r="Y90" s="66">
        <v>758527967.970927</v>
      </c>
      <c r="Z90" s="66"/>
      <c r="AA90" s="66"/>
      <c r="AB90" s="67">
        <f t="shared" si="6"/>
        <v>758527967.970927</v>
      </c>
      <c r="AC90" s="66">
        <v>825663893.95603979</v>
      </c>
      <c r="AD90" s="66"/>
      <c r="AE90" s="66"/>
      <c r="AF90" s="67">
        <f t="shared" si="7"/>
        <v>825663893.95603979</v>
      </c>
      <c r="AG90" s="66">
        <v>291105496.2048564</v>
      </c>
      <c r="AH90" s="66"/>
      <c r="AI90" s="66"/>
      <c r="AJ90" s="65">
        <f t="shared" si="8"/>
        <v>291105496.2048564</v>
      </c>
      <c r="AK90" s="65">
        <f>IF(SUM(AB90,AF90,X90,AJ90)=0,"",SUM((AB90,AF90,X90,AJ90)))</f>
        <v>2575990795.5693817</v>
      </c>
      <c r="AL90" s="20"/>
      <c r="AM90" s="20"/>
      <c r="AN90" s="20"/>
      <c r="AO90" s="20"/>
      <c r="AP90" s="20"/>
      <c r="AQ90" s="20"/>
      <c r="AR90" s="20"/>
      <c r="AS90" s="20"/>
      <c r="AT90" s="20"/>
      <c r="AU90" s="20"/>
      <c r="AV90" s="20"/>
      <c r="AW90" s="20"/>
      <c r="CG90" s="17"/>
    </row>
    <row r="91" spans="1:85" s="62" customFormat="1" ht="99.95" customHeight="1">
      <c r="A91" s="92">
        <f t="shared" si="9"/>
        <v>80</v>
      </c>
      <c r="B91" s="200" t="s">
        <v>343</v>
      </c>
      <c r="C91" s="199" t="str">
        <f>IFERROR(VLOOKUP(FORMULACIÓN!B91,Lists!$A$2:$B$6,2,FALSE),"")</f>
        <v>Fortalecer y consolidar los procesos de investigación, creación e innovación al servicio del progreso científico, tecnológico, ambiental, cultural, social y humano, en el contexto regional, nacional e internacional.</v>
      </c>
      <c r="D91" s="200" t="s">
        <v>389</v>
      </c>
      <c r="E91" s="200" t="s">
        <v>361</v>
      </c>
      <c r="F91" s="200" t="s">
        <v>385</v>
      </c>
      <c r="G91" s="200" t="s">
        <v>386</v>
      </c>
      <c r="H91" s="200" t="s">
        <v>390</v>
      </c>
      <c r="I91" s="58" t="s">
        <v>168</v>
      </c>
      <c r="J91" s="63" t="s">
        <v>169</v>
      </c>
      <c r="K91" s="201">
        <v>10</v>
      </c>
      <c r="L91" s="197">
        <v>10</v>
      </c>
      <c r="M91" s="201">
        <v>10</v>
      </c>
      <c r="N91" s="201">
        <v>10</v>
      </c>
      <c r="O91" s="201">
        <v>2</v>
      </c>
      <c r="P91" s="63">
        <f ca="1">IFERROR(IF($J91=Lists!$S$2,SUM(FORMULACIÓN!K91:O91),IF(FORMULACIÓN!$J91=Lists!$S$3,SUM(FORMULACIÓN!L91:O91),IF(FORMULACIÓN!$J91=Lists!$S$4,AVERAGE(FORMULACIÓN!L91:O91),IF(FORMULACIÓN!$J91=Lists!$S$5,OFFSET(K91,0,COUNTA(L91:O91)),IF(FORMULACIÓN!$J91=Lists!$S$6,AVERAGE(FORMULACIÓN!L91:O91),""))))),"")</f>
        <v>32</v>
      </c>
      <c r="Q91" s="51" t="str">
        <f ca="1">IF($I91=Lists!$R$3,TEXT(FORMULACIÓN!P91,"00,00%"),IF(FORMULACIÓN!P91=0,0,TEXT(FORMULACIÓN!P91,"##.###")))</f>
        <v>32</v>
      </c>
      <c r="R91" s="63" t="s">
        <v>388</v>
      </c>
      <c r="S91" s="59">
        <v>0.02</v>
      </c>
      <c r="T91" s="58" t="s">
        <v>350</v>
      </c>
      <c r="U91" s="66">
        <v>832073456.95710087</v>
      </c>
      <c r="V91" s="66"/>
      <c r="W91" s="66"/>
      <c r="X91" s="67">
        <f t="shared" si="5"/>
        <v>832073456.95710087</v>
      </c>
      <c r="Y91" s="66">
        <v>900751961.9654758</v>
      </c>
      <c r="Z91" s="66"/>
      <c r="AA91" s="66"/>
      <c r="AB91" s="67">
        <f t="shared" si="6"/>
        <v>900751961.9654758</v>
      </c>
      <c r="AC91" s="66">
        <v>980475874.07279718</v>
      </c>
      <c r="AD91" s="66"/>
      <c r="AE91" s="66"/>
      <c r="AF91" s="67">
        <f t="shared" si="7"/>
        <v>980475874.07279718</v>
      </c>
      <c r="AG91" s="66">
        <v>345687776.74326694</v>
      </c>
      <c r="AH91" s="66"/>
      <c r="AI91" s="66"/>
      <c r="AJ91" s="65">
        <f t="shared" si="8"/>
        <v>345687776.74326694</v>
      </c>
      <c r="AK91" s="65">
        <f>IF(SUM(AB91,AF91,X91,AJ91)=0,"",SUM((AB91,AF91,X91,AJ91)))</f>
        <v>3058989069.7386408</v>
      </c>
      <c r="AL91" s="20"/>
      <c r="AM91" s="20"/>
      <c r="AN91" s="20"/>
      <c r="AO91" s="20"/>
      <c r="AP91" s="20"/>
      <c r="AQ91" s="20"/>
      <c r="AR91" s="20"/>
      <c r="AS91" s="20"/>
      <c r="AT91" s="20"/>
      <c r="AU91" s="20"/>
      <c r="AV91" s="20"/>
      <c r="AW91" s="20"/>
      <c r="CG91" s="17"/>
    </row>
    <row r="92" spans="1:85" s="62" customFormat="1" ht="99.95" customHeight="1">
      <c r="A92" s="92">
        <f t="shared" si="9"/>
        <v>81</v>
      </c>
      <c r="B92" s="200" t="s">
        <v>343</v>
      </c>
      <c r="C92" s="199" t="str">
        <f>IFERROR(VLOOKUP(FORMULACIÓN!B92,Lists!$A$2:$B$6,2,FALSE),"")</f>
        <v>Fortalecer y consolidar los procesos de investigación, creación e innovación al servicio del progreso científico, tecnológico, ambiental, cultural, social y humano, en el contexto regional, nacional e internacional.</v>
      </c>
      <c r="D92" s="200" t="s">
        <v>368</v>
      </c>
      <c r="E92" s="200" t="s">
        <v>361</v>
      </c>
      <c r="F92" s="200" t="s">
        <v>391</v>
      </c>
      <c r="G92" s="200" t="s">
        <v>392</v>
      </c>
      <c r="H92" s="200" t="s">
        <v>393</v>
      </c>
      <c r="I92" s="58" t="s">
        <v>168</v>
      </c>
      <c r="J92" s="63" t="s">
        <v>169</v>
      </c>
      <c r="K92" s="201">
        <v>0</v>
      </c>
      <c r="L92" s="197">
        <v>1</v>
      </c>
      <c r="M92" s="201">
        <v>0</v>
      </c>
      <c r="N92" s="201">
        <v>1</v>
      </c>
      <c r="O92" s="201">
        <v>0</v>
      </c>
      <c r="P92" s="63">
        <f ca="1">IFERROR(IF($J92=Lists!$S$2,SUM(FORMULACIÓN!K92:O92),IF(FORMULACIÓN!$J92=Lists!$S$3,SUM(FORMULACIÓN!L92:O92),IF(FORMULACIÓN!$J92=Lists!$S$4,AVERAGE(FORMULACIÓN!L92:O92),IF(FORMULACIÓN!$J92=Lists!$S$5,OFFSET(K92,0,COUNTA(L92:O92)),IF(FORMULACIÓN!$J92=Lists!$S$6,AVERAGE(FORMULACIÓN!L92:O92),""))))),"")</f>
        <v>2</v>
      </c>
      <c r="Q92" s="51" t="str">
        <f ca="1">IF($I92=Lists!$R$3,TEXT(FORMULACIÓN!P92,"00,00%"),IF(FORMULACIÓN!P92=0,0,TEXT(FORMULACIÓN!P92,"##.###")))</f>
        <v>2</v>
      </c>
      <c r="R92" s="63" t="s">
        <v>388</v>
      </c>
      <c r="S92" s="59">
        <v>0.02</v>
      </c>
      <c r="T92" s="58" t="s">
        <v>350</v>
      </c>
      <c r="U92" s="66">
        <v>481726738.2383216</v>
      </c>
      <c r="V92" s="66"/>
      <c r="W92" s="66"/>
      <c r="X92" s="67">
        <f t="shared" si="5"/>
        <v>481726738.2383216</v>
      </c>
      <c r="Y92" s="66">
        <v>521487977.98001236</v>
      </c>
      <c r="Z92" s="66"/>
      <c r="AA92" s="66"/>
      <c r="AB92" s="67">
        <f t="shared" si="6"/>
        <v>521487977.98001236</v>
      </c>
      <c r="AC92" s="66">
        <v>567643927.09477735</v>
      </c>
      <c r="AD92" s="66"/>
      <c r="AE92" s="66"/>
      <c r="AF92" s="67">
        <f t="shared" si="7"/>
        <v>567643927.09477735</v>
      </c>
      <c r="AG92" s="66">
        <v>200135028.64083877</v>
      </c>
      <c r="AH92" s="66"/>
      <c r="AI92" s="66"/>
      <c r="AJ92" s="65">
        <f t="shared" si="8"/>
        <v>200135028.64083877</v>
      </c>
      <c r="AK92" s="65">
        <f>IF(SUM(AB92,AF92,X92,AJ92)=0,"",SUM((AB92,AF92,X92,AJ92)))</f>
        <v>1770993671.9539502</v>
      </c>
      <c r="AL92" s="20"/>
      <c r="AM92" s="20"/>
      <c r="AN92" s="20"/>
      <c r="AO92" s="20"/>
      <c r="AP92" s="20"/>
      <c r="AQ92" s="20"/>
      <c r="AR92" s="20"/>
      <c r="AS92" s="20"/>
      <c r="AT92" s="20"/>
      <c r="AU92" s="20"/>
      <c r="AV92" s="20"/>
      <c r="AW92" s="20"/>
      <c r="CG92" s="17"/>
    </row>
    <row r="93" spans="1:85" s="62" customFormat="1" ht="99.95" customHeight="1">
      <c r="A93" s="92">
        <f t="shared" si="9"/>
        <v>82</v>
      </c>
      <c r="B93" s="200" t="s">
        <v>343</v>
      </c>
      <c r="C93" s="199" t="str">
        <f>IFERROR(VLOOKUP(FORMULACIÓN!B93,Lists!$A$2:$B$6,2,FALSE),"")</f>
        <v>Fortalecer y consolidar los procesos de investigación, creación e innovación al servicio del progreso científico, tecnológico, ambiental, cultural, social y humano, en el contexto regional, nacional e internacional.</v>
      </c>
      <c r="D93" s="200" t="s">
        <v>368</v>
      </c>
      <c r="E93" s="200" t="s">
        <v>394</v>
      </c>
      <c r="F93" s="200" t="s">
        <v>395</v>
      </c>
      <c r="G93" s="200" t="s">
        <v>396</v>
      </c>
      <c r="H93" s="200" t="s">
        <v>397</v>
      </c>
      <c r="I93" s="58" t="s">
        <v>168</v>
      </c>
      <c r="J93" s="63" t="s">
        <v>169</v>
      </c>
      <c r="K93" s="201">
        <v>2</v>
      </c>
      <c r="L93" s="197">
        <v>4</v>
      </c>
      <c r="M93" s="201">
        <v>0</v>
      </c>
      <c r="N93" s="201">
        <v>4</v>
      </c>
      <c r="O93" s="201">
        <v>0</v>
      </c>
      <c r="P93" s="63">
        <f ca="1">IFERROR(IF($J93=Lists!$S$2,SUM(FORMULACIÓN!K93:O93),IF(FORMULACIÓN!$J93=Lists!$S$3,SUM(FORMULACIÓN!L93:O93),IF(FORMULACIÓN!$J93=Lists!$S$4,AVERAGE(FORMULACIÓN!L93:O93),IF(FORMULACIÓN!$J93=Lists!$S$5,OFFSET(K93,0,COUNTA(L93:O93)),IF(FORMULACIÓN!$J93=Lists!$S$6,AVERAGE(FORMULACIÓN!L93:O93),""))))),"")</f>
        <v>8</v>
      </c>
      <c r="Q93" s="51" t="str">
        <f ca="1">IF($I93=Lists!$R$3,TEXT(FORMULACIÓN!P93,"00,00%"),IF(FORMULACIÓN!P93=0,0,TEXT(FORMULACIÓN!P93,"##.###")))</f>
        <v>8</v>
      </c>
      <c r="R93" s="63" t="s">
        <v>398</v>
      </c>
      <c r="S93" s="59">
        <v>0.13</v>
      </c>
      <c r="T93" s="58" t="s">
        <v>350</v>
      </c>
      <c r="U93" s="66">
        <v>1273361425.1873074</v>
      </c>
      <c r="V93" s="66"/>
      <c r="W93" s="66"/>
      <c r="X93" s="67">
        <f t="shared" si="5"/>
        <v>1273361425.1873074</v>
      </c>
      <c r="Y93" s="66">
        <v>1378463394.593966</v>
      </c>
      <c r="Z93" s="66"/>
      <c r="AA93" s="66"/>
      <c r="AB93" s="67">
        <f t="shared" si="6"/>
        <v>1378463394.593966</v>
      </c>
      <c r="AC93" s="66">
        <v>1500468673.6876366</v>
      </c>
      <c r="AD93" s="66"/>
      <c r="AE93" s="66"/>
      <c r="AF93" s="67">
        <f t="shared" si="7"/>
        <v>1500468673.6876366</v>
      </c>
      <c r="AG93" s="66">
        <v>529022379.43438292</v>
      </c>
      <c r="AH93" s="66"/>
      <c r="AI93" s="66"/>
      <c r="AJ93" s="65">
        <f t="shared" si="8"/>
        <v>529022379.43438292</v>
      </c>
      <c r="AK93" s="65">
        <f>IF(SUM(AB93,AF93,X93,AJ93)=0,"",SUM((AB93,AF93,X93,AJ93)))</f>
        <v>4681315872.9032936</v>
      </c>
      <c r="AL93" s="20"/>
      <c r="AM93" s="20"/>
      <c r="AN93" s="20"/>
      <c r="AO93" s="20"/>
      <c r="AP93" s="20"/>
      <c r="AQ93" s="20"/>
      <c r="AR93" s="20"/>
      <c r="AS93" s="20"/>
      <c r="AT93" s="20"/>
      <c r="AU93" s="20"/>
      <c r="AV93" s="20"/>
      <c r="AW93" s="20"/>
      <c r="CG93" s="17"/>
    </row>
    <row r="94" spans="1:85" s="62" customFormat="1" ht="99.95" customHeight="1">
      <c r="A94" s="92">
        <f t="shared" si="9"/>
        <v>83</v>
      </c>
      <c r="B94" s="200" t="s">
        <v>343</v>
      </c>
      <c r="C94" s="199" t="str">
        <f>IFERROR(VLOOKUP(FORMULACIÓN!B94,Lists!$A$2:$B$6,2,FALSE),"")</f>
        <v>Fortalecer y consolidar los procesos de investigación, creación e innovación al servicio del progreso científico, tecnológico, ambiental, cultural, social y humano, en el contexto regional, nacional e internacional.</v>
      </c>
      <c r="D94" s="200" t="s">
        <v>399</v>
      </c>
      <c r="E94" s="200" t="s">
        <v>394</v>
      </c>
      <c r="F94" s="200" t="s">
        <v>400</v>
      </c>
      <c r="G94" s="200" t="s">
        <v>401</v>
      </c>
      <c r="H94" s="200" t="s">
        <v>402</v>
      </c>
      <c r="I94" s="58" t="s">
        <v>168</v>
      </c>
      <c r="J94" s="63" t="s">
        <v>169</v>
      </c>
      <c r="K94" s="201">
        <v>2</v>
      </c>
      <c r="L94" s="197">
        <v>1</v>
      </c>
      <c r="M94" s="201">
        <v>2</v>
      </c>
      <c r="N94" s="201">
        <v>2</v>
      </c>
      <c r="O94" s="201">
        <v>0</v>
      </c>
      <c r="P94" s="63">
        <f ca="1">IFERROR(IF($J94=Lists!$S$2,SUM(FORMULACIÓN!K94:O94),IF(FORMULACIÓN!$J94=Lists!$S$3,SUM(FORMULACIÓN!L94:O94),IF(FORMULACIÓN!$J94=Lists!$S$4,AVERAGE(FORMULACIÓN!L94:O94),IF(FORMULACIÓN!$J94=Lists!$S$5,OFFSET(K94,0,COUNTA(L94:O94)),IF(FORMULACIÓN!$J94=Lists!$S$6,AVERAGE(FORMULACIÓN!L94:O94),""))))),"")</f>
        <v>5</v>
      </c>
      <c r="Q94" s="51" t="str">
        <f ca="1">IF($I94=Lists!$R$3,TEXT(FORMULACIÓN!P94,"00,00%"),IF(FORMULACIÓN!P94=0,0,TEXT(FORMULACIÓN!P94,"##.###")))</f>
        <v>5</v>
      </c>
      <c r="R94" s="63" t="s">
        <v>403</v>
      </c>
      <c r="S94" s="59">
        <v>0.04</v>
      </c>
      <c r="T94" s="58" t="s">
        <v>350</v>
      </c>
      <c r="U94" s="66">
        <v>249105292.6417895</v>
      </c>
      <c r="V94" s="66"/>
      <c r="W94" s="66"/>
      <c r="X94" s="67">
        <f t="shared" si="5"/>
        <v>249105292.6417895</v>
      </c>
      <c r="Y94" s="66">
        <v>269666192.57828861</v>
      </c>
      <c r="Z94" s="66"/>
      <c r="AA94" s="66"/>
      <c r="AB94" s="67">
        <f t="shared" si="6"/>
        <v>269666192.57828861</v>
      </c>
      <c r="AC94" s="66">
        <v>293533855.09052581</v>
      </c>
      <c r="AD94" s="66"/>
      <c r="AE94" s="66"/>
      <c r="AF94" s="67">
        <f t="shared" si="7"/>
        <v>293533855.09052581</v>
      </c>
      <c r="AG94" s="66">
        <v>103491649.76760076</v>
      </c>
      <c r="AH94" s="66"/>
      <c r="AI94" s="66"/>
      <c r="AJ94" s="65">
        <f t="shared" si="8"/>
        <v>103491649.76760076</v>
      </c>
      <c r="AK94" s="65">
        <f>IF(SUM(AB94,AF94,X94,AJ94)=0,"",SUM((AB94,AF94,X94,AJ94)))</f>
        <v>915796990.07820463</v>
      </c>
      <c r="AL94" s="20"/>
      <c r="AM94" s="20"/>
      <c r="AN94" s="20"/>
      <c r="AO94" s="20"/>
      <c r="AP94" s="20"/>
      <c r="AQ94" s="20"/>
      <c r="AR94" s="20"/>
      <c r="AS94" s="20"/>
      <c r="AT94" s="20"/>
      <c r="AU94" s="20"/>
      <c r="AV94" s="20"/>
      <c r="AW94" s="20"/>
      <c r="CG94" s="17"/>
    </row>
    <row r="95" spans="1:85" s="62" customFormat="1" ht="99.95" customHeight="1">
      <c r="A95" s="92">
        <f t="shared" si="9"/>
        <v>84</v>
      </c>
      <c r="B95" s="200" t="s">
        <v>343</v>
      </c>
      <c r="C95" s="199" t="str">
        <f>IFERROR(VLOOKUP(FORMULACIÓN!B95,Lists!$A$2:$B$6,2,FALSE),"")</f>
        <v>Fortalecer y consolidar los procesos de investigación, creación e innovación al servicio del progreso científico, tecnológico, ambiental, cultural, social y humano, en el contexto regional, nacional e internacional.</v>
      </c>
      <c r="D95" s="200" t="s">
        <v>389</v>
      </c>
      <c r="E95" s="200" t="s">
        <v>394</v>
      </c>
      <c r="F95" s="200" t="s">
        <v>400</v>
      </c>
      <c r="G95" s="200" t="s">
        <v>404</v>
      </c>
      <c r="H95" s="200" t="s">
        <v>405</v>
      </c>
      <c r="I95" s="58" t="s">
        <v>168</v>
      </c>
      <c r="J95" s="63" t="s">
        <v>169</v>
      </c>
      <c r="K95" s="58">
        <v>5</v>
      </c>
      <c r="L95" s="58">
        <v>3</v>
      </c>
      <c r="M95" s="58">
        <v>3</v>
      </c>
      <c r="N95" s="58">
        <v>3</v>
      </c>
      <c r="O95" s="58">
        <v>1</v>
      </c>
      <c r="P95" s="63">
        <f ca="1">IFERROR(IF($J95=Lists!$S$2,SUM(FORMULACIÓN!K95:O95),IF(FORMULACIÓN!$J95=Lists!$S$3,SUM(FORMULACIÓN!L95:O95),IF(FORMULACIÓN!$J95=Lists!$S$4,AVERAGE(FORMULACIÓN!L95:O95),IF(FORMULACIÓN!$J95=Lists!$S$5,OFFSET(K95,0,COUNTA(L95:O95)),IF(FORMULACIÓN!$J95=Lists!$S$6,AVERAGE(FORMULACIÓN!L95:O95),""))))),"")</f>
        <v>10</v>
      </c>
      <c r="Q95" s="51" t="str">
        <f ca="1">IF($I95=Lists!$R$3,TEXT(FORMULACIÓN!P95,"00,00%"),IF(FORMULACIÓN!P95=0,0,TEXT(FORMULACIÓN!P95,"##.###")))</f>
        <v>10</v>
      </c>
      <c r="R95" s="63" t="s">
        <v>403</v>
      </c>
      <c r="S95" s="59">
        <v>0.04</v>
      </c>
      <c r="T95" s="58" t="s">
        <v>350</v>
      </c>
      <c r="U95" s="66">
        <v>319573550.81485546</v>
      </c>
      <c r="V95" s="66"/>
      <c r="W95" s="66"/>
      <c r="X95" s="67">
        <f t="shared" si="5"/>
        <v>319573550.81485546</v>
      </c>
      <c r="Y95" s="66">
        <v>345950829.79986912</v>
      </c>
      <c r="Z95" s="66"/>
      <c r="AA95" s="66"/>
      <c r="AB95" s="67">
        <f t="shared" si="6"/>
        <v>345950829.79986912</v>
      </c>
      <c r="AC95" s="66">
        <v>376570306.31839687</v>
      </c>
      <c r="AD95" s="66"/>
      <c r="AE95" s="66"/>
      <c r="AF95" s="67">
        <f t="shared" si="7"/>
        <v>376570306.31839687</v>
      </c>
      <c r="AG95" s="66">
        <v>132767929.75843531</v>
      </c>
      <c r="AH95" s="66"/>
      <c r="AI95" s="66"/>
      <c r="AJ95" s="65">
        <f t="shared" si="8"/>
        <v>132767929.75843531</v>
      </c>
      <c r="AK95" s="65">
        <f>IF(SUM(AB95,AF95,X95,AJ95)=0,"",SUM((AB95,AF95,X95,AJ95)))</f>
        <v>1174862616.6915567</v>
      </c>
      <c r="AL95" s="20"/>
      <c r="AM95" s="20"/>
      <c r="AN95" s="20"/>
      <c r="AO95" s="20"/>
      <c r="AP95" s="20"/>
      <c r="AQ95" s="20"/>
      <c r="AR95" s="20"/>
      <c r="AS95" s="20"/>
      <c r="AT95" s="20"/>
      <c r="AU95" s="20"/>
      <c r="AV95" s="20"/>
      <c r="AW95" s="20"/>
      <c r="CG95" s="17"/>
    </row>
    <row r="96" spans="1:85" s="62" customFormat="1" ht="99.95" customHeight="1">
      <c r="A96" s="92">
        <f t="shared" si="9"/>
        <v>85</v>
      </c>
      <c r="B96" s="200" t="s">
        <v>343</v>
      </c>
      <c r="C96" s="199" t="str">
        <f>IFERROR(VLOOKUP(FORMULACIÓN!B96,Lists!$A$2:$B$6,2,FALSE),"")</f>
        <v>Fortalecer y consolidar los procesos de investigación, creación e innovación al servicio del progreso científico, tecnológico, ambiental, cultural, social y humano, en el contexto regional, nacional e internacional.</v>
      </c>
      <c r="D96" s="200" t="s">
        <v>355</v>
      </c>
      <c r="E96" s="200" t="s">
        <v>394</v>
      </c>
      <c r="F96" s="200" t="s">
        <v>400</v>
      </c>
      <c r="G96" s="200" t="s">
        <v>406</v>
      </c>
      <c r="H96" s="200" t="s">
        <v>407</v>
      </c>
      <c r="I96" s="58" t="s">
        <v>168</v>
      </c>
      <c r="J96" s="63" t="s">
        <v>169</v>
      </c>
      <c r="K96" s="58">
        <v>4</v>
      </c>
      <c r="L96" s="58">
        <v>3</v>
      </c>
      <c r="M96" s="58">
        <v>3</v>
      </c>
      <c r="N96" s="58">
        <v>3</v>
      </c>
      <c r="O96" s="58">
        <v>1</v>
      </c>
      <c r="P96" s="63">
        <f ca="1">IFERROR(IF($J96=Lists!$S$2,SUM(FORMULACIÓN!K96:O96),IF(FORMULACIÓN!$J96=Lists!$S$3,SUM(FORMULACIÓN!L96:O96),IF(FORMULACIÓN!$J96=Lists!$S$4,AVERAGE(FORMULACIÓN!L96:O96),IF(FORMULACIÓN!$J96=Lists!$S$5,OFFSET(K96,0,COUNTA(L96:O96)),IF(FORMULACIÓN!$J96=Lists!$S$6,AVERAGE(FORMULACIÓN!L96:O96),""))))),"")</f>
        <v>10</v>
      </c>
      <c r="Q96" s="51" t="str">
        <f ca="1">IF($I96=Lists!$R$3,TEXT(FORMULACIÓN!P96,"00,00%"),IF(FORMULACIÓN!P96=0,0,TEXT(FORMULACIÓN!P96,"##.###")))</f>
        <v>10</v>
      </c>
      <c r="R96" s="63" t="s">
        <v>403</v>
      </c>
      <c r="S96" s="59">
        <v>0.04</v>
      </c>
      <c r="T96" s="58" t="s">
        <v>350</v>
      </c>
      <c r="U96" s="66">
        <v>281873032.69226491</v>
      </c>
      <c r="V96" s="66"/>
      <c r="W96" s="66"/>
      <c r="X96" s="67">
        <f t="shared" si="5"/>
        <v>281873032.69226491</v>
      </c>
      <c r="Y96" s="66">
        <v>305138548.88632327</v>
      </c>
      <c r="Z96" s="66"/>
      <c r="AA96" s="66"/>
      <c r="AB96" s="67">
        <f t="shared" si="6"/>
        <v>305138548.88632327</v>
      </c>
      <c r="AC96" s="66">
        <v>332145804.91148555</v>
      </c>
      <c r="AD96" s="66"/>
      <c r="AE96" s="66"/>
      <c r="AF96" s="67">
        <f t="shared" si="7"/>
        <v>332145804.91148555</v>
      </c>
      <c r="AG96" s="66">
        <v>117105119.96333873</v>
      </c>
      <c r="AH96" s="66"/>
      <c r="AI96" s="66"/>
      <c r="AJ96" s="65">
        <f t="shared" si="8"/>
        <v>117105119.96333873</v>
      </c>
      <c r="AK96" s="65">
        <f>IF(SUM(AB96,AF96,X96,AJ96)=0,"",SUM((AB96,AF96,X96,AJ96)))</f>
        <v>1036262506.4534125</v>
      </c>
      <c r="AL96" s="20"/>
      <c r="AM96" s="20"/>
      <c r="AN96" s="20"/>
      <c r="AO96" s="20"/>
      <c r="AP96" s="20"/>
      <c r="AQ96" s="20"/>
      <c r="AR96" s="20"/>
      <c r="AS96" s="20"/>
      <c r="AT96" s="20"/>
      <c r="AU96" s="20"/>
      <c r="AV96" s="20"/>
      <c r="AW96" s="20"/>
      <c r="CG96" s="17"/>
    </row>
    <row r="97" spans="1:85" s="62" customFormat="1" ht="99.95" customHeight="1">
      <c r="A97" s="92">
        <f t="shared" si="9"/>
        <v>86</v>
      </c>
      <c r="B97" s="200" t="s">
        <v>343</v>
      </c>
      <c r="C97" s="199" t="str">
        <f>IFERROR(VLOOKUP(FORMULACIÓN!B97,Lists!$A$2:$B$6,2,FALSE),"")</f>
        <v>Fortalecer y consolidar los procesos de investigación, creación e innovación al servicio del progreso científico, tecnológico, ambiental, cultural, social y humano, en el contexto regional, nacional e internacional.</v>
      </c>
      <c r="D97" s="200" t="s">
        <v>368</v>
      </c>
      <c r="E97" s="200" t="s">
        <v>394</v>
      </c>
      <c r="F97" s="200" t="s">
        <v>408</v>
      </c>
      <c r="G97" s="200" t="s">
        <v>409</v>
      </c>
      <c r="H97" s="200" t="s">
        <v>410</v>
      </c>
      <c r="I97" s="58" t="s">
        <v>168</v>
      </c>
      <c r="J97" s="63" t="s">
        <v>169</v>
      </c>
      <c r="K97" s="58">
        <v>0</v>
      </c>
      <c r="L97" s="58">
        <v>7</v>
      </c>
      <c r="M97" s="58">
        <v>4</v>
      </c>
      <c r="N97" s="58">
        <v>4</v>
      </c>
      <c r="O97" s="58">
        <v>0</v>
      </c>
      <c r="P97" s="63">
        <f ca="1">IFERROR(IF($J97=Lists!$S$2,SUM(FORMULACIÓN!K97:O97),IF(FORMULACIÓN!$J97=Lists!$S$3,SUM(FORMULACIÓN!L97:O97),IF(FORMULACIÓN!$J97=Lists!$S$4,AVERAGE(FORMULACIÓN!L97:O97),IF(FORMULACIÓN!$J97=Lists!$S$5,OFFSET(K97,0,COUNTA(L97:O97)),IF(FORMULACIÓN!$J97=Lists!$S$6,AVERAGE(FORMULACIÓN!L97:O97),""))))),"")</f>
        <v>15</v>
      </c>
      <c r="Q97" s="51" t="str">
        <f ca="1">IF($I97=Lists!$R$3,TEXT(FORMULACIÓN!P97,"00,00%"),IF(FORMULACIÓN!P97=0,0,TEXT(FORMULACIÓN!P97,"##.###")))</f>
        <v>15</v>
      </c>
      <c r="R97" s="63" t="s">
        <v>403</v>
      </c>
      <c r="S97" s="59">
        <v>0.04</v>
      </c>
      <c r="T97" s="58" t="s">
        <v>350</v>
      </c>
      <c r="U97" s="66">
        <v>422809549.03839737</v>
      </c>
      <c r="V97" s="66"/>
      <c r="W97" s="66"/>
      <c r="X97" s="67">
        <f t="shared" si="5"/>
        <v>422809549.03839737</v>
      </c>
      <c r="Y97" s="66">
        <v>457707823.32948488</v>
      </c>
      <c r="Z97" s="66"/>
      <c r="AA97" s="66"/>
      <c r="AB97" s="67">
        <f t="shared" si="6"/>
        <v>457707823.32948488</v>
      </c>
      <c r="AC97" s="66">
        <v>498218707.36722827</v>
      </c>
      <c r="AD97" s="66"/>
      <c r="AE97" s="66"/>
      <c r="AF97" s="67">
        <f t="shared" si="7"/>
        <v>498218707.36722827</v>
      </c>
      <c r="AG97" s="66">
        <v>175657679.94500807</v>
      </c>
      <c r="AH97" s="66"/>
      <c r="AI97" s="66"/>
      <c r="AJ97" s="65">
        <f t="shared" si="8"/>
        <v>175657679.94500807</v>
      </c>
      <c r="AK97" s="65">
        <f>IF(SUM(AB97,AF97,X97,AJ97)=0,"",SUM((AB97,AF97,X97,AJ97)))</f>
        <v>1554393759.6801186</v>
      </c>
      <c r="AL97" s="20"/>
      <c r="AM97" s="20"/>
      <c r="AN97" s="20"/>
      <c r="AO97" s="20"/>
      <c r="AP97" s="20"/>
      <c r="AQ97" s="20"/>
      <c r="AR97" s="20"/>
      <c r="AS97" s="20"/>
      <c r="AT97" s="20"/>
      <c r="AU97" s="20"/>
      <c r="AV97" s="20"/>
      <c r="AW97" s="20"/>
      <c r="CG97" s="17"/>
    </row>
    <row r="98" spans="1:85" s="62" customFormat="1" ht="99.95" customHeight="1">
      <c r="A98" s="92">
        <f t="shared" si="9"/>
        <v>87</v>
      </c>
      <c r="B98" s="200" t="s">
        <v>411</v>
      </c>
      <c r="C98" s="199" t="str">
        <f>IFERROR(VLOOKUP(FORMULACIÓN!B98,Lists!$A$2:$B$6,2,FALSE),"")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98" s="200" t="s">
        <v>412</v>
      </c>
      <c r="E98" s="200" t="s">
        <v>413</v>
      </c>
      <c r="F98" s="200" t="s">
        <v>414</v>
      </c>
      <c r="G98" s="200" t="s">
        <v>415</v>
      </c>
      <c r="H98" s="200" t="s">
        <v>416</v>
      </c>
      <c r="I98" s="58" t="s">
        <v>168</v>
      </c>
      <c r="J98" s="63" t="s">
        <v>169</v>
      </c>
      <c r="K98" s="58">
        <v>0</v>
      </c>
      <c r="L98" s="58">
        <v>1</v>
      </c>
      <c r="M98" s="58">
        <v>0</v>
      </c>
      <c r="N98" s="58">
        <v>0</v>
      </c>
      <c r="O98" s="58">
        <v>0</v>
      </c>
      <c r="P98" s="63">
        <f ca="1">IFERROR(IF($J98=Lists!$S$2,SUM(FORMULACIÓN!K98:O98),IF(FORMULACIÓN!$J98=Lists!$S$3,SUM(FORMULACIÓN!L98:O98),IF(FORMULACIÓN!$J98=Lists!$S$4,AVERAGE(FORMULACIÓN!L98:O98),IF(FORMULACIÓN!$J98=Lists!$S$5,OFFSET(K98,0,COUNTA(L98:O98)),IF(FORMULACIÓN!$J98=Lists!$S$6,AVERAGE(FORMULACIÓN!L98:O98),""))))),"")</f>
        <v>1</v>
      </c>
      <c r="Q98" s="51" t="str">
        <f ca="1">IF($I98=Lists!$R$3,TEXT(FORMULACIÓN!P98,"00,00%"),IF(FORMULACIÓN!P98=0,0,TEXT(FORMULACIÓN!P98,"##.###")))</f>
        <v>1</v>
      </c>
      <c r="R98" s="63" t="s">
        <v>417</v>
      </c>
      <c r="S98" s="59">
        <v>2.5000000000000001E-2</v>
      </c>
      <c r="T98" s="58" t="s">
        <v>350</v>
      </c>
      <c r="U98" s="66">
        <v>72382683.790495872</v>
      </c>
      <c r="V98" s="66">
        <v>2422568433.5861568</v>
      </c>
      <c r="W98" s="66"/>
      <c r="X98" s="67">
        <f t="shared" si="5"/>
        <v>2494951117.3766527</v>
      </c>
      <c r="Y98" s="64">
        <v>81353580.550050735</v>
      </c>
      <c r="Z98" s="64">
        <v>2722814434.0461578</v>
      </c>
      <c r="AA98" s="66"/>
      <c r="AB98" s="67">
        <f t="shared" si="6"/>
        <v>2804168014.5962086</v>
      </c>
      <c r="AC98" s="64">
        <v>91389671.987346649</v>
      </c>
      <c r="AD98" s="64">
        <v>3058711323.1826396</v>
      </c>
      <c r="AE98" s="66"/>
      <c r="AF98" s="67">
        <f t="shared" si="7"/>
        <v>3150100995.1699862</v>
      </c>
      <c r="AG98" s="64">
        <v>32903757.394748688</v>
      </c>
      <c r="AH98" s="64">
        <v>1101252396.7971666</v>
      </c>
      <c r="AI98" s="66"/>
      <c r="AJ98" s="65">
        <f t="shared" si="8"/>
        <v>1134156154.1919153</v>
      </c>
      <c r="AK98" s="65">
        <f>IF(SUM(AB98,AF98,X98,AJ98)=0,"",SUM((AB98,AF98,X98,AJ98)))</f>
        <v>9583376281.3347626</v>
      </c>
      <c r="AL98" s="20"/>
      <c r="AM98" s="20"/>
      <c r="AN98" s="20"/>
      <c r="AO98" s="20"/>
      <c r="AP98" s="20"/>
      <c r="AQ98" s="20"/>
      <c r="AR98" s="20"/>
      <c r="AS98" s="20"/>
      <c r="AT98" s="20"/>
      <c r="AU98" s="20"/>
      <c r="AV98" s="20"/>
      <c r="AW98" s="20"/>
      <c r="CG98" s="17"/>
    </row>
    <row r="99" spans="1:85" s="62" customFormat="1" ht="99.95" customHeight="1">
      <c r="A99" s="92">
        <f t="shared" si="9"/>
        <v>88</v>
      </c>
      <c r="B99" s="200" t="s">
        <v>411</v>
      </c>
      <c r="C99" s="199" t="str">
        <f>IFERROR(VLOOKUP(FORMULACIÓN!B99,Lists!$A$2:$B$6,2,FALSE),"")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99" s="200" t="s">
        <v>418</v>
      </c>
      <c r="E99" s="200" t="s">
        <v>413</v>
      </c>
      <c r="F99" s="200" t="s">
        <v>414</v>
      </c>
      <c r="G99" s="200" t="s">
        <v>419</v>
      </c>
      <c r="H99" s="200" t="s">
        <v>420</v>
      </c>
      <c r="I99" s="58" t="s">
        <v>168</v>
      </c>
      <c r="J99" s="63" t="s">
        <v>169</v>
      </c>
      <c r="K99" s="58">
        <v>0</v>
      </c>
      <c r="L99" s="58">
        <v>1</v>
      </c>
      <c r="M99" s="58">
        <v>2</v>
      </c>
      <c r="N99" s="58">
        <v>2</v>
      </c>
      <c r="O99" s="58">
        <v>0</v>
      </c>
      <c r="P99" s="63">
        <f ca="1">IFERROR(IF($J99=Lists!$S$2,SUM(FORMULACIÓN!K99:O99),IF(FORMULACIÓN!$J99=Lists!$S$3,SUM(FORMULACIÓN!L99:O99),IF(FORMULACIÓN!$J99=Lists!$S$4,AVERAGE(FORMULACIÓN!L99:O99),IF(FORMULACIÓN!$J99=Lists!$S$5,OFFSET(K99,0,COUNTA(L99:O99)),IF(FORMULACIÓN!$J99=Lists!$S$6,AVERAGE(FORMULACIÓN!L99:O99),""))))),"")</f>
        <v>5</v>
      </c>
      <c r="Q99" s="51" t="str">
        <f ca="1">IF($I99=Lists!$R$3,TEXT(FORMULACIÓN!P99,"00,00%"),IF(FORMULACIÓN!P99=0,0,TEXT(FORMULACIÓN!P99,"##.###")))</f>
        <v>5</v>
      </c>
      <c r="R99" s="63" t="s">
        <v>417</v>
      </c>
      <c r="S99" s="59">
        <v>2.5000000000000001E-2</v>
      </c>
      <c r="T99" s="58" t="s">
        <v>350</v>
      </c>
      <c r="U99" s="66">
        <v>33542894.11315918</v>
      </c>
      <c r="V99" s="66">
        <v>1122643596.4278462</v>
      </c>
      <c r="W99" s="66"/>
      <c r="X99" s="67">
        <f t="shared" si="5"/>
        <v>1156186490.5410054</v>
      </c>
      <c r="Y99" s="66">
        <v>37700101.670933247</v>
      </c>
      <c r="Z99" s="66">
        <v>1261780739.0969286</v>
      </c>
      <c r="AA99" s="66"/>
      <c r="AB99" s="67">
        <f t="shared" si="6"/>
        <v>1299480840.7678618</v>
      </c>
      <c r="AC99" s="66">
        <v>42350931.603760242</v>
      </c>
      <c r="AD99" s="66">
        <v>1417438877.1380041</v>
      </c>
      <c r="AE99" s="66"/>
      <c r="AF99" s="67">
        <f t="shared" si="7"/>
        <v>1459789808.7417643</v>
      </c>
      <c r="AG99" s="66">
        <v>15247945.95088011</v>
      </c>
      <c r="AH99" s="66">
        <v>510331899.8857038</v>
      </c>
      <c r="AI99" s="66"/>
      <c r="AJ99" s="65">
        <f t="shared" si="8"/>
        <v>525579845.83658391</v>
      </c>
      <c r="AK99" s="65">
        <f>IF(SUM(AB99,AF99,X99,AJ99)=0,"",SUM((AB99,AF99,X99,AJ99)))</f>
        <v>4441036985.8872156</v>
      </c>
      <c r="AL99" s="20"/>
      <c r="AM99" s="20"/>
      <c r="AN99" s="20"/>
      <c r="AO99" s="20"/>
      <c r="AP99" s="20"/>
      <c r="AQ99" s="20"/>
      <c r="AR99" s="20"/>
      <c r="AS99" s="20"/>
      <c r="AT99" s="20"/>
      <c r="AU99" s="20"/>
      <c r="AV99" s="20"/>
      <c r="AW99" s="20"/>
      <c r="CG99" s="17"/>
    </row>
    <row r="100" spans="1:85" s="62" customFormat="1" ht="99.95" customHeight="1">
      <c r="A100" s="92">
        <f t="shared" si="9"/>
        <v>89</v>
      </c>
      <c r="B100" s="200" t="s">
        <v>411</v>
      </c>
      <c r="C100" s="199" t="str">
        <f>IFERROR(VLOOKUP(FORMULACIÓN!B100,Lists!$A$2:$B$6,2,FALSE),"")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0" s="200" t="s">
        <v>421</v>
      </c>
      <c r="E100" s="200" t="s">
        <v>413</v>
      </c>
      <c r="F100" s="200" t="s">
        <v>414</v>
      </c>
      <c r="G100" s="200" t="s">
        <v>422</v>
      </c>
      <c r="H100" s="200" t="s">
        <v>423</v>
      </c>
      <c r="I100" s="58" t="s">
        <v>168</v>
      </c>
      <c r="J100" s="63" t="s">
        <v>169</v>
      </c>
      <c r="K100" s="58">
        <v>10</v>
      </c>
      <c r="L100" s="58">
        <v>100</v>
      </c>
      <c r="M100" s="58">
        <v>200</v>
      </c>
      <c r="N100" s="58">
        <v>250</v>
      </c>
      <c r="O100" s="58">
        <v>50</v>
      </c>
      <c r="P100" s="63">
        <f ca="1">IFERROR(IF($J100=Lists!$S$2,SUM(FORMULACIÓN!K100:O100),IF(FORMULACIÓN!$J100=Lists!$S$3,SUM(FORMULACIÓN!L100:O100),IF(FORMULACIÓN!$J100=Lists!$S$4,AVERAGE(FORMULACIÓN!L100:O100),IF(FORMULACIÓN!$J100=Lists!$S$5,OFFSET(K100,0,COUNTA(L100:O100)),IF(FORMULACIÓN!$J100=Lists!$S$6,AVERAGE(FORMULACIÓN!L100:O100),""))))),"")</f>
        <v>600</v>
      </c>
      <c r="Q100" s="51" t="str">
        <f ca="1">IF($I100=Lists!$R$3,TEXT(FORMULACIÓN!P100,"00,00%"),IF(FORMULACIÓN!P100=0,0,TEXT(FORMULACIÓN!P100,"##.###")))</f>
        <v>600</v>
      </c>
      <c r="R100" s="63" t="s">
        <v>417</v>
      </c>
      <c r="S100" s="59">
        <v>2.5000000000000001E-2</v>
      </c>
      <c r="T100" s="58" t="s">
        <v>350</v>
      </c>
      <c r="U100" s="66">
        <v>47206098.124236584</v>
      </c>
      <c r="V100" s="66">
        <v>1579935934.9474933</v>
      </c>
      <c r="W100" s="66"/>
      <c r="X100" s="67">
        <f t="shared" si="5"/>
        <v>1627142033.0717299</v>
      </c>
      <c r="Y100" s="66">
        <v>53056682.967424393</v>
      </c>
      <c r="Z100" s="66">
        <v>1775748543.9431465</v>
      </c>
      <c r="AA100" s="66"/>
      <c r="AB100" s="67">
        <f t="shared" si="6"/>
        <v>1828805226.9105709</v>
      </c>
      <c r="AC100" s="66">
        <v>59601959.991747856</v>
      </c>
      <c r="AD100" s="66">
        <v>1994811732.510417</v>
      </c>
      <c r="AE100" s="66"/>
      <c r="AF100" s="67">
        <f t="shared" si="7"/>
        <v>2054413692.5021648</v>
      </c>
      <c r="AG100" s="66">
        <v>21458972.213966489</v>
      </c>
      <c r="AH100" s="66">
        <v>718208084.86771739</v>
      </c>
      <c r="AI100" s="66"/>
      <c r="AJ100" s="65">
        <f t="shared" si="8"/>
        <v>739667057.08168387</v>
      </c>
      <c r="AK100" s="65">
        <f>IF(SUM(AB100,AF100,X100,AJ100)=0,"",SUM((AB100,AF100,X100,AJ100)))</f>
        <v>6250028009.5661497</v>
      </c>
      <c r="AL100" s="20"/>
      <c r="AM100" s="20"/>
      <c r="AN100" s="20"/>
      <c r="AO100" s="20"/>
      <c r="AP100" s="20"/>
      <c r="AQ100" s="20"/>
      <c r="AR100" s="20"/>
      <c r="AS100" s="20"/>
      <c r="AT100" s="20"/>
      <c r="AU100" s="20"/>
      <c r="AV100" s="20"/>
      <c r="AW100" s="20"/>
      <c r="CG100" s="17"/>
    </row>
    <row r="101" spans="1:85" s="62" customFormat="1" ht="99.95" customHeight="1">
      <c r="A101" s="92">
        <f t="shared" si="9"/>
        <v>90</v>
      </c>
      <c r="B101" s="200" t="s">
        <v>411</v>
      </c>
      <c r="C101" s="199" t="str">
        <f>IFERROR(VLOOKUP(FORMULACIÓN!B101,Lists!$A$2:$B$6,2,FALSE),"")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1" s="200" t="s">
        <v>421</v>
      </c>
      <c r="E101" s="200" t="s">
        <v>413</v>
      </c>
      <c r="F101" s="200" t="s">
        <v>414</v>
      </c>
      <c r="G101" s="200" t="s">
        <v>422</v>
      </c>
      <c r="H101" s="200" t="s">
        <v>424</v>
      </c>
      <c r="I101" s="58" t="s">
        <v>168</v>
      </c>
      <c r="J101" s="63" t="s">
        <v>169</v>
      </c>
      <c r="K101" s="58">
        <v>0</v>
      </c>
      <c r="L101" s="58">
        <v>3</v>
      </c>
      <c r="M101" s="58">
        <v>3</v>
      </c>
      <c r="N101" s="58">
        <v>3</v>
      </c>
      <c r="O101" s="58">
        <v>1</v>
      </c>
      <c r="P101" s="63">
        <f ca="1">IFERROR(IF($J101=Lists!$S$2,SUM(FORMULACIÓN!K101:O101),IF(FORMULACIÓN!$J101=Lists!$S$3,SUM(FORMULACIÓN!L101:O101),IF(FORMULACIÓN!$J101=Lists!$S$4,AVERAGE(FORMULACIÓN!L101:O101),IF(FORMULACIÓN!$J101=Lists!$S$5,OFFSET(K101,0,COUNTA(L101:O101)),IF(FORMULACIÓN!$J101=Lists!$S$6,AVERAGE(FORMULACIÓN!L101:O101),""))))),"")</f>
        <v>10</v>
      </c>
      <c r="Q101" s="51" t="str">
        <f ca="1">IF($I101=Lists!$R$3,TEXT(FORMULACIÓN!P101,"00,00%"),IF(FORMULACIÓN!P101=0,0,TEXT(FORMULACIÓN!P101,"##.###")))</f>
        <v>10</v>
      </c>
      <c r="R101" s="63" t="s">
        <v>417</v>
      </c>
      <c r="S101" s="59">
        <v>2.5000000000000001E-2</v>
      </c>
      <c r="T101" s="58" t="s">
        <v>350</v>
      </c>
      <c r="U101" s="66">
        <v>62941464.165648699</v>
      </c>
      <c r="V101" s="66">
        <v>2106581246.5966575</v>
      </c>
      <c r="W101" s="66"/>
      <c r="X101" s="67">
        <f t="shared" si="5"/>
        <v>2169522710.7623062</v>
      </c>
      <c r="Y101" s="66">
        <v>70742243.956565857</v>
      </c>
      <c r="Z101" s="66">
        <v>2367664725.2575283</v>
      </c>
      <c r="AA101" s="66"/>
      <c r="AB101" s="67">
        <f t="shared" si="6"/>
        <v>2438406969.2140942</v>
      </c>
      <c r="AC101" s="66">
        <v>79469279.988996983</v>
      </c>
      <c r="AD101" s="66">
        <v>2659748976.6805558</v>
      </c>
      <c r="AE101" s="66"/>
      <c r="AF101" s="67">
        <f t="shared" si="7"/>
        <v>2739218256.6695528</v>
      </c>
      <c r="AG101" s="66">
        <v>28611962.951955318</v>
      </c>
      <c r="AH101" s="66">
        <v>957610779.82362294</v>
      </c>
      <c r="AI101" s="66"/>
      <c r="AJ101" s="65">
        <f t="shared" si="8"/>
        <v>986222742.77557826</v>
      </c>
      <c r="AK101" s="65">
        <f>IF(SUM(AB101,AF101,X101,AJ101)=0,"",SUM((AB101,AF101,X101,AJ101)))</f>
        <v>8333370679.4215317</v>
      </c>
      <c r="AL101" s="20"/>
      <c r="AM101" s="20"/>
      <c r="AN101" s="20"/>
      <c r="AO101" s="20"/>
      <c r="AP101" s="20"/>
      <c r="AQ101" s="20"/>
      <c r="AR101" s="20"/>
      <c r="AS101" s="20"/>
      <c r="AT101" s="20"/>
      <c r="AU101" s="20"/>
      <c r="AV101" s="20"/>
      <c r="AW101" s="20"/>
      <c r="CG101" s="17"/>
    </row>
    <row r="102" spans="1:85" s="62" customFormat="1" ht="99.95" customHeight="1">
      <c r="A102" s="92">
        <f t="shared" si="9"/>
        <v>91</v>
      </c>
      <c r="B102" s="200" t="s">
        <v>411</v>
      </c>
      <c r="C102" s="199" t="str">
        <f>IFERROR(VLOOKUP(FORMULACIÓN!B102,Lists!$A$2:$B$6,2,FALSE),"")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2" s="200" t="s">
        <v>421</v>
      </c>
      <c r="E102" s="200" t="s">
        <v>413</v>
      </c>
      <c r="F102" s="200" t="s">
        <v>414</v>
      </c>
      <c r="G102" s="200" t="s">
        <v>422</v>
      </c>
      <c r="H102" s="200" t="s">
        <v>425</v>
      </c>
      <c r="I102" s="58" t="s">
        <v>168</v>
      </c>
      <c r="J102" s="63" t="s">
        <v>169</v>
      </c>
      <c r="K102" s="58">
        <v>0</v>
      </c>
      <c r="L102" s="58">
        <v>9</v>
      </c>
      <c r="M102" s="58">
        <v>9</v>
      </c>
      <c r="N102" s="58">
        <v>9</v>
      </c>
      <c r="O102" s="58">
        <v>3</v>
      </c>
      <c r="P102" s="63">
        <f ca="1">IFERROR(IF($J102=Lists!$S$2,SUM(FORMULACIÓN!K102:O102),IF(FORMULACIÓN!$J102=Lists!$S$3,SUM(FORMULACIÓN!L102:O102),IF(FORMULACIÓN!$J102=Lists!$S$4,AVERAGE(FORMULACIÓN!L102:O102),IF(FORMULACIÓN!$J102=Lists!$S$5,OFFSET(K102,0,COUNTA(L102:O102)),IF(FORMULACIÓN!$J102=Lists!$S$6,AVERAGE(FORMULACIÓN!L102:O102),""))))),"")</f>
        <v>30</v>
      </c>
      <c r="Q102" s="51" t="str">
        <f ca="1">IF($I102=Lists!$R$3,TEXT(FORMULACIÓN!P102,"00,00%"),IF(FORMULACIÓN!P102=0,0,TEXT(FORMULACIÓN!P102,"##.###")))</f>
        <v>30</v>
      </c>
      <c r="R102" s="63" t="s">
        <v>417</v>
      </c>
      <c r="S102" s="59">
        <v>2.5000000000000001E-2</v>
      </c>
      <c r="T102" s="58" t="s">
        <v>350</v>
      </c>
      <c r="U102" s="66">
        <v>72382683.790495872</v>
      </c>
      <c r="V102" s="66">
        <v>2422568433.5861568</v>
      </c>
      <c r="W102" s="66"/>
      <c r="X102" s="67">
        <f t="shared" si="5"/>
        <v>2494951117.3766527</v>
      </c>
      <c r="Y102" s="66">
        <v>81353580.550050735</v>
      </c>
      <c r="Z102" s="66">
        <v>2722814434.0461578</v>
      </c>
      <c r="AA102" s="66"/>
      <c r="AB102" s="67">
        <f t="shared" si="6"/>
        <v>2804168014.5962086</v>
      </c>
      <c r="AC102" s="66">
        <v>91389671.987346649</v>
      </c>
      <c r="AD102" s="66">
        <v>3058711323.1826396</v>
      </c>
      <c r="AE102" s="66"/>
      <c r="AF102" s="67">
        <f t="shared" si="7"/>
        <v>3150100995.1699862</v>
      </c>
      <c r="AG102" s="66">
        <v>32903757.394748688</v>
      </c>
      <c r="AH102" s="66">
        <v>1101252396.7971666</v>
      </c>
      <c r="AI102" s="66"/>
      <c r="AJ102" s="65">
        <f t="shared" si="8"/>
        <v>1134156154.1919153</v>
      </c>
      <c r="AK102" s="65">
        <f>IF(SUM(AB102,AF102,X102,AJ102)=0,"",SUM((AB102,AF102,X102,AJ102)))</f>
        <v>9583376281.3347626</v>
      </c>
      <c r="AL102" s="20"/>
      <c r="AM102" s="20"/>
      <c r="AN102" s="20"/>
      <c r="AO102" s="20"/>
      <c r="AP102" s="20"/>
      <c r="AQ102" s="20"/>
      <c r="AR102" s="20"/>
      <c r="AS102" s="20"/>
      <c r="AT102" s="20"/>
      <c r="AU102" s="20"/>
      <c r="AV102" s="20"/>
      <c r="AW102" s="20"/>
      <c r="CG102" s="17"/>
    </row>
    <row r="103" spans="1:85" s="62" customFormat="1" ht="99.95" customHeight="1">
      <c r="A103" s="92">
        <f t="shared" si="9"/>
        <v>92</v>
      </c>
      <c r="B103" s="200" t="s">
        <v>411</v>
      </c>
      <c r="C103" s="199" t="str">
        <f>IFERROR(VLOOKUP(FORMULACIÓN!B103,Lists!$A$2:$B$6,2,FALSE),"")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3" s="200" t="s">
        <v>421</v>
      </c>
      <c r="E103" s="200" t="s">
        <v>413</v>
      </c>
      <c r="F103" s="200" t="s">
        <v>414</v>
      </c>
      <c r="G103" s="200" t="s">
        <v>426</v>
      </c>
      <c r="H103" s="200" t="s">
        <v>427</v>
      </c>
      <c r="I103" s="58" t="s">
        <v>168</v>
      </c>
      <c r="J103" s="63" t="s">
        <v>169</v>
      </c>
      <c r="K103" s="58">
        <v>4</v>
      </c>
      <c r="L103" s="58">
        <v>3</v>
      </c>
      <c r="M103" s="58">
        <v>3</v>
      </c>
      <c r="N103" s="58">
        <v>3</v>
      </c>
      <c r="O103" s="58">
        <v>1</v>
      </c>
      <c r="P103" s="63">
        <f ca="1">IFERROR(IF($J103=Lists!$S$2,SUM(FORMULACIÓN!K103:O103),IF(FORMULACIÓN!$J103=Lists!$S$3,SUM(FORMULACIÓN!L103:O103),IF(FORMULACIÓN!$J103=Lists!$S$4,AVERAGE(FORMULACIÓN!L103:O103),IF(FORMULACIÓN!$J103=Lists!$S$5,OFFSET(K103,0,COUNTA(L103:O103)),IF(FORMULACIÓN!$J103=Lists!$S$6,AVERAGE(FORMULACIÓN!L103:O103),""))))),"")</f>
        <v>10</v>
      </c>
      <c r="Q103" s="51" t="str">
        <f ca="1">IF($I103=Lists!$R$3,TEXT(FORMULACIÓN!P103,"00,00%"),IF(FORMULACIÓN!P103=0,0,TEXT(FORMULACIÓN!P103,"##.###")))</f>
        <v>10</v>
      </c>
      <c r="R103" s="63" t="s">
        <v>417</v>
      </c>
      <c r="S103" s="59">
        <v>2.5000000000000001E-2</v>
      </c>
      <c r="T103" s="58" t="s">
        <v>350</v>
      </c>
      <c r="U103" s="66">
        <v>78676830.207060814</v>
      </c>
      <c r="V103" s="66">
        <v>2633226558.2458224</v>
      </c>
      <c r="W103" s="66"/>
      <c r="X103" s="67">
        <f t="shared" si="5"/>
        <v>2711903388.4528832</v>
      </c>
      <c r="Y103" s="66">
        <v>88427804.945707321</v>
      </c>
      <c r="Z103" s="66">
        <v>2959580906.5719109</v>
      </c>
      <c r="AA103" s="66"/>
      <c r="AB103" s="67">
        <f t="shared" si="6"/>
        <v>3048008711.5176182</v>
      </c>
      <c r="AC103" s="66">
        <v>99336599.986246109</v>
      </c>
      <c r="AD103" s="66">
        <v>3324686220.8506951</v>
      </c>
      <c r="AE103" s="66"/>
      <c r="AF103" s="67">
        <f t="shared" si="7"/>
        <v>3424022820.8369412</v>
      </c>
      <c r="AG103" s="66">
        <v>35764953.689944267</v>
      </c>
      <c r="AH103" s="66">
        <v>1197013474.7795289</v>
      </c>
      <c r="AI103" s="66"/>
      <c r="AJ103" s="65">
        <f t="shared" si="8"/>
        <v>1232778428.4694731</v>
      </c>
      <c r="AK103" s="65">
        <f>IF(SUM(AB103,AF103,X103,AJ103)=0,"",SUM((AB103,AF103,X103,AJ103)))</f>
        <v>10416713349.276915</v>
      </c>
      <c r="AL103" s="20"/>
      <c r="AM103" s="20"/>
      <c r="AN103" s="20"/>
      <c r="AO103" s="20"/>
      <c r="AP103" s="20"/>
      <c r="AQ103" s="20"/>
      <c r="AR103" s="20"/>
      <c r="AS103" s="20"/>
      <c r="AT103" s="20"/>
      <c r="AU103" s="20"/>
      <c r="AV103" s="20"/>
      <c r="AW103" s="20"/>
      <c r="CG103" s="17"/>
    </row>
    <row r="104" spans="1:85" s="62" customFormat="1" ht="99.95" customHeight="1">
      <c r="A104" s="92">
        <f t="shared" si="9"/>
        <v>93</v>
      </c>
      <c r="B104" s="200" t="s">
        <v>411</v>
      </c>
      <c r="C104" s="199" t="str">
        <f>IFERROR(VLOOKUP(FORMULACIÓN!B104,Lists!$A$2:$B$6,2,FALSE),"")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4" s="200" t="s">
        <v>421</v>
      </c>
      <c r="E104" s="200" t="s">
        <v>413</v>
      </c>
      <c r="F104" s="200" t="s">
        <v>414</v>
      </c>
      <c r="G104" s="200" t="s">
        <v>428</v>
      </c>
      <c r="H104" s="200" t="s">
        <v>429</v>
      </c>
      <c r="I104" s="58" t="s">
        <v>168</v>
      </c>
      <c r="J104" s="63" t="s">
        <v>169</v>
      </c>
      <c r="K104" s="58">
        <v>1</v>
      </c>
      <c r="L104" s="58">
        <v>1</v>
      </c>
      <c r="M104" s="58">
        <v>2</v>
      </c>
      <c r="N104" s="58">
        <v>1</v>
      </c>
      <c r="O104" s="58">
        <v>1</v>
      </c>
      <c r="P104" s="63">
        <f ca="1">IFERROR(IF($J104=Lists!$S$2,SUM(FORMULACIÓN!K104:O104),IF(FORMULACIÓN!$J104=Lists!$S$3,SUM(FORMULACIÓN!L104:O104),IF(FORMULACIÓN!$J104=Lists!$S$4,AVERAGE(FORMULACIÓN!L104:O104),IF(FORMULACIÓN!$J104=Lists!$S$5,OFFSET(K104,0,COUNTA(L104:O104)),IF(FORMULACIÓN!$J104=Lists!$S$6,AVERAGE(FORMULACIÓN!L104:O104),""))))),"")</f>
        <v>5</v>
      </c>
      <c r="Q104" s="51" t="str">
        <f ca="1">IF($I104=Lists!$R$3,TEXT(FORMULACIÓN!P104,"00,00%"),IF(FORMULACIÓN!P104=0,0,TEXT(FORMULACIÓN!P104,"##.###")))</f>
        <v>5</v>
      </c>
      <c r="R104" s="63" t="s">
        <v>417</v>
      </c>
      <c r="S104" s="59">
        <v>2.5000000000000001E-2</v>
      </c>
      <c r="T104" s="58" t="s">
        <v>350</v>
      </c>
      <c r="U104" s="66">
        <v>56647317.749083996</v>
      </c>
      <c r="V104" s="66">
        <v>1895923121.9369922</v>
      </c>
      <c r="W104" s="66"/>
      <c r="X104" s="67">
        <f t="shared" si="5"/>
        <v>1952570439.6860762</v>
      </c>
      <c r="Y104" s="66">
        <v>63668019.560909271</v>
      </c>
      <c r="Z104" s="66">
        <v>2130898252.7317758</v>
      </c>
      <c r="AA104" s="66"/>
      <c r="AB104" s="67">
        <f t="shared" si="6"/>
        <v>2194566272.292685</v>
      </c>
      <c r="AC104" s="66">
        <v>71522351.990097523</v>
      </c>
      <c r="AD104" s="66">
        <v>2393774079.0125003</v>
      </c>
      <c r="AE104" s="66"/>
      <c r="AF104" s="67">
        <f t="shared" si="7"/>
        <v>2465296431.0025978</v>
      </c>
      <c r="AG104" s="66">
        <v>25750766.656759858</v>
      </c>
      <c r="AH104" s="66">
        <v>861849701.84126079</v>
      </c>
      <c r="AI104" s="66"/>
      <c r="AJ104" s="65">
        <f t="shared" si="8"/>
        <v>887600468.49802065</v>
      </c>
      <c r="AK104" s="65">
        <f>IF(SUM(AB104,AF104,X104,AJ104)=0,"",SUM((AB104,AF104,X104,AJ104)))</f>
        <v>7500033611.4793797</v>
      </c>
      <c r="AL104" s="20"/>
      <c r="AM104" s="20"/>
      <c r="AN104" s="20"/>
      <c r="AO104" s="20"/>
      <c r="AP104" s="20"/>
      <c r="AQ104" s="20"/>
      <c r="AR104" s="20"/>
      <c r="AS104" s="20"/>
      <c r="AT104" s="20"/>
      <c r="AU104" s="20"/>
      <c r="AV104" s="20"/>
      <c r="AW104" s="20"/>
      <c r="CG104" s="17"/>
    </row>
    <row r="105" spans="1:85" s="62" customFormat="1" ht="99.95" customHeight="1">
      <c r="A105" s="92">
        <f t="shared" si="9"/>
        <v>94</v>
      </c>
      <c r="B105" s="200" t="s">
        <v>411</v>
      </c>
      <c r="C105" s="199" t="str">
        <f>IFERROR(VLOOKUP(FORMULACIÓN!B105,Lists!$A$2:$B$6,2,FALSE),"")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5" s="200" t="s">
        <v>421</v>
      </c>
      <c r="E105" s="200" t="s">
        <v>413</v>
      </c>
      <c r="F105" s="200" t="s">
        <v>414</v>
      </c>
      <c r="G105" s="200" t="s">
        <v>430</v>
      </c>
      <c r="H105" s="200" t="s">
        <v>431</v>
      </c>
      <c r="I105" s="58" t="s">
        <v>168</v>
      </c>
      <c r="J105" s="63" t="s">
        <v>169</v>
      </c>
      <c r="K105" s="58">
        <v>3</v>
      </c>
      <c r="L105" s="58">
        <v>6</v>
      </c>
      <c r="M105" s="58">
        <v>6</v>
      </c>
      <c r="N105" s="58">
        <v>6</v>
      </c>
      <c r="O105" s="58">
        <v>2</v>
      </c>
      <c r="P105" s="63">
        <f ca="1">IFERROR(IF($J105=Lists!$S$2,SUM(FORMULACIÓN!K105:O105),IF(FORMULACIÓN!$J105=Lists!$S$3,SUM(FORMULACIÓN!L105:O105),IF(FORMULACIÓN!$J105=Lists!$S$4,AVERAGE(FORMULACIÓN!L105:O105),IF(FORMULACIÓN!$J105=Lists!$S$5,OFFSET(K105,0,COUNTA(L105:O105)),IF(FORMULACIÓN!$J105=Lists!$S$6,AVERAGE(FORMULACIÓN!L105:O105),""))))),"")</f>
        <v>20</v>
      </c>
      <c r="Q105" s="51" t="str">
        <f ca="1">IF($I105=Lists!$R$3,TEXT(FORMULACIÓN!P105,"00,00%"),IF(FORMULACIÓN!P105=0,0,TEXT(FORMULACIÓN!P105,"##.###")))</f>
        <v>20</v>
      </c>
      <c r="R105" s="63" t="s">
        <v>417</v>
      </c>
      <c r="S105" s="59">
        <v>2.5000000000000001E-2</v>
      </c>
      <c r="T105" s="58" t="s">
        <v>350</v>
      </c>
      <c r="U105" s="66">
        <v>31470732.082824349</v>
      </c>
      <c r="V105" s="66">
        <v>1053290623.2983288</v>
      </c>
      <c r="W105" s="66"/>
      <c r="X105" s="67">
        <f t="shared" si="5"/>
        <v>1084761355.3811531</v>
      </c>
      <c r="Y105" s="66">
        <v>35371121.978282928</v>
      </c>
      <c r="Z105" s="66">
        <v>1183832362.6287642</v>
      </c>
      <c r="AA105" s="66"/>
      <c r="AB105" s="67">
        <f t="shared" si="6"/>
        <v>1219203484.6070471</v>
      </c>
      <c r="AC105" s="66">
        <v>39734639.994498491</v>
      </c>
      <c r="AD105" s="66">
        <v>1329874488.3402779</v>
      </c>
      <c r="AE105" s="66"/>
      <c r="AF105" s="67">
        <f t="shared" si="7"/>
        <v>1369609128.3347764</v>
      </c>
      <c r="AG105" s="66">
        <v>14305981.475977659</v>
      </c>
      <c r="AH105" s="66">
        <v>478805389.91181147</v>
      </c>
      <c r="AI105" s="66"/>
      <c r="AJ105" s="65">
        <f t="shared" si="8"/>
        <v>493111371.38778913</v>
      </c>
      <c r="AK105" s="65">
        <f>IF(SUM(AB105,AF105,X105,AJ105)=0,"",SUM((AB105,AF105,X105,AJ105)))</f>
        <v>4166685339.7107658</v>
      </c>
      <c r="AL105" s="20"/>
      <c r="AM105" s="20"/>
      <c r="AN105" s="20"/>
      <c r="AO105" s="20"/>
      <c r="AP105" s="20"/>
      <c r="AQ105" s="20"/>
      <c r="AR105" s="20"/>
      <c r="AS105" s="20"/>
      <c r="AT105" s="20"/>
      <c r="AU105" s="20"/>
      <c r="AV105" s="20"/>
      <c r="AW105" s="20"/>
      <c r="CG105" s="17"/>
    </row>
    <row r="106" spans="1:85" s="62" customFormat="1" ht="99.95" customHeight="1">
      <c r="A106" s="92">
        <f t="shared" si="9"/>
        <v>95</v>
      </c>
      <c r="B106" s="200" t="s">
        <v>411</v>
      </c>
      <c r="C106" s="199" t="str">
        <f>IFERROR(VLOOKUP(FORMULACIÓN!B106,Lists!$A$2:$B$6,2,FALSE),"")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6" s="200" t="s">
        <v>432</v>
      </c>
      <c r="E106" s="200" t="s">
        <v>433</v>
      </c>
      <c r="F106" s="200" t="s">
        <v>434</v>
      </c>
      <c r="G106" s="200" t="s">
        <v>435</v>
      </c>
      <c r="H106" s="200" t="s">
        <v>436</v>
      </c>
      <c r="I106" s="58" t="s">
        <v>168</v>
      </c>
      <c r="J106" s="63" t="s">
        <v>169</v>
      </c>
      <c r="K106" s="201">
        <v>9</v>
      </c>
      <c r="L106" s="197">
        <v>21</v>
      </c>
      <c r="M106" s="201">
        <v>21</v>
      </c>
      <c r="N106" s="201">
        <v>21</v>
      </c>
      <c r="O106" s="201">
        <v>7</v>
      </c>
      <c r="P106" s="63">
        <f ca="1">IFERROR(IF($J106=Lists!$S$2,SUM(FORMULACIÓN!K106:O106),IF(FORMULACIÓN!$J106=Lists!$S$3,SUM(FORMULACIÓN!L106:O106),IF(FORMULACIÓN!$J106=Lists!$S$4,AVERAGE(FORMULACIÓN!L106:O106),IF(FORMULACIÓN!$J106=Lists!$S$5,OFFSET(K106,0,COUNTA(L106:O106)),IF(FORMULACIÓN!$J106=Lists!$S$6,AVERAGE(FORMULACIÓN!L106:O106),""))))),"")</f>
        <v>70</v>
      </c>
      <c r="Q106" s="51" t="str">
        <f ca="1">IF($I106=Lists!$R$3,TEXT(FORMULACIÓN!P106,"00,00%"),IF(FORMULACIÓN!P106=0,0,TEXT(FORMULACIÓN!P106,"##.###")))</f>
        <v>70</v>
      </c>
      <c r="R106" s="63" t="s">
        <v>437</v>
      </c>
      <c r="S106" s="59">
        <v>7.4999999999999997E-2</v>
      </c>
      <c r="T106" s="58" t="s">
        <v>350</v>
      </c>
      <c r="U106" s="66">
        <v>85554349.542510986</v>
      </c>
      <c r="V106" s="66">
        <v>8469880604.708539</v>
      </c>
      <c r="W106" s="66"/>
      <c r="X106" s="67">
        <f t="shared" si="5"/>
        <v>8555434954.25105</v>
      </c>
      <c r="Y106" s="66">
        <v>99735174.263479233</v>
      </c>
      <c r="Z106" s="66">
        <v>9873782252.0844269</v>
      </c>
      <c r="AA106" s="66"/>
      <c r="AB106" s="67">
        <f t="shared" si="6"/>
        <v>9973517426.3479061</v>
      </c>
      <c r="AC106" s="66">
        <v>112126168.82142067</v>
      </c>
      <c r="AD106" s="66">
        <v>11100490713.320541</v>
      </c>
      <c r="AE106" s="66"/>
      <c r="AF106" s="67">
        <f t="shared" si="7"/>
        <v>11212616882.141962</v>
      </c>
      <c r="AG106" s="66">
        <v>40390020.440583229</v>
      </c>
      <c r="AH106" s="66">
        <v>3998612023.6177545</v>
      </c>
      <c r="AI106" s="66"/>
      <c r="AJ106" s="65">
        <f t="shared" si="8"/>
        <v>4039002044.0583377</v>
      </c>
      <c r="AK106" s="65">
        <f>IF(SUM(AB106,AF106,X106,AJ106)=0,"",SUM((AB106,AF106,X106,AJ106)))</f>
        <v>33780571306.799255</v>
      </c>
      <c r="AL106" s="20"/>
      <c r="AM106" s="20"/>
      <c r="AN106" s="20"/>
      <c r="AO106" s="20"/>
      <c r="AP106" s="20"/>
      <c r="AQ106" s="20"/>
      <c r="AR106" s="20"/>
      <c r="AS106" s="20"/>
      <c r="AT106" s="20"/>
      <c r="AU106" s="20"/>
      <c r="AV106" s="20"/>
      <c r="AW106" s="20"/>
      <c r="CG106" s="17"/>
    </row>
    <row r="107" spans="1:85" s="62" customFormat="1" ht="99.95" customHeight="1">
      <c r="A107" s="92">
        <f t="shared" si="9"/>
        <v>96</v>
      </c>
      <c r="B107" s="200" t="s">
        <v>411</v>
      </c>
      <c r="C107" s="199" t="str">
        <f>IFERROR(VLOOKUP(FORMULACIÓN!B107,Lists!$A$2:$B$6,2,FALSE),"")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7" s="200" t="s">
        <v>438</v>
      </c>
      <c r="E107" s="200" t="s">
        <v>433</v>
      </c>
      <c r="F107" s="200" t="s">
        <v>439</v>
      </c>
      <c r="G107" s="200" t="s">
        <v>440</v>
      </c>
      <c r="H107" s="200" t="s">
        <v>441</v>
      </c>
      <c r="I107" s="58" t="s">
        <v>160</v>
      </c>
      <c r="J107" s="63" t="s">
        <v>169</v>
      </c>
      <c r="K107" s="59">
        <v>0</v>
      </c>
      <c r="L107" s="196">
        <v>0</v>
      </c>
      <c r="M107" s="59">
        <v>0</v>
      </c>
      <c r="N107" s="59">
        <v>0</v>
      </c>
      <c r="O107" s="59">
        <v>0.2</v>
      </c>
      <c r="P107" s="63">
        <f ca="1">IFERROR(IF($J107=Lists!$S$2,SUM(FORMULACIÓN!K107:O107),IF(FORMULACIÓN!$J107=Lists!$S$3,SUM(FORMULACIÓN!L107:O107),IF(FORMULACIÓN!$J107=Lists!$S$4,AVERAGE(FORMULACIÓN!L107:O107),IF(FORMULACIÓN!$J107=Lists!$S$5,OFFSET(K107,0,COUNTA(L107:O107)),IF(FORMULACIÓN!$J107=Lists!$S$6,AVERAGE(FORMULACIÓN!L107:O107),""))))),"")</f>
        <v>0.2</v>
      </c>
      <c r="Q107" s="51" t="str">
        <f ca="1">IF($I107=Lists!$R$3,TEXT(FORMULACIÓN!P107,"00,00%"),IF(FORMULACIÓN!P107=0,0,TEXT(FORMULACIÓN!P107,"##.###")))</f>
        <v>20,00%</v>
      </c>
      <c r="R107" s="63" t="s">
        <v>437</v>
      </c>
      <c r="S107" s="59">
        <v>7.4999999999999997E-2</v>
      </c>
      <c r="T107" s="58" t="s">
        <v>350</v>
      </c>
      <c r="U107" s="66">
        <v>128331524.31376648</v>
      </c>
      <c r="V107" s="66">
        <v>12704820907.062807</v>
      </c>
      <c r="W107" s="66"/>
      <c r="X107" s="67">
        <f t="shared" si="5"/>
        <v>12833152431.376574</v>
      </c>
      <c r="Y107" s="66">
        <v>149602761.3952179</v>
      </c>
      <c r="Z107" s="66">
        <v>14810673378.126638</v>
      </c>
      <c r="AA107" s="66"/>
      <c r="AB107" s="67">
        <f t="shared" si="6"/>
        <v>14960276139.521856</v>
      </c>
      <c r="AC107" s="66">
        <v>168189253.23213005</v>
      </c>
      <c r="AD107" s="66">
        <v>16650736069.980812</v>
      </c>
      <c r="AE107" s="66"/>
      <c r="AF107" s="67">
        <f t="shared" si="7"/>
        <v>16818925323.212942</v>
      </c>
      <c r="AG107" s="66">
        <v>60585030.66087532</v>
      </c>
      <c r="AH107" s="66">
        <v>5997918035.426631</v>
      </c>
      <c r="AI107" s="66"/>
      <c r="AJ107" s="65">
        <f t="shared" si="8"/>
        <v>6058503066.0875063</v>
      </c>
      <c r="AK107" s="65">
        <f>IF(SUM(AB107,AF107,X107,AJ107)=0,"",SUM((AB107,AF107,X107,AJ107)))</f>
        <v>50670856960.198883</v>
      </c>
      <c r="AL107" s="20"/>
      <c r="AM107" s="20"/>
      <c r="AN107" s="20"/>
      <c r="AO107" s="20"/>
      <c r="AP107" s="20"/>
      <c r="AQ107" s="20"/>
      <c r="AR107" s="20"/>
      <c r="AS107" s="20"/>
      <c r="AT107" s="20"/>
      <c r="AU107" s="20"/>
      <c r="AV107" s="20"/>
      <c r="AW107" s="20"/>
      <c r="CG107" s="17"/>
    </row>
    <row r="108" spans="1:85" s="62" customFormat="1" ht="99.95" customHeight="1">
      <c r="A108" s="92">
        <f t="shared" si="9"/>
        <v>97</v>
      </c>
      <c r="B108" s="200" t="s">
        <v>411</v>
      </c>
      <c r="C108" s="199" t="str">
        <f>IFERROR(VLOOKUP(FORMULACIÓN!B108,Lists!$A$2:$B$6,2,FALSE),"")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8" s="200" t="s">
        <v>442</v>
      </c>
      <c r="E108" s="200" t="s">
        <v>433</v>
      </c>
      <c r="F108" s="200" t="s">
        <v>443</v>
      </c>
      <c r="G108" s="200" t="s">
        <v>444</v>
      </c>
      <c r="H108" s="200" t="s">
        <v>445</v>
      </c>
      <c r="I108" s="58" t="s">
        <v>160</v>
      </c>
      <c r="J108" s="63" t="s">
        <v>161</v>
      </c>
      <c r="K108" s="59">
        <v>0</v>
      </c>
      <c r="L108" s="196">
        <v>0.5</v>
      </c>
      <c r="M108" s="59">
        <v>0.2</v>
      </c>
      <c r="N108" s="59">
        <v>0.2</v>
      </c>
      <c r="O108" s="59">
        <v>0.1</v>
      </c>
      <c r="P108" s="63">
        <f ca="1">IFERROR(IF($J108=Lists!$S$2,SUM(FORMULACIÓN!K108:O108),IF(FORMULACIÓN!$J108=Lists!$S$3,SUM(FORMULACIÓN!L108:O108),IF(FORMULACIÓN!$J108=Lists!$S$4,AVERAGE(FORMULACIÓN!L108:O108),IF(FORMULACIÓN!$J108=Lists!$S$5,OFFSET(K108,0,COUNTA(L108:O108)),IF(FORMULACIÓN!$J108=Lists!$S$6,AVERAGE(FORMULACIÓN!L108:O108),""))))),"")</f>
        <v>0.99999999999999989</v>
      </c>
      <c r="Q108" s="51" t="str">
        <f ca="1">IF($I108=Lists!$R$3,TEXT(FORMULACIÓN!P108,"00,00%"),IF(FORMULACIÓN!P108=0,0,TEXT(FORMULACIÓN!P108,"##.###")))</f>
        <v>100,00%</v>
      </c>
      <c r="R108" s="63" t="s">
        <v>446</v>
      </c>
      <c r="S108" s="59">
        <v>2.5000000000000001E-2</v>
      </c>
      <c r="T108" s="58" t="s">
        <v>350</v>
      </c>
      <c r="U108" s="66">
        <v>12767744.63146615</v>
      </c>
      <c r="V108" s="66">
        <v>146829063.26186082</v>
      </c>
      <c r="W108" s="66"/>
      <c r="X108" s="67">
        <f t="shared" si="5"/>
        <v>159596807.89332697</v>
      </c>
      <c r="Y108" s="66">
        <v>14330711.832090914</v>
      </c>
      <c r="Z108" s="66">
        <v>164803186.06904563</v>
      </c>
      <c r="AA108" s="66"/>
      <c r="AB108" s="67">
        <f t="shared" si="6"/>
        <v>179133897.90113655</v>
      </c>
      <c r="AC108" s="66">
        <v>16063233.244349003</v>
      </c>
      <c r="AD108" s="66">
        <v>184727182.31001362</v>
      </c>
      <c r="AE108" s="66"/>
      <c r="AF108" s="67">
        <f t="shared" si="7"/>
        <v>200790415.55436262</v>
      </c>
      <c r="AG108" s="66">
        <v>5775139.4621637017</v>
      </c>
      <c r="AH108" s="66">
        <v>66414103.814882636</v>
      </c>
      <c r="AI108" s="66"/>
      <c r="AJ108" s="65">
        <f t="shared" si="8"/>
        <v>72189243.277046338</v>
      </c>
      <c r="AK108" s="65">
        <f>IF(SUM(AB108,AF108,X108,AJ108)=0,"",SUM((AB108,AF108,X108,AJ108)))</f>
        <v>611710364.62587249</v>
      </c>
      <c r="AL108" s="20"/>
      <c r="AM108" s="20"/>
      <c r="AN108" s="20"/>
      <c r="AO108" s="20"/>
      <c r="AP108" s="20"/>
      <c r="AQ108" s="20"/>
      <c r="AR108" s="20"/>
      <c r="AS108" s="20"/>
      <c r="AT108" s="20"/>
      <c r="AU108" s="20"/>
      <c r="AV108" s="20"/>
      <c r="AW108" s="20"/>
      <c r="CG108" s="17"/>
    </row>
    <row r="109" spans="1:85" s="62" customFormat="1" ht="99.95" customHeight="1">
      <c r="A109" s="92">
        <f t="shared" si="9"/>
        <v>98</v>
      </c>
      <c r="B109" s="200" t="s">
        <v>411</v>
      </c>
      <c r="C109" s="199" t="str">
        <f>IFERROR(VLOOKUP(FORMULACIÓN!B109,Lists!$A$2:$B$6,2,FALSE),"")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09" s="200" t="s">
        <v>438</v>
      </c>
      <c r="E109" s="200" t="s">
        <v>433</v>
      </c>
      <c r="F109" s="200" t="s">
        <v>443</v>
      </c>
      <c r="G109" s="200" t="s">
        <v>447</v>
      </c>
      <c r="H109" s="200" t="s">
        <v>448</v>
      </c>
      <c r="I109" s="58" t="s">
        <v>168</v>
      </c>
      <c r="J109" s="63" t="s">
        <v>169</v>
      </c>
      <c r="K109" s="58">
        <v>3</v>
      </c>
      <c r="L109" s="58">
        <v>2</v>
      </c>
      <c r="M109" s="58">
        <v>2</v>
      </c>
      <c r="N109" s="58">
        <v>2</v>
      </c>
      <c r="O109" s="58">
        <v>1</v>
      </c>
      <c r="P109" s="63">
        <f ca="1">IFERROR(IF($J109=Lists!$S$2,SUM(FORMULACIÓN!K109:O109),IF(FORMULACIÓN!$J109=Lists!$S$3,SUM(FORMULACIÓN!L109:O109),IF(FORMULACIÓN!$J109=Lists!$S$4,AVERAGE(FORMULACIÓN!L109:O109),IF(FORMULACIÓN!$J109=Lists!$S$5,OFFSET(K109,0,COUNTA(L109:O109)),IF(FORMULACIÓN!$J109=Lists!$S$6,AVERAGE(FORMULACIÓN!L109:O109),""))))),"")</f>
        <v>7</v>
      </c>
      <c r="Q109" s="51" t="str">
        <f ca="1">IF($I109=Lists!$R$3,TEXT(FORMULACIÓN!P109,"00,00%"),IF(FORMULACIÓN!P109=0,0,TEXT(FORMULACIÓN!P109,"##.###")))</f>
        <v>7</v>
      </c>
      <c r="R109" s="63" t="s">
        <v>446</v>
      </c>
      <c r="S109" s="59">
        <v>2.5000000000000001E-2</v>
      </c>
      <c r="T109" s="58" t="s">
        <v>350</v>
      </c>
      <c r="U109" s="66">
        <v>34047319.017243087</v>
      </c>
      <c r="V109" s="66">
        <v>391544168.69829553</v>
      </c>
      <c r="W109" s="66"/>
      <c r="X109" s="67">
        <f t="shared" si="5"/>
        <v>425591487.71553862</v>
      </c>
      <c r="Y109" s="66">
        <v>38215231.552242458</v>
      </c>
      <c r="Z109" s="66">
        <v>439475162.85078835</v>
      </c>
      <c r="AA109" s="66"/>
      <c r="AB109" s="67">
        <f t="shared" si="6"/>
        <v>477690394.40303081</v>
      </c>
      <c r="AC109" s="66">
        <v>42835288.651597321</v>
      </c>
      <c r="AD109" s="66">
        <v>492605819.4933697</v>
      </c>
      <c r="AE109" s="66"/>
      <c r="AF109" s="67">
        <f t="shared" si="7"/>
        <v>535441108.14496702</v>
      </c>
      <c r="AG109" s="66">
        <v>15400371.899103224</v>
      </c>
      <c r="AH109" s="66">
        <v>177104276.83968702</v>
      </c>
      <c r="AI109" s="66"/>
      <c r="AJ109" s="65">
        <f t="shared" si="8"/>
        <v>192504648.73879024</v>
      </c>
      <c r="AK109" s="65">
        <f>IF(SUM(AB109,AF109,X109,AJ109)=0,"",SUM((AB109,AF109,X109,AJ109)))</f>
        <v>1631227639.0023267</v>
      </c>
      <c r="AL109" s="20"/>
      <c r="AM109" s="20"/>
      <c r="AN109" s="20"/>
      <c r="AO109" s="20"/>
      <c r="AP109" s="20"/>
      <c r="AQ109" s="20"/>
      <c r="AR109" s="20"/>
      <c r="AS109" s="20"/>
      <c r="AT109" s="20"/>
      <c r="AU109" s="20"/>
      <c r="AV109" s="20"/>
      <c r="AW109" s="20"/>
      <c r="CG109" s="17"/>
    </row>
    <row r="110" spans="1:85" s="62" customFormat="1" ht="99.95" customHeight="1">
      <c r="A110" s="92">
        <f t="shared" si="9"/>
        <v>99</v>
      </c>
      <c r="B110" s="200" t="s">
        <v>411</v>
      </c>
      <c r="C110" s="199" t="str">
        <f>IFERROR(VLOOKUP(FORMULACIÓN!B110,Lists!$A$2:$B$6,2,FALSE),"")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0" s="200" t="s">
        <v>438</v>
      </c>
      <c r="E110" s="200" t="s">
        <v>433</v>
      </c>
      <c r="F110" s="200" t="s">
        <v>443</v>
      </c>
      <c r="G110" s="200" t="s">
        <v>449</v>
      </c>
      <c r="H110" s="200" t="s">
        <v>450</v>
      </c>
      <c r="I110" s="58" t="s">
        <v>168</v>
      </c>
      <c r="J110" s="63" t="s">
        <v>169</v>
      </c>
      <c r="K110" s="201">
        <v>15</v>
      </c>
      <c r="L110" s="197">
        <v>9</v>
      </c>
      <c r="M110" s="201">
        <v>9</v>
      </c>
      <c r="N110" s="201">
        <v>9</v>
      </c>
      <c r="O110" s="201">
        <v>3</v>
      </c>
      <c r="P110" s="63">
        <f ca="1">IFERROR(IF($J110=Lists!$S$2,SUM(FORMULACIÓN!K110:O110),IF(FORMULACIÓN!$J110=Lists!$S$3,SUM(FORMULACIÓN!L110:O110),IF(FORMULACIÓN!$J110=Lists!$S$4,AVERAGE(FORMULACIÓN!L110:O110),IF(FORMULACIÓN!$J110=Lists!$S$5,OFFSET(K110,0,COUNTA(L110:O110)),IF(FORMULACIÓN!$J110=Lists!$S$6,AVERAGE(FORMULACIÓN!L110:O110),""))))),"")</f>
        <v>30</v>
      </c>
      <c r="Q110" s="51" t="str">
        <f ca="1">IF($I110=Lists!$R$3,TEXT(FORMULACIÓN!P110,"00,00%"),IF(FORMULACIÓN!P110=0,0,TEXT(FORMULACIÓN!P110,"##.###")))</f>
        <v>30</v>
      </c>
      <c r="R110" s="63" t="s">
        <v>446</v>
      </c>
      <c r="S110" s="59">
        <v>2.5000000000000001E-2</v>
      </c>
      <c r="T110" s="58" t="s">
        <v>350</v>
      </c>
      <c r="U110" s="66">
        <v>51070978.525864601</v>
      </c>
      <c r="V110" s="66">
        <v>587316253.04744327</v>
      </c>
      <c r="W110" s="66"/>
      <c r="X110" s="67">
        <f t="shared" si="5"/>
        <v>638387231.57330787</v>
      </c>
      <c r="Y110" s="66">
        <v>57322847.328363657</v>
      </c>
      <c r="Z110" s="66">
        <v>659212744.27618253</v>
      </c>
      <c r="AA110" s="66"/>
      <c r="AB110" s="67">
        <f t="shared" si="6"/>
        <v>716535591.60454619</v>
      </c>
      <c r="AC110" s="66">
        <v>64252932.977396011</v>
      </c>
      <c r="AD110" s="66">
        <v>738908729.24005449</v>
      </c>
      <c r="AE110" s="66"/>
      <c r="AF110" s="67">
        <f t="shared" si="7"/>
        <v>803161662.2174505</v>
      </c>
      <c r="AG110" s="66">
        <v>23100557.848654807</v>
      </c>
      <c r="AH110" s="66">
        <v>265656415.25953054</v>
      </c>
      <c r="AI110" s="66"/>
      <c r="AJ110" s="65">
        <f t="shared" si="8"/>
        <v>288756973.10818535</v>
      </c>
      <c r="AK110" s="65">
        <f>IF(SUM(AB110,AF110,X110,AJ110)=0,"",SUM((AB110,AF110,X110,AJ110)))</f>
        <v>2446841458.50349</v>
      </c>
      <c r="AL110" s="20"/>
      <c r="AM110" s="20"/>
      <c r="AN110" s="20"/>
      <c r="AO110" s="20"/>
      <c r="AP110" s="20"/>
      <c r="AQ110" s="20"/>
      <c r="AR110" s="20"/>
      <c r="AS110" s="20"/>
      <c r="AT110" s="20"/>
      <c r="AU110" s="20"/>
      <c r="AV110" s="20"/>
      <c r="AW110" s="20"/>
      <c r="CG110" s="17"/>
    </row>
    <row r="111" spans="1:85" s="62" customFormat="1" ht="99.95" customHeight="1">
      <c r="A111" s="92">
        <f t="shared" si="9"/>
        <v>100</v>
      </c>
      <c r="B111" s="200" t="s">
        <v>411</v>
      </c>
      <c r="C111" s="199" t="str">
        <f>IFERROR(VLOOKUP(FORMULACIÓN!B111,Lists!$A$2:$B$6,2,FALSE),"")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1" s="200" t="s">
        <v>451</v>
      </c>
      <c r="E111" s="200" t="s">
        <v>433</v>
      </c>
      <c r="F111" s="200" t="s">
        <v>452</v>
      </c>
      <c r="G111" s="200" t="s">
        <v>453</v>
      </c>
      <c r="H111" s="200" t="s">
        <v>454</v>
      </c>
      <c r="I111" s="58" t="s">
        <v>160</v>
      </c>
      <c r="J111" s="63" t="s">
        <v>323</v>
      </c>
      <c r="K111" s="59">
        <v>0</v>
      </c>
      <c r="L111" s="196">
        <v>0.03</v>
      </c>
      <c r="M111" s="59">
        <v>0.03</v>
      </c>
      <c r="N111" s="59">
        <v>0.03</v>
      </c>
      <c r="O111" s="59">
        <v>0.03</v>
      </c>
      <c r="P111" s="63">
        <f ca="1">IFERROR(IF($J111=Lists!$S$2,SUM(FORMULACIÓN!K111:O111),IF(FORMULACIÓN!$J111=Lists!$S$3,SUM(FORMULACIÓN!L111:O111),IF(FORMULACIÓN!$J111=Lists!$S$4,AVERAGE(FORMULACIÓN!L111:O111),IF(FORMULACIÓN!$J111=Lists!$S$5,OFFSET(K111,0,COUNTA(L111:O111)),IF(FORMULACIÓN!$J111=Lists!$S$6,AVERAGE(FORMULACIÓN!L111:O111),""))))),"")</f>
        <v>0.03</v>
      </c>
      <c r="Q111" s="51" t="str">
        <f ca="1">IF($I111=Lists!$R$3,TEXT(FORMULACIÓN!P111,"00,00%"),IF(FORMULACIÓN!P111=0,0,TEXT(FORMULACIÓN!P111,"##.###")))</f>
        <v>03,00%</v>
      </c>
      <c r="R111" s="63" t="s">
        <v>446</v>
      </c>
      <c r="S111" s="59">
        <v>2.5000000000000001E-2</v>
      </c>
      <c r="T111" s="58" t="s">
        <v>350</v>
      </c>
      <c r="U111" s="66">
        <v>97886042.174573898</v>
      </c>
      <c r="V111" s="66">
        <v>1125689485.0075996</v>
      </c>
      <c r="W111" s="66"/>
      <c r="X111" s="67">
        <f t="shared" si="5"/>
        <v>1223575527.1821735</v>
      </c>
      <c r="Y111" s="66">
        <v>109868790.71269703</v>
      </c>
      <c r="Z111" s="66">
        <v>1263491093.1960166</v>
      </c>
      <c r="AA111" s="66"/>
      <c r="AB111" s="67">
        <f t="shared" si="6"/>
        <v>1373359883.9087136</v>
      </c>
      <c r="AC111" s="66">
        <v>123151454.87334228</v>
      </c>
      <c r="AD111" s="66">
        <v>1416241731.043438</v>
      </c>
      <c r="AE111" s="66"/>
      <c r="AF111" s="67">
        <f t="shared" si="7"/>
        <v>1539393185.9167802</v>
      </c>
      <c r="AG111" s="66">
        <v>44276069.209921718</v>
      </c>
      <c r="AH111" s="66">
        <v>509174795.91410029</v>
      </c>
      <c r="AI111" s="66"/>
      <c r="AJ111" s="65">
        <f t="shared" si="8"/>
        <v>553450865.12402201</v>
      </c>
      <c r="AK111" s="65">
        <f>IF(SUM(AB111,AF111,X111,AJ111)=0,"",SUM((AB111,AF111,X111,AJ111)))</f>
        <v>4689779462.1316891</v>
      </c>
      <c r="AL111" s="20"/>
      <c r="AM111" s="20"/>
      <c r="AN111" s="20"/>
      <c r="AO111" s="20"/>
      <c r="AP111" s="20"/>
      <c r="AQ111" s="20"/>
      <c r="AR111" s="20"/>
      <c r="AS111" s="20"/>
      <c r="AT111" s="20"/>
      <c r="AU111" s="20"/>
      <c r="AV111" s="20"/>
      <c r="AW111" s="20"/>
      <c r="CG111" s="17"/>
    </row>
    <row r="112" spans="1:85" s="62" customFormat="1" ht="99.95" customHeight="1">
      <c r="A112" s="92">
        <f t="shared" si="9"/>
        <v>101</v>
      </c>
      <c r="B112" s="200" t="s">
        <v>411</v>
      </c>
      <c r="C112" s="199" t="str">
        <f>IFERROR(VLOOKUP(FORMULACIÓN!B112,Lists!$A$2:$B$6,2,FALSE),"")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2" s="200" t="s">
        <v>442</v>
      </c>
      <c r="E112" s="200" t="s">
        <v>433</v>
      </c>
      <c r="F112" s="200" t="s">
        <v>452</v>
      </c>
      <c r="G112" s="200" t="s">
        <v>455</v>
      </c>
      <c r="H112" s="200" t="s">
        <v>456</v>
      </c>
      <c r="I112" s="58" t="s">
        <v>168</v>
      </c>
      <c r="J112" s="63" t="s">
        <v>169</v>
      </c>
      <c r="K112" s="58">
        <v>0</v>
      </c>
      <c r="L112" s="58">
        <v>0</v>
      </c>
      <c r="M112" s="58">
        <v>1</v>
      </c>
      <c r="N112" s="58">
        <v>0</v>
      </c>
      <c r="O112" s="58">
        <v>0</v>
      </c>
      <c r="P112" s="63">
        <f ca="1">IFERROR(IF($J112=Lists!$S$2,SUM(FORMULACIÓN!K112:O112),IF(FORMULACIÓN!$J112=Lists!$S$3,SUM(FORMULACIÓN!L112:O112),IF(FORMULACIÓN!$J112=Lists!$S$4,AVERAGE(FORMULACIÓN!L112:O112),IF(FORMULACIÓN!$J112=Lists!$S$5,OFFSET(K112,0,COUNTA(L112:O112)),IF(FORMULACIÓN!$J112=Lists!$S$6,AVERAGE(FORMULACIÓN!L112:O112),""))))),"")</f>
        <v>1</v>
      </c>
      <c r="Q112" s="51" t="str">
        <f ca="1">IF($I112=Lists!$R$3,TEXT(FORMULACIÓN!P112,"00,00%"),IF(FORMULACIÓN!P112=0,0,TEXT(FORMULACIÓN!P112,"##.###")))</f>
        <v>1</v>
      </c>
      <c r="R112" s="63" t="s">
        <v>446</v>
      </c>
      <c r="S112" s="59">
        <v>2.5000000000000001E-2</v>
      </c>
      <c r="T112" s="58" t="s">
        <v>350</v>
      </c>
      <c r="U112" s="66">
        <v>151759289.54806757</v>
      </c>
      <c r="V112" s="66">
        <v>1745231829.8027773</v>
      </c>
      <c r="W112" s="66"/>
      <c r="X112" s="67">
        <f t="shared" si="5"/>
        <v>1896991119.3508449</v>
      </c>
      <c r="Y112" s="66">
        <v>170336947.45087194</v>
      </c>
      <c r="Z112" s="66">
        <v>1958874895.6850286</v>
      </c>
      <c r="AA112" s="66"/>
      <c r="AB112" s="67">
        <f t="shared" si="6"/>
        <v>2129211843.1359005</v>
      </c>
      <c r="AC112" s="66">
        <v>190929951.63761902</v>
      </c>
      <c r="AD112" s="66">
        <v>2195694443.8326216</v>
      </c>
      <c r="AE112" s="66"/>
      <c r="AF112" s="67">
        <f t="shared" si="7"/>
        <v>2386624395.4702406</v>
      </c>
      <c r="AG112" s="66">
        <v>68644156.592778683</v>
      </c>
      <c r="AH112" s="66">
        <v>789407800.8169558</v>
      </c>
      <c r="AI112" s="66"/>
      <c r="AJ112" s="65">
        <f t="shared" si="8"/>
        <v>858051957.40973449</v>
      </c>
      <c r="AK112" s="65">
        <f>IF(SUM(AB112,AF112,X112,AJ112)=0,"",SUM((AB112,AF112,X112,AJ112)))</f>
        <v>7270879315.3667202</v>
      </c>
      <c r="AL112" s="20"/>
      <c r="AM112" s="20"/>
      <c r="AN112" s="20"/>
      <c r="AO112" s="20"/>
      <c r="AP112" s="20"/>
      <c r="AQ112" s="20"/>
      <c r="AR112" s="20"/>
      <c r="AS112" s="20"/>
      <c r="AT112" s="20"/>
      <c r="AU112" s="20"/>
      <c r="AV112" s="20"/>
      <c r="AW112" s="20"/>
      <c r="CG112" s="17"/>
    </row>
    <row r="113" spans="1:85" s="62" customFormat="1" ht="99.95" customHeight="1">
      <c r="A113" s="92">
        <f t="shared" si="9"/>
        <v>102</v>
      </c>
      <c r="B113" s="200" t="s">
        <v>411</v>
      </c>
      <c r="C113" s="199" t="str">
        <f>IFERROR(VLOOKUP(FORMULACIÓN!B113,Lists!$A$2:$B$6,2,FALSE),"")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3" s="200" t="s">
        <v>412</v>
      </c>
      <c r="E113" s="200" t="s">
        <v>433</v>
      </c>
      <c r="F113" s="200" t="s">
        <v>452</v>
      </c>
      <c r="G113" s="200" t="s">
        <v>457</v>
      </c>
      <c r="H113" s="200" t="s">
        <v>458</v>
      </c>
      <c r="I113" s="58" t="s">
        <v>168</v>
      </c>
      <c r="J113" s="63" t="s">
        <v>229</v>
      </c>
      <c r="K113" s="58">
        <v>0</v>
      </c>
      <c r="L113" s="58">
        <v>1</v>
      </c>
      <c r="M113" s="58">
        <v>0</v>
      </c>
      <c r="N113" s="58">
        <v>0</v>
      </c>
      <c r="O113" s="58">
        <v>0</v>
      </c>
      <c r="P113" s="63">
        <f ca="1">IFERROR(IF($J113=Lists!$S$2,SUM(FORMULACIÓN!K113:O113),IF(FORMULACIÓN!$J113=Lists!$S$3,SUM(FORMULACIÓN!L113:O113),IF(FORMULACIÓN!$J113=Lists!$S$4,AVERAGE(FORMULACIÓN!L113:O113),IF(FORMULACIÓN!$J113=Lists!$S$5,OFFSET(K113,0,COUNTA(L113:O113)),IF(FORMULACIÓN!$J113=Lists!$S$6,AVERAGE(FORMULACIÓN!L113:O113),""))))),"")</f>
        <v>0</v>
      </c>
      <c r="Q113" s="51">
        <f ca="1">IF($I113=Lists!$R$3,TEXT(FORMULACIÓN!P113,"00,00%"),IF(FORMULACIÓN!P113=0,0,TEXT(FORMULACIÓN!P113,"##.###")))</f>
        <v>0</v>
      </c>
      <c r="R113" s="63" t="s">
        <v>446</v>
      </c>
      <c r="S113" s="59">
        <v>2.5000000000000001E-2</v>
      </c>
      <c r="T113" s="58" t="s">
        <v>350</v>
      </c>
      <c r="U113" s="66">
        <v>127677446.3146615</v>
      </c>
      <c r="V113" s="66">
        <v>1468290632.6186082</v>
      </c>
      <c r="W113" s="66"/>
      <c r="X113" s="67">
        <f t="shared" si="5"/>
        <v>1595968078.9332697</v>
      </c>
      <c r="Y113" s="66">
        <v>143307118.32090926</v>
      </c>
      <c r="Z113" s="66">
        <v>1648031860.6904564</v>
      </c>
      <c r="AA113" s="66"/>
      <c r="AB113" s="67">
        <f t="shared" si="6"/>
        <v>1791338979.0113657</v>
      </c>
      <c r="AC113" s="207">
        <v>160632332.44349003</v>
      </c>
      <c r="AD113" s="207">
        <v>1847271823.1001363</v>
      </c>
      <c r="AE113" s="66"/>
      <c r="AF113" s="67">
        <f t="shared" si="7"/>
        <v>2007904155.5436263</v>
      </c>
      <c r="AG113" s="66">
        <v>57751394.621636987</v>
      </c>
      <c r="AH113" s="66">
        <v>664141038.14882636</v>
      </c>
      <c r="AI113" s="66"/>
      <c r="AJ113" s="65">
        <f t="shared" si="8"/>
        <v>721892432.77046335</v>
      </c>
      <c r="AK113" s="65">
        <f>IF(SUM(AB113,AF113,X113,AJ113)=0,"",SUM((AB113,AF113,X113,AJ113)))</f>
        <v>6117103646.2587242</v>
      </c>
      <c r="AL113" s="20"/>
      <c r="AM113" s="20"/>
      <c r="AN113" s="20"/>
      <c r="AO113" s="20"/>
      <c r="AP113" s="20"/>
      <c r="AQ113" s="20"/>
      <c r="AR113" s="20"/>
      <c r="AS113" s="20"/>
      <c r="AT113" s="20"/>
      <c r="AU113" s="20"/>
      <c r="AV113" s="20"/>
      <c r="AW113" s="20"/>
      <c r="CG113" s="17"/>
    </row>
    <row r="114" spans="1:85" s="62" customFormat="1" ht="99.95" customHeight="1">
      <c r="A114" s="92">
        <f t="shared" si="9"/>
        <v>103</v>
      </c>
      <c r="B114" s="200" t="s">
        <v>411</v>
      </c>
      <c r="C114" s="199" t="str">
        <f>IFERROR(VLOOKUP(FORMULACIÓN!B114,Lists!$A$2:$B$6,2,FALSE),"")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4" s="200" t="s">
        <v>421</v>
      </c>
      <c r="E114" s="200" t="s">
        <v>433</v>
      </c>
      <c r="F114" s="200" t="s">
        <v>459</v>
      </c>
      <c r="G114" s="200" t="s">
        <v>460</v>
      </c>
      <c r="H114" s="200" t="s">
        <v>461</v>
      </c>
      <c r="I114" s="58" t="s">
        <v>160</v>
      </c>
      <c r="J114" s="63" t="s">
        <v>169</v>
      </c>
      <c r="K114" s="59">
        <v>0</v>
      </c>
      <c r="L114" s="196">
        <v>1</v>
      </c>
      <c r="M114" s="59">
        <v>0</v>
      </c>
      <c r="N114" s="59">
        <v>0</v>
      </c>
      <c r="O114" s="59">
        <v>0</v>
      </c>
      <c r="P114" s="63">
        <f ca="1">IFERROR(IF($J114=Lists!$S$2,SUM(FORMULACIÓN!K114:O114),IF(FORMULACIÓN!$J114=Lists!$S$3,SUM(FORMULACIÓN!L114:O114),IF(FORMULACIÓN!$J114=Lists!$S$4,AVERAGE(FORMULACIÓN!L114:O114),IF(FORMULACIÓN!$J114=Lists!$S$5,OFFSET(K114,0,COUNTA(L114:O114)),IF(FORMULACIÓN!$J114=Lists!$S$6,AVERAGE(FORMULACIÓN!L114:O114),""))))),"")</f>
        <v>1</v>
      </c>
      <c r="Q114" s="51" t="str">
        <f ca="1">IF($I114=Lists!$R$3,TEXT(FORMULACIÓN!P114,"00,00%"),IF(FORMULACIÓN!P114=0,0,TEXT(FORMULACIÓN!P114,"##.###")))</f>
        <v>100,00%</v>
      </c>
      <c r="R114" s="63" t="s">
        <v>462</v>
      </c>
      <c r="S114" s="59">
        <v>2.5000000000000001E-2</v>
      </c>
      <c r="T114" s="58" t="s">
        <v>350</v>
      </c>
      <c r="U114" s="66">
        <v>88329316</v>
      </c>
      <c r="V114" s="66">
        <v>402389104</v>
      </c>
      <c r="W114" s="66"/>
      <c r="X114" s="67">
        <f t="shared" si="5"/>
        <v>490718420</v>
      </c>
      <c r="Y114" s="66">
        <v>99101759</v>
      </c>
      <c r="Z114" s="66">
        <v>451463568</v>
      </c>
      <c r="AA114" s="66"/>
      <c r="AB114" s="67">
        <f t="shared" si="6"/>
        <v>550565327</v>
      </c>
      <c r="AC114" s="207">
        <v>110073391</v>
      </c>
      <c r="AD114" s="207">
        <v>501445446</v>
      </c>
      <c r="AE114" s="66"/>
      <c r="AF114" s="67">
        <f t="shared" si="7"/>
        <v>611518837</v>
      </c>
      <c r="AG114" s="66">
        <v>39338970</v>
      </c>
      <c r="AH114" s="66">
        <v>179210862</v>
      </c>
      <c r="AI114" s="66"/>
      <c r="AJ114" s="65">
        <f t="shared" si="8"/>
        <v>218549832</v>
      </c>
      <c r="AK114" s="65">
        <f>IF(SUM(AB114,AF114,X114,AJ114)=0,"",SUM((AB114,AF114,X114,AJ114)))</f>
        <v>1871352416</v>
      </c>
      <c r="AL114" s="20"/>
      <c r="AM114" s="20"/>
      <c r="AN114" s="20"/>
      <c r="AO114" s="20"/>
      <c r="AP114" s="20"/>
      <c r="AQ114" s="20"/>
      <c r="AR114" s="20"/>
      <c r="AS114" s="20"/>
      <c r="AT114" s="20"/>
      <c r="AU114" s="20"/>
      <c r="AV114" s="20"/>
      <c r="AW114" s="20"/>
      <c r="CG114" s="17"/>
    </row>
    <row r="115" spans="1:85" s="62" customFormat="1" ht="99.95" customHeight="1">
      <c r="A115" s="92">
        <f t="shared" si="9"/>
        <v>104</v>
      </c>
      <c r="B115" s="58" t="s">
        <v>411</v>
      </c>
      <c r="C115" s="199" t="str">
        <f>IFERROR(VLOOKUP(FORMULACIÓN!B115,Lists!$A$2:$B$6,2,FALSE),"")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5" s="58" t="s">
        <v>421</v>
      </c>
      <c r="E115" s="58" t="s">
        <v>433</v>
      </c>
      <c r="F115" s="58" t="s">
        <v>463</v>
      </c>
      <c r="G115" s="58" t="s">
        <v>464</v>
      </c>
      <c r="H115" s="58" t="s">
        <v>465</v>
      </c>
      <c r="I115" s="58" t="s">
        <v>168</v>
      </c>
      <c r="J115" s="63" t="s">
        <v>229</v>
      </c>
      <c r="K115" s="58">
        <v>0</v>
      </c>
      <c r="L115" s="58">
        <v>1</v>
      </c>
      <c r="M115" s="58">
        <v>1</v>
      </c>
      <c r="N115" s="58">
        <v>1</v>
      </c>
      <c r="O115" s="58">
        <v>1</v>
      </c>
      <c r="P115" s="63">
        <f ca="1">IFERROR(IF($J115=Lists!$S$2,SUM(FORMULACIÓN!K115:O115),IF(FORMULACIÓN!$J115=Lists!$S$3,SUM(FORMULACIÓN!L115:O115),IF(FORMULACIÓN!$J115=Lists!$S$4,AVERAGE(FORMULACIÓN!L115:O115),IF(FORMULACIÓN!$J115=Lists!$S$5,OFFSET(K115,0,COUNTA(L115:O115)),IF(FORMULACIÓN!$J115=Lists!$S$6,AVERAGE(FORMULACIÓN!L115:O115),""))))),"")</f>
        <v>1</v>
      </c>
      <c r="Q115" s="51" t="str">
        <f ca="1">IF($I115=Lists!$R$3,TEXT(FORMULACIÓN!P115,"00,00%"),IF(FORMULACIÓN!P115=0,0,TEXT(FORMULACIÓN!P115,"##.###")))</f>
        <v>1</v>
      </c>
      <c r="R115" s="63" t="s">
        <v>462</v>
      </c>
      <c r="S115" s="59">
        <v>2.5000000000000001E-2</v>
      </c>
      <c r="T115" s="58" t="s">
        <v>350</v>
      </c>
      <c r="U115" s="66">
        <v>88329316</v>
      </c>
      <c r="V115" s="66">
        <v>402389104</v>
      </c>
      <c r="W115" s="66"/>
      <c r="X115" s="67">
        <f t="shared" si="5"/>
        <v>490718420</v>
      </c>
      <c r="Y115" s="206">
        <v>99101759</v>
      </c>
      <c r="Z115" s="206">
        <v>451463568</v>
      </c>
      <c r="AA115" s="66"/>
      <c r="AB115" s="67">
        <f t="shared" si="6"/>
        <v>550565327</v>
      </c>
      <c r="AC115" s="208">
        <v>110073391</v>
      </c>
      <c r="AD115" s="208">
        <v>501445446</v>
      </c>
      <c r="AE115" s="66"/>
      <c r="AF115" s="67">
        <f t="shared" si="7"/>
        <v>611518837</v>
      </c>
      <c r="AG115" s="206">
        <v>39338970</v>
      </c>
      <c r="AH115" s="206">
        <v>179210862</v>
      </c>
      <c r="AI115" s="66"/>
      <c r="AJ115" s="65">
        <f t="shared" si="8"/>
        <v>218549832</v>
      </c>
      <c r="AK115" s="65">
        <f>IF(SUM(AB115,AF115,X115,AJ115)=0,"",SUM((AB115,AF115,X115,AJ115)))</f>
        <v>1871352416</v>
      </c>
      <c r="AL115" s="20"/>
      <c r="AM115" s="20"/>
      <c r="AN115" s="20"/>
      <c r="AO115" s="20"/>
      <c r="AP115" s="20"/>
      <c r="AQ115" s="20"/>
      <c r="AR115" s="20"/>
      <c r="AS115" s="20"/>
      <c r="AT115" s="20"/>
      <c r="AU115" s="20"/>
      <c r="AV115" s="20"/>
      <c r="AW115" s="20"/>
      <c r="CG115" s="17"/>
    </row>
    <row r="116" spans="1:85" s="62" customFormat="1" ht="99.95" customHeight="1">
      <c r="A116" s="92">
        <f t="shared" si="9"/>
        <v>105</v>
      </c>
      <c r="B116" s="58" t="s">
        <v>411</v>
      </c>
      <c r="C116" s="199" t="str">
        <f>IFERROR(VLOOKUP(FORMULACIÓN!B116,Lists!$A$2:$B$6,2,FALSE),"")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6" s="58" t="s">
        <v>418</v>
      </c>
      <c r="E116" s="58" t="s">
        <v>433</v>
      </c>
      <c r="F116" s="58" t="s">
        <v>466</v>
      </c>
      <c r="G116" s="58" t="s">
        <v>467</v>
      </c>
      <c r="H116" s="58" t="s">
        <v>467</v>
      </c>
      <c r="I116" s="58" t="s">
        <v>168</v>
      </c>
      <c r="J116" s="63" t="s">
        <v>169</v>
      </c>
      <c r="K116" s="58">
        <v>0</v>
      </c>
      <c r="L116" s="58">
        <v>1</v>
      </c>
      <c r="M116" s="58">
        <v>0</v>
      </c>
      <c r="N116" s="58">
        <v>0</v>
      </c>
      <c r="O116" s="58">
        <v>0</v>
      </c>
      <c r="P116" s="63">
        <f ca="1">IFERROR(IF($J116=Lists!$S$2,SUM(FORMULACIÓN!K116:O116),IF(FORMULACIÓN!$J116=Lists!$S$3,SUM(FORMULACIÓN!L116:O116),IF(FORMULACIÓN!$J116=Lists!$S$4,AVERAGE(FORMULACIÓN!L116:O116),IF(FORMULACIÓN!$J116=Lists!$S$5,OFFSET(K116,0,COUNTA(L116:O116)),IF(FORMULACIÓN!$J116=Lists!$S$6,AVERAGE(FORMULACIÓN!L116:O116),""))))),"")</f>
        <v>1</v>
      </c>
      <c r="Q116" s="51" t="str">
        <f ca="1">IF($I116=Lists!$R$3,TEXT(FORMULACIÓN!P116,"00,00%"),IF(FORMULACIÓN!P116=0,0,TEXT(FORMULACIÓN!P116,"##.###")))</f>
        <v>1</v>
      </c>
      <c r="R116" s="63" t="s">
        <v>468</v>
      </c>
      <c r="S116" s="59">
        <v>0.05</v>
      </c>
      <c r="T116" s="58" t="s">
        <v>350</v>
      </c>
      <c r="U116" s="66">
        <v>177805827.21384645</v>
      </c>
      <c r="V116" s="66">
        <v>2044767012.9592345</v>
      </c>
      <c r="W116" s="66"/>
      <c r="X116" s="67">
        <f t="shared" si="5"/>
        <v>2222572840.1730809</v>
      </c>
      <c r="Y116" s="206">
        <v>252422824.01692677</v>
      </c>
      <c r="Z116" s="206">
        <v>2902862476.1946573</v>
      </c>
      <c r="AA116" s="66"/>
      <c r="AB116" s="67">
        <f t="shared" si="6"/>
        <v>3155285300.2115841</v>
      </c>
      <c r="AC116" s="208">
        <v>282694582.68908691</v>
      </c>
      <c r="AD116" s="208">
        <v>3250987700.924499</v>
      </c>
      <c r="AE116" s="66"/>
      <c r="AF116" s="67">
        <f t="shared" si="7"/>
        <v>3533682283.6135859</v>
      </c>
      <c r="AG116" s="206">
        <v>101578965.88471627</v>
      </c>
      <c r="AH116" s="206">
        <v>1168158107.6742382</v>
      </c>
      <c r="AI116" s="66"/>
      <c r="AJ116" s="65">
        <f t="shared" si="8"/>
        <v>1269737073.5589545</v>
      </c>
      <c r="AK116" s="65">
        <f>IF(SUM(AB116,AF116,X116,AJ116)=0,"",SUM((AB116,AF116,X116,AJ116)))</f>
        <v>10181277497.557205</v>
      </c>
      <c r="AL116" s="20"/>
      <c r="AM116" s="20"/>
      <c r="AN116" s="20"/>
      <c r="AO116" s="20"/>
      <c r="AP116" s="20"/>
      <c r="AQ116" s="20"/>
      <c r="AR116" s="20"/>
      <c r="AS116" s="20"/>
      <c r="AT116" s="20"/>
      <c r="AU116" s="20"/>
      <c r="AV116" s="20"/>
      <c r="AW116" s="20"/>
      <c r="CG116" s="17"/>
    </row>
    <row r="117" spans="1:85" s="62" customFormat="1" ht="99.95" customHeight="1">
      <c r="A117" s="92">
        <f t="shared" si="9"/>
        <v>106</v>
      </c>
      <c r="B117" s="58" t="s">
        <v>411</v>
      </c>
      <c r="C117" s="199" t="str">
        <f>IFERROR(VLOOKUP(FORMULACIÓN!B117,Lists!$A$2:$B$6,2,FALSE),"")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7" s="58" t="s">
        <v>469</v>
      </c>
      <c r="E117" s="58" t="s">
        <v>470</v>
      </c>
      <c r="F117" s="58" t="s">
        <v>471</v>
      </c>
      <c r="G117" s="58" t="s">
        <v>472</v>
      </c>
      <c r="H117" s="58" t="s">
        <v>473</v>
      </c>
      <c r="I117" s="58" t="s">
        <v>168</v>
      </c>
      <c r="J117" s="63" t="s">
        <v>169</v>
      </c>
      <c r="K117" s="58">
        <v>2</v>
      </c>
      <c r="L117" s="58">
        <v>3</v>
      </c>
      <c r="M117" s="58">
        <v>3</v>
      </c>
      <c r="N117" s="58">
        <v>3</v>
      </c>
      <c r="O117" s="58">
        <v>1</v>
      </c>
      <c r="P117" s="63">
        <f ca="1">IFERROR(IF($J117=Lists!$S$2,SUM(FORMULACIÓN!K117:O117),IF(FORMULACIÓN!$J117=Lists!$S$3,SUM(FORMULACIÓN!L117:O117),IF(FORMULACIÓN!$J117=Lists!$S$4,AVERAGE(FORMULACIÓN!L117:O117),IF(FORMULACIÓN!$J117=Lists!$S$5,OFFSET(K117,0,COUNTA(L117:O117)),IF(FORMULACIÓN!$J117=Lists!$S$6,AVERAGE(FORMULACIÓN!L117:O117),""))))),"")</f>
        <v>10</v>
      </c>
      <c r="Q117" s="51" t="str">
        <f ca="1">IF($I117=Lists!$R$3,TEXT(FORMULACIÓN!P117,"00,00%"),IF(FORMULACIÓN!P117=0,0,TEXT(FORMULACIÓN!P117,"##.###")))</f>
        <v>10</v>
      </c>
      <c r="R117" s="63" t="s">
        <v>474</v>
      </c>
      <c r="S117" s="59">
        <v>0.02</v>
      </c>
      <c r="T117" s="58" t="s">
        <v>350</v>
      </c>
      <c r="U117" s="66">
        <v>634349220.02909279</v>
      </c>
      <c r="V117" s="66">
        <v>178919010.77743641</v>
      </c>
      <c r="W117" s="66"/>
      <c r="X117" s="67">
        <f t="shared" si="5"/>
        <v>813268230.80652916</v>
      </c>
      <c r="Y117" s="206">
        <v>1291284159.5465279</v>
      </c>
      <c r="Z117" s="206">
        <v>364208352.69261044</v>
      </c>
      <c r="AA117" s="66"/>
      <c r="AB117" s="67">
        <f t="shared" si="6"/>
        <v>1655492512.2391384</v>
      </c>
      <c r="AC117" s="206">
        <v>1448807187.7570539</v>
      </c>
      <c r="AD117" s="206">
        <v>408637924.75198948</v>
      </c>
      <c r="AE117" s="66"/>
      <c r="AF117" s="67">
        <f t="shared" si="7"/>
        <v>1857445112.5090432</v>
      </c>
      <c r="AG117" s="206">
        <v>515049284.25516462</v>
      </c>
      <c r="AH117" s="206">
        <v>145270310.94376436</v>
      </c>
      <c r="AI117" s="66"/>
      <c r="AJ117" s="65">
        <f t="shared" si="8"/>
        <v>660319595.19892895</v>
      </c>
      <c r="AK117" s="65">
        <f>IF(SUM(AB117,AF117,X117,AJ117)=0,"",SUM((AB117,AF117,X117,AJ117)))</f>
        <v>4986525450.7536392</v>
      </c>
      <c r="AL117" s="20"/>
      <c r="AM117" s="20"/>
      <c r="AN117" s="20"/>
      <c r="AO117" s="20"/>
      <c r="AP117" s="20"/>
      <c r="AQ117" s="20"/>
      <c r="AR117" s="20"/>
      <c r="AS117" s="20"/>
      <c r="AT117" s="20"/>
      <c r="AU117" s="20"/>
      <c r="AV117" s="20"/>
      <c r="AW117" s="20"/>
      <c r="CG117" s="17"/>
    </row>
    <row r="118" spans="1:85" s="62" customFormat="1" ht="99.95" customHeight="1">
      <c r="A118" s="92">
        <f t="shared" si="9"/>
        <v>107</v>
      </c>
      <c r="B118" s="58" t="s">
        <v>411</v>
      </c>
      <c r="C118" s="199" t="str">
        <f>IFERROR(VLOOKUP(FORMULACIÓN!B118,Lists!$A$2:$B$6,2,FALSE),"")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8" s="58" t="s">
        <v>469</v>
      </c>
      <c r="E118" s="58" t="s">
        <v>470</v>
      </c>
      <c r="F118" s="58" t="s">
        <v>475</v>
      </c>
      <c r="G118" s="58" t="s">
        <v>476</v>
      </c>
      <c r="H118" s="58" t="s">
        <v>477</v>
      </c>
      <c r="I118" s="58" t="s">
        <v>168</v>
      </c>
      <c r="J118" s="63" t="s">
        <v>169</v>
      </c>
      <c r="K118" s="58">
        <v>2</v>
      </c>
      <c r="L118" s="58">
        <v>10</v>
      </c>
      <c r="M118" s="58">
        <v>15</v>
      </c>
      <c r="N118" s="58">
        <v>20</v>
      </c>
      <c r="O118" s="58">
        <v>5</v>
      </c>
      <c r="P118" s="63">
        <f ca="1">IFERROR(IF($J118=Lists!$S$2,SUM(FORMULACIÓN!K118:O118),IF(FORMULACIÓN!$J118=Lists!$S$3,SUM(FORMULACIÓN!L118:O118),IF(FORMULACIÓN!$J118=Lists!$S$4,AVERAGE(FORMULACIÓN!L118:O118),IF(FORMULACIÓN!$J118=Lists!$S$5,OFFSET(K118,0,COUNTA(L118:O118)),IF(FORMULACIÓN!$J118=Lists!$S$6,AVERAGE(FORMULACIÓN!L118:O118),""))))),"")</f>
        <v>50</v>
      </c>
      <c r="Q118" s="51" t="str">
        <f ca="1">IF($I118=Lists!$R$3,TEXT(FORMULACIÓN!P118,"00,00%"),IF(FORMULACIÓN!P118=0,0,TEXT(FORMULACIÓN!P118,"##.###")))</f>
        <v>50</v>
      </c>
      <c r="R118" s="63" t="s">
        <v>474</v>
      </c>
      <c r="S118" s="59">
        <v>0.02</v>
      </c>
      <c r="T118" s="58" t="s">
        <v>350</v>
      </c>
      <c r="U118" s="66">
        <v>1110111135.0509119</v>
      </c>
      <c r="V118" s="66">
        <v>313108268.86051357</v>
      </c>
      <c r="W118" s="66"/>
      <c r="X118" s="67">
        <f t="shared" si="5"/>
        <v>1423219403.9114256</v>
      </c>
      <c r="Y118" s="206">
        <v>2259747279.2064228</v>
      </c>
      <c r="Z118" s="206">
        <v>637364617.21206784</v>
      </c>
      <c r="AA118" s="66"/>
      <c r="AB118" s="67">
        <f t="shared" si="6"/>
        <v>2897111896.4184904</v>
      </c>
      <c r="AC118" s="206">
        <v>2535412578.5748425</v>
      </c>
      <c r="AD118" s="206">
        <v>715116368.31598127</v>
      </c>
      <c r="AE118" s="66"/>
      <c r="AF118" s="67">
        <f t="shared" si="7"/>
        <v>3250528946.8908238</v>
      </c>
      <c r="AG118" s="206">
        <v>901336247.44653749</v>
      </c>
      <c r="AH118" s="206">
        <v>254223044.15158749</v>
      </c>
      <c r="AI118" s="66"/>
      <c r="AJ118" s="65">
        <f t="shared" si="8"/>
        <v>1155559291.598125</v>
      </c>
      <c r="AK118" s="65">
        <f>IF(SUM(AB118,AF118,X118,AJ118)=0,"",SUM((AB118,AF118,X118,AJ118)))</f>
        <v>8726419538.8188648</v>
      </c>
      <c r="AL118" s="20"/>
      <c r="AM118" s="20"/>
      <c r="AN118" s="20"/>
      <c r="AO118" s="20"/>
      <c r="AP118" s="20"/>
      <c r="AQ118" s="20"/>
      <c r="AR118" s="20"/>
      <c r="AS118" s="20"/>
      <c r="AT118" s="20"/>
      <c r="AU118" s="20"/>
      <c r="AV118" s="20"/>
      <c r="AW118" s="20"/>
      <c r="CG118" s="17"/>
    </row>
    <row r="119" spans="1:85" s="62" customFormat="1" ht="99.95" customHeight="1">
      <c r="A119" s="92">
        <f t="shared" si="9"/>
        <v>108</v>
      </c>
      <c r="B119" s="58" t="s">
        <v>411</v>
      </c>
      <c r="C119" s="199" t="str">
        <f>IFERROR(VLOOKUP(FORMULACIÓN!B119,Lists!$A$2:$B$6,2,FALSE),"")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19" s="58" t="s">
        <v>432</v>
      </c>
      <c r="E119" s="58" t="s">
        <v>470</v>
      </c>
      <c r="F119" s="58" t="s">
        <v>478</v>
      </c>
      <c r="G119" s="58" t="s">
        <v>479</v>
      </c>
      <c r="H119" s="58" t="s">
        <v>480</v>
      </c>
      <c r="I119" s="58" t="s">
        <v>168</v>
      </c>
      <c r="J119" s="63" t="s">
        <v>161</v>
      </c>
      <c r="K119" s="201">
        <v>0</v>
      </c>
      <c r="L119" s="197">
        <v>1</v>
      </c>
      <c r="M119" s="201">
        <v>1</v>
      </c>
      <c r="N119" s="201">
        <v>1</v>
      </c>
      <c r="O119" s="201">
        <v>0</v>
      </c>
      <c r="P119" s="63">
        <f ca="1">IFERROR(IF($J119=Lists!$S$2,SUM(FORMULACIÓN!K119:O119),IF(FORMULACIÓN!$J119=Lists!$S$3,SUM(FORMULACIÓN!L119:O119),IF(FORMULACIÓN!$J119=Lists!$S$4,AVERAGE(FORMULACIÓN!L119:O119),IF(FORMULACIÓN!$J119=Lists!$S$5,OFFSET(K119,0,COUNTA(L119:O119)),IF(FORMULACIÓN!$J119=Lists!$S$6,AVERAGE(FORMULACIÓN!L119:O119),""))))),"")</f>
        <v>3</v>
      </c>
      <c r="Q119" s="51" t="str">
        <f ca="1">IF($I119=Lists!$R$3,TEXT(FORMULACIÓN!P119,"00,00%"),IF(FORMULACIÓN!P119=0,0,TEXT(FORMULACIÓN!P119,"##.###")))</f>
        <v>3</v>
      </c>
      <c r="R119" s="63" t="s">
        <v>474</v>
      </c>
      <c r="S119" s="59">
        <v>0.02</v>
      </c>
      <c r="T119" s="58" t="s">
        <v>350</v>
      </c>
      <c r="U119" s="66">
        <v>1110111135.0509119</v>
      </c>
      <c r="V119" s="66">
        <v>313108268.86051357</v>
      </c>
      <c r="W119" s="66"/>
      <c r="X119" s="67">
        <f t="shared" si="5"/>
        <v>1423219403.9114256</v>
      </c>
      <c r="Y119" s="206">
        <v>2259747279.2064228</v>
      </c>
      <c r="Z119" s="206">
        <v>637364617.21206784</v>
      </c>
      <c r="AA119" s="66"/>
      <c r="AB119" s="67">
        <f t="shared" si="6"/>
        <v>2897111896.4184904</v>
      </c>
      <c r="AC119" s="206">
        <v>2535412578.5748425</v>
      </c>
      <c r="AD119" s="206">
        <v>715116368.31598127</v>
      </c>
      <c r="AE119" s="66"/>
      <c r="AF119" s="67">
        <f t="shared" si="7"/>
        <v>3250528946.8908238</v>
      </c>
      <c r="AG119" s="206">
        <v>901336247.44653749</v>
      </c>
      <c r="AH119" s="206">
        <v>254223044.15158749</v>
      </c>
      <c r="AI119" s="66"/>
      <c r="AJ119" s="65">
        <f t="shared" si="8"/>
        <v>1155559291.598125</v>
      </c>
      <c r="AK119" s="65">
        <f>IF(SUM(AB119,AF119,X119,AJ119)=0,"",SUM((AB119,AF119,X119,AJ119)))</f>
        <v>8726419538.8188648</v>
      </c>
      <c r="AL119" s="20"/>
      <c r="AM119" s="20"/>
      <c r="AN119" s="20"/>
      <c r="AO119" s="20"/>
      <c r="AP119" s="20"/>
      <c r="AQ119" s="20"/>
      <c r="AR119" s="20"/>
      <c r="AS119" s="20"/>
      <c r="AT119" s="20"/>
      <c r="AU119" s="20"/>
      <c r="AV119" s="20"/>
      <c r="AW119" s="20"/>
      <c r="CG119" s="17"/>
    </row>
    <row r="120" spans="1:85" s="17" customFormat="1" ht="99.95" customHeight="1">
      <c r="A120" s="92">
        <f t="shared" si="9"/>
        <v>109</v>
      </c>
      <c r="B120" s="58" t="s">
        <v>411</v>
      </c>
      <c r="C120" s="199" t="str">
        <f>IFERROR(VLOOKUP(FORMULACIÓN!B120,Lists!$A$2:$B$6,2,FALSE),"")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0" s="58" t="s">
        <v>442</v>
      </c>
      <c r="E120" s="58" t="s">
        <v>470</v>
      </c>
      <c r="F120" s="58" t="s">
        <v>481</v>
      </c>
      <c r="G120" s="58" t="s">
        <v>482</v>
      </c>
      <c r="H120" s="58" t="s">
        <v>483</v>
      </c>
      <c r="I120" s="58" t="s">
        <v>168</v>
      </c>
      <c r="J120" s="63" t="s">
        <v>169</v>
      </c>
      <c r="K120" s="58">
        <v>1</v>
      </c>
      <c r="L120" s="58">
        <v>4</v>
      </c>
      <c r="M120" s="58">
        <v>5</v>
      </c>
      <c r="N120" s="58">
        <v>5</v>
      </c>
      <c r="O120" s="58">
        <v>1</v>
      </c>
      <c r="P120" s="63">
        <f ca="1">IFERROR(IF($J120=Lists!$S$2,SUM(FORMULACIÓN!K120:O120),IF(FORMULACIÓN!$J120=Lists!$S$3,SUM(FORMULACIÓN!L120:O120),IF(FORMULACIÓN!$J120=Lists!$S$4,AVERAGE(FORMULACIÓN!L120:O120),IF(FORMULACIÓN!$J120=Lists!$S$5,OFFSET(K120,0,COUNTA(L120:O120)),IF(FORMULACIÓN!$J120=Lists!$S$6,AVERAGE(FORMULACIÓN!L120:O120),""))))),"")</f>
        <v>15</v>
      </c>
      <c r="Q120" s="51" t="str">
        <f ca="1">IF($I120=Lists!$R$3,TEXT(FORMULACIÓN!P120,"00,00%"),IF(FORMULACIÓN!P120=0,0,TEXT(FORMULACIÓN!P120,"##.###")))</f>
        <v>15</v>
      </c>
      <c r="R120" s="63" t="s">
        <v>484</v>
      </c>
      <c r="S120" s="59">
        <v>0.03</v>
      </c>
      <c r="T120" s="58" t="s">
        <v>350</v>
      </c>
      <c r="U120" s="66">
        <v>1573656943.3925042</v>
      </c>
      <c r="V120" s="66">
        <v>810671758.7173506</v>
      </c>
      <c r="W120" s="66"/>
      <c r="X120" s="67">
        <f t="shared" si="5"/>
        <v>2384328702.1098547</v>
      </c>
      <c r="Y120" s="206">
        <v>2867332156.638638</v>
      </c>
      <c r="Z120" s="206">
        <v>1477110504.9350562</v>
      </c>
      <c r="AA120" s="66"/>
      <c r="AB120" s="67">
        <f t="shared" si="6"/>
        <v>4344442661.5736942</v>
      </c>
      <c r="AC120" s="206">
        <v>3211492866.6817932</v>
      </c>
      <c r="AD120" s="206">
        <v>1654405416.1694088</v>
      </c>
      <c r="AE120" s="66"/>
      <c r="AF120" s="67">
        <f t="shared" si="7"/>
        <v>4865898282.851202</v>
      </c>
      <c r="AG120" s="206">
        <v>1142299545.4086776</v>
      </c>
      <c r="AH120" s="206">
        <v>588457341.57416725</v>
      </c>
      <c r="AI120" s="66"/>
      <c r="AJ120" s="65">
        <f t="shared" si="8"/>
        <v>1730756886.9828448</v>
      </c>
      <c r="AK120" s="65">
        <f>IF(SUM(AB120,AF120,X120,AJ120)=0,"",SUM((AB120,AF120,X120,AJ120)))</f>
        <v>13325426533.517597</v>
      </c>
      <c r="AL120" s="20"/>
      <c r="AM120" s="20"/>
      <c r="AN120" s="20"/>
      <c r="AO120" s="20"/>
      <c r="AP120" s="20"/>
      <c r="AQ120" s="20"/>
      <c r="AR120" s="20"/>
      <c r="AS120" s="20"/>
      <c r="AT120" s="20"/>
      <c r="AU120" s="20"/>
      <c r="AV120" s="20"/>
      <c r="AW120" s="20"/>
    </row>
    <row r="121" spans="1:85" s="62" customFormat="1" ht="99.95" customHeight="1">
      <c r="A121" s="92">
        <f t="shared" si="9"/>
        <v>110</v>
      </c>
      <c r="B121" s="58" t="s">
        <v>411</v>
      </c>
      <c r="C121" s="199" t="str">
        <f>IFERROR(VLOOKUP(FORMULACIÓN!B121,Lists!$A$2:$B$6,2,FALSE),"")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1" s="58" t="s">
        <v>412</v>
      </c>
      <c r="E121" s="58" t="s">
        <v>470</v>
      </c>
      <c r="F121" s="58" t="s">
        <v>485</v>
      </c>
      <c r="G121" s="58" t="s">
        <v>486</v>
      </c>
      <c r="H121" s="58" t="s">
        <v>487</v>
      </c>
      <c r="I121" s="58" t="s">
        <v>168</v>
      </c>
      <c r="J121" s="63" t="s">
        <v>161</v>
      </c>
      <c r="K121" s="58">
        <v>0</v>
      </c>
      <c r="L121" s="58">
        <v>3</v>
      </c>
      <c r="M121" s="58">
        <v>8</v>
      </c>
      <c r="N121" s="58">
        <v>8</v>
      </c>
      <c r="O121" s="58">
        <v>1</v>
      </c>
      <c r="P121" s="63">
        <f ca="1">IFERROR(IF($J121=Lists!$S$2,SUM(FORMULACIÓN!K121:O121),IF(FORMULACIÓN!$J121=Lists!$S$3,SUM(FORMULACIÓN!L121:O121),IF(FORMULACIÓN!$J121=Lists!$S$4,AVERAGE(FORMULACIÓN!L121:O121),IF(FORMULACIÓN!$J121=Lists!$S$5,OFFSET(K121,0,COUNTA(L121:O121)),IF(FORMULACIÓN!$J121=Lists!$S$6,AVERAGE(FORMULACIÓN!L121:O121),""))))),"")</f>
        <v>20</v>
      </c>
      <c r="Q121" s="51" t="str">
        <f ca="1">IF($I121=Lists!$R$3,TEXT(FORMULACIÓN!P121,"00,00%"),IF(FORMULACIÓN!P121=0,0,TEXT(FORMULACIÓN!P121,"##.###")))</f>
        <v>20</v>
      </c>
      <c r="R121" s="63" t="s">
        <v>488</v>
      </c>
      <c r="S121" s="59">
        <v>0.02</v>
      </c>
      <c r="T121" s="58" t="s">
        <v>350</v>
      </c>
      <c r="U121" s="66">
        <v>1407183128.9377756</v>
      </c>
      <c r="V121" s="66">
        <v>396897805.59783417</v>
      </c>
      <c r="W121" s="66"/>
      <c r="X121" s="67">
        <f t="shared" si="5"/>
        <v>1804080934.5356097</v>
      </c>
      <c r="Y121" s="206">
        <v>2864468382.092649</v>
      </c>
      <c r="Z121" s="206">
        <v>807926979.56459332</v>
      </c>
      <c r="AA121" s="66"/>
      <c r="AB121" s="67">
        <f t="shared" si="6"/>
        <v>3672395361.6572423</v>
      </c>
      <c r="AC121" s="206">
        <v>3213903268.6159983</v>
      </c>
      <c r="AD121" s="206">
        <v>906485537.30194819</v>
      </c>
      <c r="AE121" s="66"/>
      <c r="AF121" s="67">
        <f t="shared" si="7"/>
        <v>4120388805.9179463</v>
      </c>
      <c r="AG121" s="206">
        <v>1142538905.2139208</v>
      </c>
      <c r="AH121" s="206">
        <v>322254563.0090546</v>
      </c>
      <c r="AI121" s="66"/>
      <c r="AJ121" s="65">
        <f t="shared" si="8"/>
        <v>1464793468.2229755</v>
      </c>
      <c r="AK121" s="65">
        <f>IF(SUM(AB121,AF121,X121,AJ121)=0,"",SUM((AB121,AF121,X121,AJ121)))</f>
        <v>11061658570.333773</v>
      </c>
      <c r="AL121" s="20"/>
      <c r="AM121" s="20"/>
      <c r="AN121" s="20"/>
      <c r="AO121" s="20"/>
      <c r="AP121" s="20"/>
      <c r="AQ121" s="20"/>
      <c r="AR121" s="20"/>
      <c r="AS121" s="20"/>
      <c r="AT121" s="20"/>
      <c r="AU121" s="20"/>
      <c r="AV121" s="20"/>
      <c r="AW121" s="20"/>
      <c r="CG121" s="17"/>
    </row>
    <row r="122" spans="1:85" s="62" customFormat="1" ht="99.95" customHeight="1">
      <c r="A122" s="92">
        <f t="shared" si="9"/>
        <v>111</v>
      </c>
      <c r="B122" s="58" t="s">
        <v>411</v>
      </c>
      <c r="C122" s="199" t="str">
        <f>IFERROR(VLOOKUP(FORMULACIÓN!B122,Lists!$A$2:$B$6,2,FALSE),"")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2" s="58" t="s">
        <v>432</v>
      </c>
      <c r="E122" s="58" t="s">
        <v>470</v>
      </c>
      <c r="F122" s="58" t="s">
        <v>489</v>
      </c>
      <c r="G122" s="58" t="s">
        <v>490</v>
      </c>
      <c r="H122" s="58" t="s">
        <v>491</v>
      </c>
      <c r="I122" s="58" t="s">
        <v>168</v>
      </c>
      <c r="J122" s="63" t="s">
        <v>161</v>
      </c>
      <c r="K122" s="58">
        <v>0</v>
      </c>
      <c r="L122" s="197">
        <v>3</v>
      </c>
      <c r="M122" s="201">
        <v>3</v>
      </c>
      <c r="N122" s="201">
        <v>3</v>
      </c>
      <c r="O122" s="201">
        <v>1</v>
      </c>
      <c r="P122" s="63">
        <f ca="1">IFERROR(IF($J122=Lists!$S$2,SUM(FORMULACIÓN!K122:O122),IF(FORMULACIÓN!$J122=Lists!$S$3,SUM(FORMULACIÓN!L122:O122),IF(FORMULACIÓN!$J122=Lists!$S$4,AVERAGE(FORMULACIÓN!L122:O122),IF(FORMULACIÓN!$J122=Lists!$S$5,OFFSET(K122,0,COUNTA(L122:O122)),IF(FORMULACIÓN!$J122=Lists!$S$6,AVERAGE(FORMULACIÓN!L122:O122),""))))),"")</f>
        <v>10</v>
      </c>
      <c r="Q122" s="51" t="str">
        <f ca="1">IF($I122=Lists!$R$3,TEXT(FORMULACIÓN!P122,"00,00%"),IF(FORMULACIÓN!P122=0,0,TEXT(FORMULACIÓN!P122,"##.###")))</f>
        <v>10</v>
      </c>
      <c r="R122" s="63" t="s">
        <v>488</v>
      </c>
      <c r="S122" s="59">
        <v>0.02</v>
      </c>
      <c r="T122" s="58" t="s">
        <v>350</v>
      </c>
      <c r="U122" s="66">
        <v>1125746503.1502204</v>
      </c>
      <c r="V122" s="66">
        <v>317518244.47826731</v>
      </c>
      <c r="W122" s="66"/>
      <c r="X122" s="67">
        <f t="shared" si="5"/>
        <v>1443264747.6284876</v>
      </c>
      <c r="Y122" s="206">
        <v>2291574705.674119</v>
      </c>
      <c r="Z122" s="206">
        <v>646341583.65167463</v>
      </c>
      <c r="AA122" s="66"/>
      <c r="AB122" s="67">
        <f t="shared" si="6"/>
        <v>2937916289.3257937</v>
      </c>
      <c r="AC122" s="206">
        <v>2571122614.8927989</v>
      </c>
      <c r="AD122" s="206">
        <v>725188429.84155858</v>
      </c>
      <c r="AE122" s="66"/>
      <c r="AF122" s="67">
        <f t="shared" si="7"/>
        <v>3296311044.7343574</v>
      </c>
      <c r="AG122" s="206">
        <v>914031124.17113686</v>
      </c>
      <c r="AH122" s="206">
        <v>257803650.40724373</v>
      </c>
      <c r="AI122" s="66"/>
      <c r="AJ122" s="65">
        <f t="shared" si="8"/>
        <v>1171834774.5783806</v>
      </c>
      <c r="AK122" s="65">
        <f>IF(SUM(AB122,AF122,X122,AJ122)=0,"",SUM((AB122,AF122,X122,AJ122)))</f>
        <v>8849326856.2670193</v>
      </c>
      <c r="AL122" s="20"/>
      <c r="AM122" s="20"/>
      <c r="AN122" s="20"/>
      <c r="AO122" s="20"/>
      <c r="AP122" s="20"/>
      <c r="AQ122" s="20"/>
      <c r="AR122" s="20"/>
      <c r="AS122" s="20"/>
      <c r="AT122" s="20"/>
      <c r="AU122" s="20"/>
      <c r="AV122" s="20"/>
      <c r="AW122" s="20"/>
      <c r="CG122" s="17"/>
    </row>
    <row r="123" spans="1:85" s="62" customFormat="1" ht="99.95" customHeight="1">
      <c r="A123" s="92">
        <f t="shared" si="9"/>
        <v>112</v>
      </c>
      <c r="B123" s="58" t="s">
        <v>411</v>
      </c>
      <c r="C123" s="199" t="str">
        <f>IFERROR(VLOOKUP(FORMULACIÓN!B123,Lists!$A$2:$B$6,2,FALSE),"")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3" s="58" t="s">
        <v>432</v>
      </c>
      <c r="E123" s="58" t="s">
        <v>470</v>
      </c>
      <c r="F123" s="58" t="s">
        <v>492</v>
      </c>
      <c r="G123" s="58" t="s">
        <v>493</v>
      </c>
      <c r="H123" s="58" t="s">
        <v>494</v>
      </c>
      <c r="I123" s="58" t="s">
        <v>168</v>
      </c>
      <c r="J123" s="63" t="s">
        <v>169</v>
      </c>
      <c r="K123" s="201">
        <v>50</v>
      </c>
      <c r="L123" s="197">
        <v>240</v>
      </c>
      <c r="M123" s="201">
        <v>240</v>
      </c>
      <c r="N123" s="201">
        <v>240</v>
      </c>
      <c r="O123" s="201">
        <v>80</v>
      </c>
      <c r="P123" s="63">
        <f ca="1">IFERROR(IF($J123=Lists!$S$2,SUM(FORMULACIÓN!K123:O123),IF(FORMULACIÓN!$J123=Lists!$S$3,SUM(FORMULACIÓN!L123:O123),IF(FORMULACIÓN!$J123=Lists!$S$4,AVERAGE(FORMULACIÓN!L123:O123),IF(FORMULACIÓN!$J123=Lists!$S$5,OFFSET(K123,0,COUNTA(L123:O123)),IF(FORMULACIÓN!$J123=Lists!$S$6,AVERAGE(FORMULACIÓN!L123:O123),""))))),"")</f>
        <v>800</v>
      </c>
      <c r="Q123" s="51" t="str">
        <f ca="1">IF($I123=Lists!$R$3,TEXT(FORMULACIÓN!P123,"00,00%"),IF(FORMULACIÓN!P123=0,0,TEXT(FORMULACIÓN!P123,"##.###")))</f>
        <v>800</v>
      </c>
      <c r="R123" s="63" t="s">
        <v>488</v>
      </c>
      <c r="S123" s="59">
        <v>0.02</v>
      </c>
      <c r="T123" s="58" t="s">
        <v>350</v>
      </c>
      <c r="U123" s="66">
        <v>321641858.04292029</v>
      </c>
      <c r="V123" s="66">
        <v>90719498.422362134</v>
      </c>
      <c r="W123" s="66"/>
      <c r="X123" s="67">
        <f t="shared" si="5"/>
        <v>412361356.46528244</v>
      </c>
      <c r="Y123" s="206">
        <v>654735630.19260573</v>
      </c>
      <c r="Z123" s="206">
        <v>184669023.90047854</v>
      </c>
      <c r="AA123" s="66"/>
      <c r="AB123" s="67">
        <f t="shared" si="6"/>
        <v>839404654.09308434</v>
      </c>
      <c r="AC123" s="206">
        <v>734606461.39794278</v>
      </c>
      <c r="AD123" s="206">
        <v>207196694.24044544</v>
      </c>
      <c r="AE123" s="66"/>
      <c r="AF123" s="67">
        <f t="shared" si="7"/>
        <v>941803155.63838816</v>
      </c>
      <c r="AG123" s="206">
        <v>261151749.76318204</v>
      </c>
      <c r="AH123" s="206">
        <v>73658185.830641091</v>
      </c>
      <c r="AI123" s="66"/>
      <c r="AJ123" s="65">
        <f t="shared" si="8"/>
        <v>334809935.59382313</v>
      </c>
      <c r="AK123" s="65">
        <f>IF(SUM(AB123,AF123,X123,AJ123)=0,"",SUM((AB123,AF123,X123,AJ123)))</f>
        <v>2528379101.7905779</v>
      </c>
      <c r="AL123" s="20"/>
      <c r="AM123" s="20"/>
      <c r="AN123" s="20"/>
      <c r="AO123" s="20"/>
      <c r="AP123" s="20"/>
      <c r="AQ123" s="20"/>
      <c r="AR123" s="20"/>
      <c r="AS123" s="20"/>
      <c r="AT123" s="20"/>
      <c r="AU123" s="20"/>
      <c r="AV123" s="20"/>
      <c r="AW123" s="20"/>
      <c r="CG123" s="17"/>
    </row>
    <row r="124" spans="1:85" s="62" customFormat="1" ht="99.95" customHeight="1">
      <c r="A124" s="92">
        <f t="shared" si="9"/>
        <v>113</v>
      </c>
      <c r="B124" s="58" t="s">
        <v>411</v>
      </c>
      <c r="C124" s="199" t="str">
        <f>IFERROR(VLOOKUP(FORMULACIÓN!B124,Lists!$A$2:$B$6,2,FALSE),"")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4" s="58" t="s">
        <v>451</v>
      </c>
      <c r="E124" s="58" t="s">
        <v>495</v>
      </c>
      <c r="F124" s="58" t="s">
        <v>496</v>
      </c>
      <c r="G124" s="58" t="s">
        <v>497</v>
      </c>
      <c r="H124" s="58" t="s">
        <v>498</v>
      </c>
      <c r="I124" s="58" t="s">
        <v>168</v>
      </c>
      <c r="J124" s="63" t="s">
        <v>169</v>
      </c>
      <c r="K124" s="58">
        <v>0</v>
      </c>
      <c r="L124" s="58">
        <v>1</v>
      </c>
      <c r="M124" s="58">
        <v>0</v>
      </c>
      <c r="N124" s="58">
        <v>0</v>
      </c>
      <c r="O124" s="58">
        <v>0</v>
      </c>
      <c r="P124" s="63">
        <f ca="1">IFERROR(IF($J124=Lists!$S$2,SUM(FORMULACIÓN!K124:O124),IF(FORMULACIÓN!$J124=Lists!$S$3,SUM(FORMULACIÓN!L124:O124),IF(FORMULACIÓN!$J124=Lists!$S$4,AVERAGE(FORMULACIÓN!L124:O124),IF(FORMULACIÓN!$J124=Lists!$S$5,OFFSET(K124,0,COUNTA(L124:O124)),IF(FORMULACIÓN!$J124=Lists!$S$6,AVERAGE(FORMULACIÓN!L124:O124),""))))),"")</f>
        <v>1</v>
      </c>
      <c r="Q124" s="51" t="str">
        <f ca="1">IF($I124=Lists!$R$3,TEXT(FORMULACIÓN!P124,"00,00%"),IF(FORMULACIÓN!P124=0,0,TEXT(FORMULACIÓN!P124,"##.###")))</f>
        <v>1</v>
      </c>
      <c r="R124" s="63" t="s">
        <v>499</v>
      </c>
      <c r="S124" s="59">
        <v>0.05</v>
      </c>
      <c r="T124" s="58" t="s">
        <v>350</v>
      </c>
      <c r="U124" s="66">
        <v>8629454.7498012483</v>
      </c>
      <c r="V124" s="66">
        <v>207106913.99522969</v>
      </c>
      <c r="W124" s="66"/>
      <c r="X124" s="67">
        <f t="shared" si="5"/>
        <v>215736368.74503094</v>
      </c>
      <c r="Y124" s="206">
        <v>9685605.7532685697</v>
      </c>
      <c r="Z124" s="206">
        <v>232454538.07844576</v>
      </c>
      <c r="AA124" s="66"/>
      <c r="AB124" s="67">
        <f t="shared" si="6"/>
        <v>242140143.83171433</v>
      </c>
      <c r="AC124" s="206">
        <v>10760176.180600226</v>
      </c>
      <c r="AD124" s="206">
        <v>258244228.33440483</v>
      </c>
      <c r="AE124" s="66"/>
      <c r="AF124" s="67">
        <f t="shared" si="7"/>
        <v>269004404.51500505</v>
      </c>
      <c r="AG124" s="206">
        <v>3846099.7894995213</v>
      </c>
      <c r="AH124" s="206">
        <v>92306394.94798854</v>
      </c>
      <c r="AI124" s="66"/>
      <c r="AJ124" s="65">
        <f t="shared" si="8"/>
        <v>96152494.737488061</v>
      </c>
      <c r="AK124" s="65">
        <f>IF(SUM(AB124,AF124,X124,AJ124)=0,"",SUM((AB124,AF124,X124,AJ124)))</f>
        <v>823033411.82923841</v>
      </c>
      <c r="AL124" s="20"/>
      <c r="AM124" s="20"/>
      <c r="AN124" s="20"/>
      <c r="AO124" s="20"/>
      <c r="AP124" s="20"/>
      <c r="AQ124" s="20"/>
      <c r="AR124" s="20"/>
      <c r="AS124" s="20"/>
      <c r="AT124" s="20"/>
      <c r="AU124" s="20"/>
      <c r="AV124" s="20"/>
      <c r="AW124" s="20"/>
      <c r="CG124" s="17"/>
    </row>
    <row r="125" spans="1:85" s="62" customFormat="1" ht="99.95" customHeight="1">
      <c r="A125" s="92">
        <f t="shared" si="9"/>
        <v>114</v>
      </c>
      <c r="B125" s="58" t="s">
        <v>411</v>
      </c>
      <c r="C125" s="199" t="str">
        <f>IFERROR(VLOOKUP(FORMULACIÓN!B125,Lists!$A$2:$B$6,2,FALSE),"")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5" s="58" t="s">
        <v>451</v>
      </c>
      <c r="E125" s="58" t="s">
        <v>495</v>
      </c>
      <c r="F125" s="58" t="s">
        <v>496</v>
      </c>
      <c r="G125" s="58" t="s">
        <v>500</v>
      </c>
      <c r="H125" s="58" t="s">
        <v>501</v>
      </c>
      <c r="I125" s="58" t="s">
        <v>160</v>
      </c>
      <c r="J125" s="63" t="s">
        <v>161</v>
      </c>
      <c r="K125" s="59">
        <v>0</v>
      </c>
      <c r="L125" s="196">
        <v>0</v>
      </c>
      <c r="M125" s="59">
        <v>0.4</v>
      </c>
      <c r="N125" s="59">
        <v>0.4</v>
      </c>
      <c r="O125" s="59">
        <v>0.2</v>
      </c>
      <c r="P125" s="63">
        <f ca="1">IFERROR(IF($J125=Lists!$S$2,SUM(FORMULACIÓN!K125:O125),IF(FORMULACIÓN!$J125=Lists!$S$3,SUM(FORMULACIÓN!L125:O125),IF(FORMULACIÓN!$J125=Lists!$S$4,AVERAGE(FORMULACIÓN!L125:O125),IF(FORMULACIÓN!$J125=Lists!$S$5,OFFSET(K125,0,COUNTA(L125:O125)),IF(FORMULACIÓN!$J125=Lists!$S$6,AVERAGE(FORMULACIÓN!L125:O125),""))))),"")</f>
        <v>1</v>
      </c>
      <c r="Q125" s="51" t="str">
        <f ca="1">IF($I125=Lists!$R$3,TEXT(FORMULACIÓN!P125,"00,00%"),IF(FORMULACIÓN!P125=0,0,TEXT(FORMULACIÓN!P125,"##.###")))</f>
        <v>100,00%</v>
      </c>
      <c r="R125" s="63" t="s">
        <v>499</v>
      </c>
      <c r="S125" s="59">
        <v>0.05</v>
      </c>
      <c r="T125" s="58" t="s">
        <v>350</v>
      </c>
      <c r="U125" s="66">
        <v>69035637.998409986</v>
      </c>
      <c r="V125" s="66">
        <v>1656855311.9618375</v>
      </c>
      <c r="W125" s="66"/>
      <c r="X125" s="67">
        <f t="shared" si="5"/>
        <v>1725890949.9602475</v>
      </c>
      <c r="Y125" s="206">
        <v>77484846.026148558</v>
      </c>
      <c r="Z125" s="206">
        <v>1859636304.6275661</v>
      </c>
      <c r="AA125" s="66"/>
      <c r="AB125" s="67">
        <f t="shared" si="6"/>
        <v>1937121150.6537147</v>
      </c>
      <c r="AC125" s="206">
        <v>86081409.444801807</v>
      </c>
      <c r="AD125" s="206">
        <v>2065953826.6752386</v>
      </c>
      <c r="AE125" s="66"/>
      <c r="AF125" s="67">
        <f t="shared" si="7"/>
        <v>2152035236.1200404</v>
      </c>
      <c r="AG125" s="206">
        <v>30768798.31599617</v>
      </c>
      <c r="AH125" s="206">
        <v>738451159.58390832</v>
      </c>
      <c r="AI125" s="66"/>
      <c r="AJ125" s="65">
        <f t="shared" si="8"/>
        <v>769219957.89990449</v>
      </c>
      <c r="AK125" s="65">
        <f>IF(SUM(AB125,AF125,X125,AJ125)=0,"",SUM((AB125,AF125,X125,AJ125)))</f>
        <v>6584267294.6339073</v>
      </c>
      <c r="AL125" s="20"/>
      <c r="AM125" s="20"/>
      <c r="AN125" s="20"/>
      <c r="AO125" s="20"/>
      <c r="AP125" s="20"/>
      <c r="AQ125" s="20"/>
      <c r="AR125" s="20"/>
      <c r="AS125" s="20"/>
      <c r="AT125" s="20"/>
      <c r="AU125" s="20"/>
      <c r="AV125" s="20"/>
      <c r="AW125" s="20"/>
      <c r="CG125" s="17"/>
    </row>
    <row r="126" spans="1:85" s="62" customFormat="1" ht="99.95" customHeight="1">
      <c r="A126" s="92">
        <f t="shared" si="9"/>
        <v>115</v>
      </c>
      <c r="B126" s="58" t="s">
        <v>411</v>
      </c>
      <c r="C126" s="199" t="str">
        <f>IFERROR(VLOOKUP(FORMULACIÓN!B126,Lists!$A$2:$B$6,2,FALSE),"")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6" s="58" t="s">
        <v>418</v>
      </c>
      <c r="E126" s="58" t="s">
        <v>495</v>
      </c>
      <c r="F126" s="58" t="s">
        <v>496</v>
      </c>
      <c r="G126" s="58" t="s">
        <v>502</v>
      </c>
      <c r="H126" s="58" t="s">
        <v>503</v>
      </c>
      <c r="I126" s="58" t="s">
        <v>168</v>
      </c>
      <c r="J126" s="63" t="s">
        <v>169</v>
      </c>
      <c r="K126" s="58">
        <v>0</v>
      </c>
      <c r="L126" s="58">
        <v>15</v>
      </c>
      <c r="M126" s="58">
        <v>15</v>
      </c>
      <c r="N126" s="58">
        <v>15</v>
      </c>
      <c r="O126" s="58">
        <v>5</v>
      </c>
      <c r="P126" s="63">
        <f ca="1">IFERROR(IF($J126=Lists!$S$2,SUM(FORMULACIÓN!K126:O126),IF(FORMULACIÓN!$J126=Lists!$S$3,SUM(FORMULACIÓN!L126:O126),IF(FORMULACIÓN!$J126=Lists!$S$4,AVERAGE(FORMULACIÓN!L126:O126),IF(FORMULACIÓN!$J126=Lists!$S$5,OFFSET(K126,0,COUNTA(L126:O126)),IF(FORMULACIÓN!$J126=Lists!$S$6,AVERAGE(FORMULACIÓN!L126:O126),""))))),"")</f>
        <v>50</v>
      </c>
      <c r="Q126" s="51" t="str">
        <f ca="1">IF($I126=Lists!$R$3,TEXT(FORMULACIÓN!P126,"00,00%"),IF(FORMULACIÓN!P126=0,0,TEXT(FORMULACIÓN!P126,"##.###")))</f>
        <v>50</v>
      </c>
      <c r="R126" s="63" t="s">
        <v>504</v>
      </c>
      <c r="S126" s="59">
        <v>0.05</v>
      </c>
      <c r="T126" s="58" t="s">
        <v>350</v>
      </c>
      <c r="U126" s="66">
        <v>25888364.249403715</v>
      </c>
      <c r="V126" s="66">
        <v>621320741.98568904</v>
      </c>
      <c r="W126" s="66"/>
      <c r="X126" s="67">
        <f t="shared" si="5"/>
        <v>647209106.23509276</v>
      </c>
      <c r="Y126" s="206">
        <v>29056817.259805799</v>
      </c>
      <c r="Z126" s="206">
        <v>697363614.23533714</v>
      </c>
      <c r="AA126" s="66"/>
      <c r="AB126" s="67">
        <f t="shared" si="6"/>
        <v>726420431.49514294</v>
      </c>
      <c r="AC126" s="206">
        <v>32280528.541800618</v>
      </c>
      <c r="AD126" s="206">
        <v>774732685.0032146</v>
      </c>
      <c r="AE126" s="66"/>
      <c r="AF126" s="67">
        <f t="shared" si="7"/>
        <v>807013213.54501522</v>
      </c>
      <c r="AG126" s="206">
        <v>11538299.368498564</v>
      </c>
      <c r="AH126" s="206">
        <v>276919184.84396559</v>
      </c>
      <c r="AI126" s="66"/>
      <c r="AJ126" s="65">
        <f t="shared" si="8"/>
        <v>288457484.21246415</v>
      </c>
      <c r="AK126" s="65">
        <f>IF(SUM(AB126,AF126,X126,AJ126)=0,"",SUM((AB126,AF126,X126,AJ126)))</f>
        <v>2469100235.4877152</v>
      </c>
      <c r="AL126" s="20"/>
      <c r="AM126" s="20"/>
      <c r="AN126" s="20"/>
      <c r="AO126" s="20"/>
      <c r="AP126" s="20"/>
      <c r="AQ126" s="20"/>
      <c r="AR126" s="20"/>
      <c r="AS126" s="20"/>
      <c r="AT126" s="20"/>
      <c r="AU126" s="20"/>
      <c r="AV126" s="20"/>
      <c r="AW126" s="20"/>
      <c r="CG126" s="17"/>
    </row>
    <row r="127" spans="1:85" s="62" customFormat="1" ht="99.95" customHeight="1">
      <c r="A127" s="92">
        <f t="shared" si="9"/>
        <v>116</v>
      </c>
      <c r="B127" s="58" t="s">
        <v>411</v>
      </c>
      <c r="C127" s="199" t="str">
        <f>IFERROR(VLOOKUP(FORMULACIÓN!B127,Lists!$A$2:$B$6,2,FALSE),"")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7" s="58" t="s">
        <v>451</v>
      </c>
      <c r="E127" s="58" t="s">
        <v>495</v>
      </c>
      <c r="F127" s="58" t="s">
        <v>505</v>
      </c>
      <c r="G127" s="58" t="s">
        <v>506</v>
      </c>
      <c r="H127" s="58" t="s">
        <v>507</v>
      </c>
      <c r="I127" s="58" t="s">
        <v>168</v>
      </c>
      <c r="J127" s="63" t="s">
        <v>161</v>
      </c>
      <c r="K127" s="58">
        <v>0</v>
      </c>
      <c r="L127" s="58">
        <v>15</v>
      </c>
      <c r="M127" s="58">
        <v>15</v>
      </c>
      <c r="N127" s="58">
        <v>15</v>
      </c>
      <c r="O127" s="58">
        <v>5</v>
      </c>
      <c r="P127" s="63">
        <f ca="1">IFERROR(IF($J127=Lists!$S$2,SUM(FORMULACIÓN!K127:O127),IF(FORMULACIÓN!$J127=Lists!$S$3,SUM(FORMULACIÓN!L127:O127),IF(FORMULACIÓN!$J127=Lists!$S$4,AVERAGE(FORMULACIÓN!L127:O127),IF(FORMULACIÓN!$J127=Lists!$S$5,OFFSET(K127,0,COUNTA(L127:O127)),IF(FORMULACIÓN!$J127=Lists!$S$6,AVERAGE(FORMULACIÓN!L127:O127),""))))),"")</f>
        <v>50</v>
      </c>
      <c r="Q127" s="51" t="str">
        <f ca="1">IF($I127=Lists!$R$3,TEXT(FORMULACIÓN!P127,"00,00%"),IF(FORMULACIÓN!P127=0,0,TEXT(FORMULACIÓN!P127,"##.###")))</f>
        <v>50</v>
      </c>
      <c r="R127" s="63" t="s">
        <v>504</v>
      </c>
      <c r="S127" s="59">
        <v>0.05</v>
      </c>
      <c r="T127" s="58" t="s">
        <v>350</v>
      </c>
      <c r="U127" s="66">
        <v>25888364.249403715</v>
      </c>
      <c r="V127" s="66">
        <v>621320741.98568904</v>
      </c>
      <c r="W127" s="66"/>
      <c r="X127" s="67">
        <f t="shared" si="5"/>
        <v>647209106.23509276</v>
      </c>
      <c r="Y127" s="206">
        <v>29056817.259805799</v>
      </c>
      <c r="Z127" s="206">
        <v>697363614.23533714</v>
      </c>
      <c r="AA127" s="66"/>
      <c r="AB127" s="67">
        <f t="shared" si="6"/>
        <v>726420431.49514294</v>
      </c>
      <c r="AC127" s="206">
        <v>32280528.541800618</v>
      </c>
      <c r="AD127" s="206">
        <v>774732685.0032146</v>
      </c>
      <c r="AE127" s="66"/>
      <c r="AF127" s="67">
        <f t="shared" si="7"/>
        <v>807013213.54501522</v>
      </c>
      <c r="AG127" s="206">
        <v>11538299.368498564</v>
      </c>
      <c r="AH127" s="206">
        <v>276919184.84396559</v>
      </c>
      <c r="AI127" s="66"/>
      <c r="AJ127" s="65">
        <f t="shared" si="8"/>
        <v>288457484.21246415</v>
      </c>
      <c r="AK127" s="65">
        <f>IF(SUM(AB127,AF127,X127,AJ127)=0,"",SUM((AB127,AF127,X127,AJ127)))</f>
        <v>2469100235.4877152</v>
      </c>
      <c r="AL127" s="20"/>
      <c r="AM127" s="20"/>
      <c r="AN127" s="20"/>
      <c r="AO127" s="20"/>
      <c r="AP127" s="20"/>
      <c r="AQ127" s="20"/>
      <c r="AR127" s="20"/>
      <c r="AS127" s="20"/>
      <c r="AT127" s="20"/>
      <c r="AU127" s="20"/>
      <c r="AV127" s="20"/>
      <c r="AW127" s="20"/>
      <c r="CG127" s="17"/>
    </row>
    <row r="128" spans="1:85" s="62" customFormat="1" ht="99.95" customHeight="1">
      <c r="A128" s="92">
        <f t="shared" si="9"/>
        <v>117</v>
      </c>
      <c r="B128" s="58" t="s">
        <v>411</v>
      </c>
      <c r="C128" s="199" t="str">
        <f>IFERROR(VLOOKUP(FORMULACIÓN!B128,Lists!$A$2:$B$6,2,FALSE),"")</f>
        <v>Coadyuvar con el desarrollo económico, social, cultural y ambiental a nivel regional, nacional e internacional; mediante la extensión y proyección social articulada con la investigación, creación, formación, innovación y transferencia tecnológica, que permita una interacción e integración permanente, amplia y diversa con el estado, la empresa y la sociedad.</v>
      </c>
      <c r="D128" s="58" t="s">
        <v>451</v>
      </c>
      <c r="E128" s="58" t="s">
        <v>495</v>
      </c>
      <c r="F128" s="58" t="s">
        <v>508</v>
      </c>
      <c r="G128" s="58" t="s">
        <v>509</v>
      </c>
      <c r="H128" s="58" t="s">
        <v>510</v>
      </c>
      <c r="I128" s="58" t="s">
        <v>168</v>
      </c>
      <c r="J128" s="63" t="s">
        <v>161</v>
      </c>
      <c r="K128" s="58">
        <v>0</v>
      </c>
      <c r="L128" s="58">
        <v>1</v>
      </c>
      <c r="M128" s="58">
        <v>0</v>
      </c>
      <c r="N128" s="58">
        <v>1</v>
      </c>
      <c r="O128" s="58">
        <v>0</v>
      </c>
      <c r="P128" s="63">
        <f ca="1">IFERROR(IF($J128=Lists!$S$2,SUM(FORMULACIÓN!K128:O128),IF(FORMULACIÓN!$J128=Lists!$S$3,SUM(FORMULACIÓN!L128:O128),IF(FORMULACIÓN!$J128=Lists!$S$4,AVERAGE(FORMULACIÓN!L128:O128),IF(FORMULACIÓN!$J128=Lists!$S$5,OFFSET(K128,0,COUNTA(L128:O128)),IF(FORMULACIÓN!$J128=Lists!$S$6,AVERAGE(FORMULACIÓN!L128:O128),""))))),"")</f>
        <v>2</v>
      </c>
      <c r="Q128" s="51" t="str">
        <f ca="1">IF($I128=Lists!$R$3,TEXT(FORMULACIÓN!P128,"00,00%"),IF(FORMULACIÓN!P128=0,0,TEXT(FORMULACIÓN!P128,"##.###")))</f>
        <v>2</v>
      </c>
      <c r="R128" s="63" t="s">
        <v>504</v>
      </c>
      <c r="S128" s="59">
        <v>0.05</v>
      </c>
      <c r="T128" s="58" t="s">
        <v>350</v>
      </c>
      <c r="U128" s="66">
        <v>25888364.249403715</v>
      </c>
      <c r="V128" s="66">
        <v>621320741.98568904</v>
      </c>
      <c r="W128" s="66"/>
      <c r="X128" s="67">
        <f t="shared" si="5"/>
        <v>647209106.23509276</v>
      </c>
      <c r="Y128" s="206">
        <v>29056817.259805799</v>
      </c>
      <c r="Z128" s="206">
        <v>697363614.23533714</v>
      </c>
      <c r="AA128" s="66"/>
      <c r="AB128" s="67">
        <f t="shared" si="6"/>
        <v>726420431.49514294</v>
      </c>
      <c r="AC128" s="206">
        <v>32280528.541800618</v>
      </c>
      <c r="AD128" s="206">
        <v>774732685.0032146</v>
      </c>
      <c r="AE128" s="66"/>
      <c r="AF128" s="67">
        <f t="shared" si="7"/>
        <v>807013213.54501522</v>
      </c>
      <c r="AG128" s="206">
        <v>11538299.368498564</v>
      </c>
      <c r="AH128" s="206">
        <v>276919184.84396559</v>
      </c>
      <c r="AI128" s="66"/>
      <c r="AJ128" s="65">
        <f t="shared" si="8"/>
        <v>288457484.21246415</v>
      </c>
      <c r="AK128" s="65">
        <f>IF(SUM(AB128,AF128,X128,AJ128)=0,"",SUM((AB128,AF128,X128,AJ128)))</f>
        <v>2469100235.4877152</v>
      </c>
      <c r="AL128" s="20"/>
      <c r="AM128" s="20"/>
      <c r="AN128" s="20"/>
      <c r="AO128" s="20"/>
      <c r="AP128" s="20"/>
      <c r="AQ128" s="20"/>
      <c r="AR128" s="20"/>
      <c r="AS128" s="20"/>
      <c r="AT128" s="20"/>
      <c r="AU128" s="20"/>
      <c r="AV128" s="20"/>
      <c r="AW128" s="20"/>
      <c r="CG128" s="17"/>
    </row>
    <row r="129" spans="1:85" s="62" customFormat="1" ht="99.95" customHeight="1">
      <c r="A129" s="92">
        <f t="shared" si="9"/>
        <v>118</v>
      </c>
      <c r="B129" s="58" t="s">
        <v>511</v>
      </c>
      <c r="C129" s="199" t="str">
        <f>IFERROR(VLOOKUP(FORMULACIÓN!B129,Lists!$A$2:$B$6,2,FALSE),"")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29" s="58" t="s">
        <v>512</v>
      </c>
      <c r="E129" s="58" t="s">
        <v>513</v>
      </c>
      <c r="F129" s="58" t="s">
        <v>514</v>
      </c>
      <c r="G129" s="58" t="s">
        <v>515</v>
      </c>
      <c r="H129" s="58" t="s">
        <v>516</v>
      </c>
      <c r="I129" s="58" t="s">
        <v>168</v>
      </c>
      <c r="J129" s="63" t="s">
        <v>161</v>
      </c>
      <c r="K129" s="58">
        <v>0</v>
      </c>
      <c r="L129" s="58">
        <v>1</v>
      </c>
      <c r="M129" s="58">
        <v>1</v>
      </c>
      <c r="N129" s="58">
        <v>1</v>
      </c>
      <c r="O129" s="58">
        <v>0</v>
      </c>
      <c r="P129" s="63">
        <f ca="1">IFERROR(IF($J129=Lists!$S$2,SUM(FORMULACIÓN!K129:O129),IF(FORMULACIÓN!$J129=Lists!$S$3,SUM(FORMULACIÓN!L129:O129),IF(FORMULACIÓN!$J129=Lists!$S$4,AVERAGE(FORMULACIÓN!L129:O129),IF(FORMULACIÓN!$J129=Lists!$S$5,OFFSET(K129,0,COUNTA(L129:O129)),IF(FORMULACIÓN!$J129=Lists!$S$6,AVERAGE(FORMULACIÓN!L129:O129),""))))),"")</f>
        <v>3</v>
      </c>
      <c r="Q129" s="51" t="str">
        <f ca="1">IF($I129=Lists!$R$3,TEXT(FORMULACIÓN!P129,"00,00%"),IF(FORMULACIÓN!P129=0,0,TEXT(FORMULACIÓN!P129,"##.###")))</f>
        <v>3</v>
      </c>
      <c r="R129" s="63" t="s">
        <v>517</v>
      </c>
      <c r="S129" s="59">
        <v>0.1</v>
      </c>
      <c r="T129" s="58" t="s">
        <v>518</v>
      </c>
      <c r="U129" s="66">
        <v>1094688634</v>
      </c>
      <c r="V129" s="66"/>
      <c r="W129" s="66"/>
      <c r="X129" s="67">
        <f t="shared" si="5"/>
        <v>1094688634</v>
      </c>
      <c r="Y129" s="64">
        <v>463413180.33333331</v>
      </c>
      <c r="Z129" s="66"/>
      <c r="AA129" s="66"/>
      <c r="AB129" s="67">
        <f t="shared" si="6"/>
        <v>463413180.33333331</v>
      </c>
      <c r="AC129" s="64">
        <v>504429035.33333331</v>
      </c>
      <c r="AD129" s="66"/>
      <c r="AE129" s="66"/>
      <c r="AF129" s="67">
        <f t="shared" si="7"/>
        <v>504429035.33333331</v>
      </c>
      <c r="AG129" s="64">
        <v>177847264</v>
      </c>
      <c r="AH129" s="66"/>
      <c r="AI129" s="66"/>
      <c r="AJ129" s="65">
        <f t="shared" si="8"/>
        <v>177847264</v>
      </c>
      <c r="AK129" s="65">
        <f>IF(SUM(AB129,AF129,X129,AJ129)=0,"",SUM((AB129,AF129,X129,AJ129)))</f>
        <v>2240378113.6666665</v>
      </c>
      <c r="AL129" s="20"/>
      <c r="AM129" s="20"/>
      <c r="AN129" s="20"/>
      <c r="AO129" s="20"/>
      <c r="AP129" s="20"/>
      <c r="AQ129" s="20"/>
      <c r="AR129" s="20"/>
      <c r="AS129" s="20"/>
      <c r="AT129" s="20"/>
      <c r="AU129" s="20"/>
      <c r="AV129" s="20"/>
      <c r="AW129" s="20"/>
      <c r="CG129" s="17"/>
    </row>
    <row r="130" spans="1:85" s="62" customFormat="1" ht="99.95" customHeight="1">
      <c r="A130" s="92">
        <f t="shared" si="9"/>
        <v>119</v>
      </c>
      <c r="B130" s="58" t="s">
        <v>511</v>
      </c>
      <c r="C130" s="199" t="str">
        <f>IFERROR(VLOOKUP(FORMULACIÓN!B130,Lists!$A$2:$B$6,2,FALSE),"")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0" s="58" t="s">
        <v>519</v>
      </c>
      <c r="E130" s="58" t="s">
        <v>513</v>
      </c>
      <c r="F130" s="58" t="s">
        <v>520</v>
      </c>
      <c r="G130" s="58" t="s">
        <v>521</v>
      </c>
      <c r="H130" s="58" t="s">
        <v>522</v>
      </c>
      <c r="I130" s="58" t="s">
        <v>160</v>
      </c>
      <c r="J130" s="63" t="s">
        <v>229</v>
      </c>
      <c r="K130" s="59">
        <v>0.105</v>
      </c>
      <c r="L130" s="196">
        <v>9.5000000000000001E-2</v>
      </c>
      <c r="M130" s="59">
        <v>8.5000000000000006E-2</v>
      </c>
      <c r="N130" s="59">
        <v>7.4999999999999997E-2</v>
      </c>
      <c r="O130" s="59">
        <v>7.0000000000000007E-2</v>
      </c>
      <c r="P130" s="63">
        <f ca="1">IFERROR(IF($J130=Lists!$S$2,SUM(FORMULACIÓN!K130:O130),IF(FORMULACIÓN!$J130=Lists!$S$3,SUM(FORMULACIÓN!L130:O130),IF(FORMULACIÓN!$J130=Lists!$S$4,AVERAGE(FORMULACIÓN!L130:O130),IF(FORMULACIÓN!$J130=Lists!$S$5,OFFSET(K130,0,COUNTA(L130:O130)),IF(FORMULACIÓN!$J130=Lists!$S$6,AVERAGE(FORMULACIÓN!L130:O130),""))))),"")</f>
        <v>7.0000000000000007E-2</v>
      </c>
      <c r="Q130" s="51" t="str">
        <f ca="1">IF($I130=Lists!$R$3,TEXT(FORMULACIÓN!P130,"00,00%"),IF(FORMULACIÓN!P130=0,0,TEXT(FORMULACIÓN!P130,"##.###")))</f>
        <v>07,00%</v>
      </c>
      <c r="R130" s="63" t="s">
        <v>517</v>
      </c>
      <c r="S130" s="59">
        <v>0.1</v>
      </c>
      <c r="T130" s="58" t="s">
        <v>518</v>
      </c>
      <c r="U130" s="66">
        <v>1094688634</v>
      </c>
      <c r="V130" s="66"/>
      <c r="W130" s="66"/>
      <c r="X130" s="67">
        <f t="shared" si="5"/>
        <v>1094688634</v>
      </c>
      <c r="Y130" s="66">
        <v>463413180.33333331</v>
      </c>
      <c r="Z130" s="66"/>
      <c r="AA130" s="66"/>
      <c r="AB130" s="67">
        <f t="shared" si="6"/>
        <v>463413180.33333331</v>
      </c>
      <c r="AC130" s="66">
        <v>504429035.33333331</v>
      </c>
      <c r="AD130" s="66"/>
      <c r="AE130" s="66"/>
      <c r="AF130" s="67">
        <f t="shared" si="7"/>
        <v>504429035.33333331</v>
      </c>
      <c r="AG130" s="66">
        <v>177847264</v>
      </c>
      <c r="AH130" s="66"/>
      <c r="AI130" s="66"/>
      <c r="AJ130" s="65">
        <f t="shared" si="8"/>
        <v>177847264</v>
      </c>
      <c r="AK130" s="65">
        <f>IF(SUM(AB130,AF130,X130,AJ130)=0,"",SUM((AB130,AF130,X130,AJ130)))</f>
        <v>2240378113.6666665</v>
      </c>
      <c r="AL130" s="20"/>
      <c r="AM130" s="20"/>
      <c r="AN130" s="20"/>
      <c r="AO130" s="20"/>
      <c r="AP130" s="20"/>
      <c r="AQ130" s="20"/>
      <c r="AR130" s="20"/>
      <c r="AS130" s="20"/>
      <c r="AT130" s="20"/>
      <c r="AU130" s="20"/>
      <c r="AV130" s="20"/>
      <c r="AW130" s="20"/>
      <c r="CG130" s="17"/>
    </row>
    <row r="131" spans="1:85" s="62" customFormat="1" ht="99.95" customHeight="1">
      <c r="A131" s="92">
        <f t="shared" si="9"/>
        <v>120</v>
      </c>
      <c r="B131" s="58" t="s">
        <v>511</v>
      </c>
      <c r="C131" s="199" t="str">
        <f>IFERROR(VLOOKUP(FORMULACIÓN!B131,Lists!$A$2:$B$6,2,FALSE),"")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1" s="58" t="s">
        <v>512</v>
      </c>
      <c r="E131" s="58" t="s">
        <v>513</v>
      </c>
      <c r="F131" s="58" t="s">
        <v>523</v>
      </c>
      <c r="G131" s="58" t="s">
        <v>524</v>
      </c>
      <c r="H131" s="58" t="s">
        <v>525</v>
      </c>
      <c r="I131" s="58" t="s">
        <v>160</v>
      </c>
      <c r="J131" s="63" t="s">
        <v>161</v>
      </c>
      <c r="K131" s="59">
        <v>0</v>
      </c>
      <c r="L131" s="196">
        <v>0.2</v>
      </c>
      <c r="M131" s="59">
        <v>0.3</v>
      </c>
      <c r="N131" s="59">
        <v>0.4</v>
      </c>
      <c r="O131" s="59">
        <v>0.1</v>
      </c>
      <c r="P131" s="63">
        <f ca="1">IFERROR(IF($J131=Lists!$S$2,SUM(FORMULACIÓN!K131:O131),IF(FORMULACIÓN!$J131=Lists!$S$3,SUM(FORMULACIÓN!L131:O131),IF(FORMULACIÓN!$J131=Lists!$S$4,AVERAGE(FORMULACIÓN!L131:O131),IF(FORMULACIÓN!$J131=Lists!$S$5,OFFSET(K131,0,COUNTA(L131:O131)),IF(FORMULACIÓN!$J131=Lists!$S$6,AVERAGE(FORMULACIÓN!L131:O131),""))))),"")</f>
        <v>1</v>
      </c>
      <c r="Q131" s="51" t="str">
        <f ca="1">IF($I131=Lists!$R$3,TEXT(FORMULACIÓN!P131,"00,00%"),IF(FORMULACIÓN!P131=0,0,TEXT(FORMULACIÓN!P131,"##.###")))</f>
        <v>100,00%</v>
      </c>
      <c r="R131" s="63" t="s">
        <v>517</v>
      </c>
      <c r="S131" s="59">
        <v>0.1</v>
      </c>
      <c r="T131" s="58" t="s">
        <v>518</v>
      </c>
      <c r="U131" s="66">
        <v>1094688634</v>
      </c>
      <c r="V131" s="66"/>
      <c r="W131" s="66"/>
      <c r="X131" s="67">
        <f t="shared" si="5"/>
        <v>1094688634</v>
      </c>
      <c r="Y131" s="66">
        <v>463413180.33333331</v>
      </c>
      <c r="Z131" s="66"/>
      <c r="AA131" s="66"/>
      <c r="AB131" s="67">
        <f t="shared" si="6"/>
        <v>463413180.33333331</v>
      </c>
      <c r="AC131" s="66">
        <v>504429035.33333331</v>
      </c>
      <c r="AD131" s="66"/>
      <c r="AE131" s="66"/>
      <c r="AF131" s="67">
        <f t="shared" si="7"/>
        <v>504429035.33333331</v>
      </c>
      <c r="AG131" s="66">
        <v>177847264</v>
      </c>
      <c r="AH131" s="66"/>
      <c r="AI131" s="66"/>
      <c r="AJ131" s="65">
        <f t="shared" si="8"/>
        <v>177847264</v>
      </c>
      <c r="AK131" s="65">
        <f>IF(SUM(AB131,AF131,X131,AJ131)=0,"",SUM((AB131,AF131,X131,AJ131)))</f>
        <v>2240378113.6666665</v>
      </c>
      <c r="AL131" s="20"/>
      <c r="AM131" s="20"/>
      <c r="AN131" s="20"/>
      <c r="AO131" s="20"/>
      <c r="AP131" s="20"/>
      <c r="AQ131" s="20"/>
      <c r="AR131" s="20"/>
      <c r="AS131" s="20"/>
      <c r="AT131" s="20"/>
      <c r="AU131" s="20"/>
      <c r="AV131" s="20"/>
      <c r="AW131" s="20"/>
      <c r="CG131" s="17"/>
    </row>
    <row r="132" spans="1:85" s="62" customFormat="1" ht="99.95" customHeight="1">
      <c r="A132" s="92">
        <f t="shared" si="9"/>
        <v>121</v>
      </c>
      <c r="B132" s="58" t="s">
        <v>511</v>
      </c>
      <c r="C132" s="199" t="str">
        <f>IFERROR(VLOOKUP(FORMULACIÓN!B132,Lists!$A$2:$B$6,2,FALSE),"")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2" s="58" t="s">
        <v>512</v>
      </c>
      <c r="E132" s="58" t="s">
        <v>513</v>
      </c>
      <c r="F132" s="58" t="s">
        <v>526</v>
      </c>
      <c r="G132" s="58" t="s">
        <v>527</v>
      </c>
      <c r="H132" s="58" t="s">
        <v>528</v>
      </c>
      <c r="I132" s="58" t="s">
        <v>168</v>
      </c>
      <c r="J132" s="63" t="s">
        <v>161</v>
      </c>
      <c r="K132" s="58">
        <v>0</v>
      </c>
      <c r="L132" s="58">
        <v>50</v>
      </c>
      <c r="M132" s="58">
        <v>50</v>
      </c>
      <c r="N132" s="58">
        <v>70</v>
      </c>
      <c r="O132" s="58">
        <v>30</v>
      </c>
      <c r="P132" s="63">
        <f ca="1">IFERROR(IF($J132=Lists!$S$2,SUM(FORMULACIÓN!K132:O132),IF(FORMULACIÓN!$J132=Lists!$S$3,SUM(FORMULACIÓN!L132:O132),IF(FORMULACIÓN!$J132=Lists!$S$4,AVERAGE(FORMULACIÓN!L132:O132),IF(FORMULACIÓN!$J132=Lists!$S$5,OFFSET(K132,0,COUNTA(L132:O132)),IF(FORMULACIÓN!$J132=Lists!$S$6,AVERAGE(FORMULACIÓN!L132:O132),""))))),"")</f>
        <v>200</v>
      </c>
      <c r="Q132" s="51" t="str">
        <f ca="1">IF($I132=Lists!$R$3,TEXT(FORMULACIÓN!P132,"00,00%"),IF(FORMULACIÓN!P132=0,0,TEXT(FORMULACIÓN!P132,"##.###")))</f>
        <v>200</v>
      </c>
      <c r="R132" s="63" t="s">
        <v>529</v>
      </c>
      <c r="S132" s="59">
        <v>0.2</v>
      </c>
      <c r="T132" s="58" t="s">
        <v>518</v>
      </c>
      <c r="U132" s="66">
        <v>2644022893</v>
      </c>
      <c r="V132" s="66"/>
      <c r="W132" s="66"/>
      <c r="X132" s="67">
        <f t="shared" si="5"/>
        <v>2644022893</v>
      </c>
      <c r="Y132" s="66">
        <v>2862257879</v>
      </c>
      <c r="Z132" s="66"/>
      <c r="AA132" s="66"/>
      <c r="AB132" s="67">
        <f t="shared" si="6"/>
        <v>2862257879</v>
      </c>
      <c r="AC132" s="66">
        <v>3115591100</v>
      </c>
      <c r="AD132" s="66"/>
      <c r="AE132" s="66"/>
      <c r="AF132" s="67">
        <f t="shared" si="7"/>
        <v>3115591100</v>
      </c>
      <c r="AG132" s="66">
        <v>1098468396</v>
      </c>
      <c r="AH132" s="66"/>
      <c r="AI132" s="66"/>
      <c r="AJ132" s="65">
        <f t="shared" si="8"/>
        <v>1098468396</v>
      </c>
      <c r="AK132" s="65">
        <f>IF(SUM(AB132,AF132,X132,AJ132)=0,"",SUM((AB132,AF132,X132,AJ132)))</f>
        <v>9720340268</v>
      </c>
      <c r="AL132" s="20"/>
      <c r="AM132" s="20"/>
      <c r="AN132" s="20"/>
      <c r="AO132" s="20"/>
      <c r="AP132" s="20"/>
      <c r="AQ132" s="20"/>
      <c r="AR132" s="20"/>
      <c r="AS132" s="20"/>
      <c r="AT132" s="20"/>
      <c r="AU132" s="20"/>
      <c r="AV132" s="20"/>
      <c r="AW132" s="20"/>
      <c r="CG132" s="17"/>
    </row>
    <row r="133" spans="1:85" s="62" customFormat="1" ht="99.95" customHeight="1">
      <c r="A133" s="92">
        <f t="shared" si="9"/>
        <v>122</v>
      </c>
      <c r="B133" s="58" t="s">
        <v>511</v>
      </c>
      <c r="C133" s="199" t="str">
        <f>IFERROR(VLOOKUP(FORMULACIÓN!B133,Lists!$A$2:$B$6,2,FALSE),"")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3" s="58" t="s">
        <v>530</v>
      </c>
      <c r="E133" s="58" t="s">
        <v>531</v>
      </c>
      <c r="F133" s="58" t="s">
        <v>532</v>
      </c>
      <c r="G133" s="58" t="s">
        <v>533</v>
      </c>
      <c r="H133" s="58" t="s">
        <v>534</v>
      </c>
      <c r="I133" s="58" t="s">
        <v>160</v>
      </c>
      <c r="J133" s="63" t="s">
        <v>161</v>
      </c>
      <c r="K133" s="59">
        <v>0</v>
      </c>
      <c r="L133" s="196">
        <v>0.01</v>
      </c>
      <c r="M133" s="59">
        <v>0.02</v>
      </c>
      <c r="N133" s="59">
        <v>0.02</v>
      </c>
      <c r="O133" s="59">
        <v>0.01</v>
      </c>
      <c r="P133" s="63">
        <f ca="1">IFERROR(IF($J133=Lists!$S$2,SUM(FORMULACIÓN!K133:O133),IF(FORMULACIÓN!$J133=Lists!$S$3,SUM(FORMULACIÓN!L133:O133),IF(FORMULACIÓN!$J133=Lists!$S$4,AVERAGE(FORMULACIÓN!L133:O133),IF(FORMULACIÓN!$J133=Lists!$S$5,OFFSET(K133,0,COUNTA(L133:O133)),IF(FORMULACIÓN!$J133=Lists!$S$6,AVERAGE(FORMULACIÓN!L133:O133),""))))),"")</f>
        <v>6.0000000000000005E-2</v>
      </c>
      <c r="Q133" s="51" t="str">
        <f ca="1">IF($I133=Lists!$R$3,TEXT(FORMULACIÓN!P133,"00,00%"),IF(FORMULACIÓN!P133=0,0,TEXT(FORMULACIÓN!P133,"##.###")))</f>
        <v>06,00%</v>
      </c>
      <c r="R133" s="63" t="s">
        <v>535</v>
      </c>
      <c r="S133" s="59">
        <v>0.04</v>
      </c>
      <c r="T133" s="58" t="s">
        <v>518</v>
      </c>
      <c r="U133" s="66">
        <v>482787822.80000001</v>
      </c>
      <c r="V133" s="66"/>
      <c r="W133" s="66"/>
      <c r="X133" s="67">
        <f t="shared" si="5"/>
        <v>482787822.80000001</v>
      </c>
      <c r="Y133" s="66">
        <v>522636643.39999998</v>
      </c>
      <c r="Z133" s="66"/>
      <c r="AA133" s="66"/>
      <c r="AB133" s="67">
        <f t="shared" si="6"/>
        <v>522636643.39999998</v>
      </c>
      <c r="AC133" s="66">
        <v>568894258.79999995</v>
      </c>
      <c r="AD133" s="66"/>
      <c r="AE133" s="66"/>
      <c r="AF133" s="67">
        <f t="shared" si="7"/>
        <v>568894258.79999995</v>
      </c>
      <c r="AG133" s="66">
        <v>200575859.80000001</v>
      </c>
      <c r="AH133" s="66"/>
      <c r="AI133" s="66"/>
      <c r="AJ133" s="65">
        <f t="shared" si="8"/>
        <v>200575859.80000001</v>
      </c>
      <c r="AK133" s="65">
        <f>IF(SUM(AB133,AF133,X133,AJ133)=0,"",SUM((AB133,AF133,X133,AJ133)))</f>
        <v>1774894584.7999997</v>
      </c>
      <c r="AL133" s="20"/>
      <c r="AM133" s="20"/>
      <c r="AN133" s="20"/>
      <c r="AO133" s="20"/>
      <c r="AP133" s="20"/>
      <c r="AQ133" s="20"/>
      <c r="AR133" s="20"/>
      <c r="AS133" s="20"/>
      <c r="AT133" s="20"/>
      <c r="AU133" s="20"/>
      <c r="AV133" s="20"/>
      <c r="AW133" s="20"/>
      <c r="CG133" s="17"/>
    </row>
    <row r="134" spans="1:85" s="62" customFormat="1" ht="99.95" customHeight="1">
      <c r="A134" s="92">
        <f t="shared" si="9"/>
        <v>123</v>
      </c>
      <c r="B134" s="58" t="s">
        <v>511</v>
      </c>
      <c r="C134" s="199" t="str">
        <f>IFERROR(VLOOKUP(FORMULACIÓN!B134,Lists!$A$2:$B$6,2,FALSE),"")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4" s="58" t="s">
        <v>530</v>
      </c>
      <c r="E134" s="58" t="s">
        <v>531</v>
      </c>
      <c r="F134" s="58" t="s">
        <v>532</v>
      </c>
      <c r="G134" s="58" t="s">
        <v>536</v>
      </c>
      <c r="H134" s="58" t="s">
        <v>537</v>
      </c>
      <c r="I134" s="58" t="s">
        <v>168</v>
      </c>
      <c r="J134" s="63" t="s">
        <v>161</v>
      </c>
      <c r="K134" s="58">
        <v>3</v>
      </c>
      <c r="L134" s="58">
        <v>1</v>
      </c>
      <c r="M134" s="58">
        <v>1</v>
      </c>
      <c r="N134" s="58">
        <v>2</v>
      </c>
      <c r="O134" s="58">
        <v>0</v>
      </c>
      <c r="P134" s="63">
        <f ca="1">IFERROR(IF($J134=Lists!$S$2,SUM(FORMULACIÓN!K134:O134),IF(FORMULACIÓN!$J134=Lists!$S$3,SUM(FORMULACIÓN!L134:O134),IF(FORMULACIÓN!$J134=Lists!$S$4,AVERAGE(FORMULACIÓN!L134:O134),IF(FORMULACIÓN!$J134=Lists!$S$5,OFFSET(K134,0,COUNTA(L134:O134)),IF(FORMULACIÓN!$J134=Lists!$S$6,AVERAGE(FORMULACIÓN!L134:O134),""))))),"")</f>
        <v>7</v>
      </c>
      <c r="Q134" s="51" t="str">
        <f ca="1">IF($I134=Lists!$R$3,TEXT(FORMULACIÓN!P134,"00,00%"),IF(FORMULACIÓN!P134=0,0,TEXT(FORMULACIÓN!P134,"##.###")))</f>
        <v>7</v>
      </c>
      <c r="R134" s="63" t="s">
        <v>535</v>
      </c>
      <c r="S134" s="59">
        <v>0.04</v>
      </c>
      <c r="T134" s="58" t="s">
        <v>518</v>
      </c>
      <c r="U134" s="66">
        <v>482787822.80000001</v>
      </c>
      <c r="V134" s="66"/>
      <c r="W134" s="66"/>
      <c r="X134" s="67">
        <f t="shared" si="5"/>
        <v>482787822.80000001</v>
      </c>
      <c r="Y134" s="66">
        <v>522636643.39999998</v>
      </c>
      <c r="Z134" s="66"/>
      <c r="AA134" s="66"/>
      <c r="AB134" s="67">
        <f t="shared" si="6"/>
        <v>522636643.39999998</v>
      </c>
      <c r="AC134" s="66">
        <v>568894258.79999995</v>
      </c>
      <c r="AD134" s="66"/>
      <c r="AE134" s="66"/>
      <c r="AF134" s="67">
        <f t="shared" si="7"/>
        <v>568894258.79999995</v>
      </c>
      <c r="AG134" s="66">
        <v>200575859.80000001</v>
      </c>
      <c r="AH134" s="66"/>
      <c r="AI134" s="66"/>
      <c r="AJ134" s="65">
        <f t="shared" si="8"/>
        <v>200575859.80000001</v>
      </c>
      <c r="AK134" s="65">
        <f>IF(SUM(AB134,AF134,X134,AJ134)=0,"",SUM((AB134,AF134,X134,AJ134)))</f>
        <v>1774894584.7999997</v>
      </c>
      <c r="AL134" s="20"/>
      <c r="AM134" s="20"/>
      <c r="AN134" s="20"/>
      <c r="AO134" s="20"/>
      <c r="AP134" s="20"/>
      <c r="AQ134" s="20"/>
      <c r="AR134" s="20"/>
      <c r="AS134" s="20"/>
      <c r="AT134" s="20"/>
      <c r="AU134" s="20"/>
      <c r="AV134" s="20"/>
      <c r="AW134" s="20"/>
      <c r="CG134" s="17"/>
    </row>
    <row r="135" spans="1:85" s="62" customFormat="1" ht="99.95" customHeight="1">
      <c r="A135" s="92">
        <f t="shared" si="9"/>
        <v>124</v>
      </c>
      <c r="B135" s="58" t="s">
        <v>511</v>
      </c>
      <c r="C135" s="199" t="str">
        <f>IFERROR(VLOOKUP(FORMULACIÓN!B135,Lists!$A$2:$B$6,2,FALSE),"")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5" s="58" t="s">
        <v>530</v>
      </c>
      <c r="E135" s="58" t="s">
        <v>531</v>
      </c>
      <c r="F135" s="58" t="s">
        <v>532</v>
      </c>
      <c r="G135" s="58" t="s">
        <v>538</v>
      </c>
      <c r="H135" s="58" t="s">
        <v>539</v>
      </c>
      <c r="I135" s="58" t="s">
        <v>168</v>
      </c>
      <c r="J135" s="63" t="s">
        <v>169</v>
      </c>
      <c r="K135" s="58">
        <v>0</v>
      </c>
      <c r="L135" s="58">
        <v>1</v>
      </c>
      <c r="M135" s="58">
        <v>0</v>
      </c>
      <c r="N135" s="58">
        <v>0</v>
      </c>
      <c r="O135" s="58">
        <v>0</v>
      </c>
      <c r="P135" s="63">
        <f ca="1">IFERROR(IF($J135=Lists!$S$2,SUM(FORMULACIÓN!K135:O135),IF(FORMULACIÓN!$J135=Lists!$S$3,SUM(FORMULACIÓN!L135:O135),IF(FORMULACIÓN!$J135=Lists!$S$4,AVERAGE(FORMULACIÓN!L135:O135),IF(FORMULACIÓN!$J135=Lists!$S$5,OFFSET(K135,0,COUNTA(L135:O135)),IF(FORMULACIÓN!$J135=Lists!$S$6,AVERAGE(FORMULACIÓN!L135:O135),""))))),"")</f>
        <v>1</v>
      </c>
      <c r="Q135" s="51" t="str">
        <f ca="1">IF($I135=Lists!$R$3,TEXT(FORMULACIÓN!P135,"00,00%"),IF(FORMULACIÓN!P135=0,0,TEXT(FORMULACIÓN!P135,"##.###")))</f>
        <v>1</v>
      </c>
      <c r="R135" s="63" t="s">
        <v>535</v>
      </c>
      <c r="S135" s="59">
        <v>0.04</v>
      </c>
      <c r="T135" s="58" t="s">
        <v>518</v>
      </c>
      <c r="U135" s="66">
        <v>482787822.80000001</v>
      </c>
      <c r="V135" s="66"/>
      <c r="W135" s="66"/>
      <c r="X135" s="67">
        <f t="shared" si="5"/>
        <v>482787822.80000001</v>
      </c>
      <c r="Y135" s="66">
        <v>522636643.39999998</v>
      </c>
      <c r="Z135" s="66"/>
      <c r="AA135" s="66"/>
      <c r="AB135" s="67">
        <f t="shared" si="6"/>
        <v>522636643.39999998</v>
      </c>
      <c r="AC135" s="66">
        <v>568894258.79999995</v>
      </c>
      <c r="AD135" s="66"/>
      <c r="AE135" s="66"/>
      <c r="AF135" s="67">
        <f t="shared" si="7"/>
        <v>568894258.79999995</v>
      </c>
      <c r="AG135" s="66">
        <v>200575859.80000001</v>
      </c>
      <c r="AH135" s="66"/>
      <c r="AI135" s="66"/>
      <c r="AJ135" s="65">
        <f t="shared" si="8"/>
        <v>200575859.80000001</v>
      </c>
      <c r="AK135" s="65">
        <f>IF(SUM(AB135,AF135,X135,AJ135)=0,"",SUM((AB135,AF135,X135,AJ135)))</f>
        <v>1774894584.7999997</v>
      </c>
      <c r="AL135" s="20"/>
      <c r="AM135" s="20"/>
      <c r="AN135" s="20"/>
      <c r="AO135" s="20"/>
      <c r="AP135" s="20"/>
      <c r="AQ135" s="20"/>
      <c r="AR135" s="20"/>
      <c r="AS135" s="20"/>
      <c r="AT135" s="20"/>
      <c r="AU135" s="20"/>
      <c r="AV135" s="20"/>
      <c r="AW135" s="20"/>
      <c r="CG135" s="17"/>
    </row>
    <row r="136" spans="1:85" s="62" customFormat="1" ht="99.95" customHeight="1">
      <c r="A136" s="92">
        <f t="shared" si="9"/>
        <v>125</v>
      </c>
      <c r="B136" s="58" t="s">
        <v>511</v>
      </c>
      <c r="C136" s="199" t="str">
        <f>IFERROR(VLOOKUP(FORMULACIÓN!B136,Lists!$A$2:$B$6,2,FALSE),"")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6" s="58" t="s">
        <v>540</v>
      </c>
      <c r="E136" s="58" t="s">
        <v>531</v>
      </c>
      <c r="F136" s="58" t="s">
        <v>541</v>
      </c>
      <c r="G136" s="58" t="s">
        <v>542</v>
      </c>
      <c r="H136" s="58" t="s">
        <v>543</v>
      </c>
      <c r="I136" s="58" t="s">
        <v>168</v>
      </c>
      <c r="J136" s="63" t="s">
        <v>161</v>
      </c>
      <c r="K136" s="58">
        <v>0</v>
      </c>
      <c r="L136" s="58">
        <v>2</v>
      </c>
      <c r="M136" s="58">
        <v>3</v>
      </c>
      <c r="N136" s="58">
        <v>3</v>
      </c>
      <c r="O136" s="58">
        <v>1</v>
      </c>
      <c r="P136" s="63">
        <f ca="1">IFERROR(IF($J136=Lists!$S$2,SUM(FORMULACIÓN!K136:O136),IF(FORMULACIÓN!$J136=Lists!$S$3,SUM(FORMULACIÓN!L136:O136),IF(FORMULACIÓN!$J136=Lists!$S$4,AVERAGE(FORMULACIÓN!L136:O136),IF(FORMULACIÓN!$J136=Lists!$S$5,OFFSET(K136,0,COUNTA(L136:O136)),IF(FORMULACIÓN!$J136=Lists!$S$6,AVERAGE(FORMULACIÓN!L136:O136),""))))),"")</f>
        <v>9</v>
      </c>
      <c r="Q136" s="51" t="str">
        <f ca="1">IF($I136=Lists!$R$3,TEXT(FORMULACIÓN!P136,"00,00%"),IF(FORMULACIÓN!P136=0,0,TEXT(FORMULACIÓN!P136,"##.###")))</f>
        <v>9</v>
      </c>
      <c r="R136" s="63" t="s">
        <v>535</v>
      </c>
      <c r="S136" s="59">
        <v>0.04</v>
      </c>
      <c r="T136" s="58" t="s">
        <v>518</v>
      </c>
      <c r="U136" s="66">
        <v>482787822.80000001</v>
      </c>
      <c r="V136" s="66"/>
      <c r="W136" s="66"/>
      <c r="X136" s="67">
        <f t="shared" si="5"/>
        <v>482787822.80000001</v>
      </c>
      <c r="Y136" s="66">
        <v>522636643.39999998</v>
      </c>
      <c r="Z136" s="66"/>
      <c r="AA136" s="66"/>
      <c r="AB136" s="67">
        <f t="shared" si="6"/>
        <v>522636643.39999998</v>
      </c>
      <c r="AC136" s="66">
        <v>568894258.79999995</v>
      </c>
      <c r="AD136" s="66"/>
      <c r="AE136" s="66"/>
      <c r="AF136" s="67">
        <f t="shared" si="7"/>
        <v>568894258.79999995</v>
      </c>
      <c r="AG136" s="66">
        <v>200575859.80000001</v>
      </c>
      <c r="AH136" s="66"/>
      <c r="AI136" s="66"/>
      <c r="AJ136" s="65">
        <f t="shared" si="8"/>
        <v>200575859.80000001</v>
      </c>
      <c r="AK136" s="65">
        <f>IF(SUM(AB136,AF136,X136,AJ136)=0,"",SUM((AB136,AF136,X136,AJ136)))</f>
        <v>1774894584.7999997</v>
      </c>
      <c r="AL136" s="20"/>
      <c r="AM136" s="20"/>
      <c r="AN136" s="20"/>
      <c r="AO136" s="20"/>
      <c r="AP136" s="20"/>
      <c r="AQ136" s="20"/>
      <c r="AR136" s="20"/>
      <c r="AS136" s="20"/>
      <c r="AT136" s="20"/>
      <c r="AU136" s="20"/>
      <c r="AV136" s="20"/>
      <c r="AW136" s="20"/>
      <c r="CG136" s="17"/>
    </row>
    <row r="137" spans="1:85" s="62" customFormat="1" ht="99.95" customHeight="1">
      <c r="A137" s="92">
        <f t="shared" si="9"/>
        <v>126</v>
      </c>
      <c r="B137" s="58" t="s">
        <v>511</v>
      </c>
      <c r="C137" s="199" t="str">
        <f>IFERROR(VLOOKUP(FORMULACIÓN!B137,Lists!$A$2:$B$6,2,FALSE),"")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7" s="58" t="s">
        <v>540</v>
      </c>
      <c r="E137" s="58" t="s">
        <v>531</v>
      </c>
      <c r="F137" s="58" t="s">
        <v>544</v>
      </c>
      <c r="G137" s="58" t="s">
        <v>545</v>
      </c>
      <c r="H137" s="58" t="s">
        <v>546</v>
      </c>
      <c r="I137" s="58" t="s">
        <v>160</v>
      </c>
      <c r="J137" s="63" t="s">
        <v>161</v>
      </c>
      <c r="K137" s="59">
        <v>0</v>
      </c>
      <c r="L137" s="196">
        <v>0.6</v>
      </c>
      <c r="M137" s="59">
        <v>0.2</v>
      </c>
      <c r="N137" s="59">
        <v>0.2</v>
      </c>
      <c r="O137" s="59">
        <v>0</v>
      </c>
      <c r="P137" s="63">
        <f ca="1">IFERROR(IF($J137=Lists!$S$2,SUM(FORMULACIÓN!K137:O137),IF(FORMULACIÓN!$J137=Lists!$S$3,SUM(FORMULACIÓN!L137:O137),IF(FORMULACIÓN!$J137=Lists!$S$4,AVERAGE(FORMULACIÓN!L137:O137),IF(FORMULACIÓN!$J137=Lists!$S$5,OFFSET(K137,0,COUNTA(L137:O137)),IF(FORMULACIÓN!$J137=Lists!$S$6,AVERAGE(FORMULACIÓN!L137:O137),""))))),"")</f>
        <v>1</v>
      </c>
      <c r="Q137" s="51" t="str">
        <f ca="1">IF($I137=Lists!$R$3,TEXT(FORMULACIÓN!P137,"00,00%"),IF(FORMULACIÓN!P137=0,0,TEXT(FORMULACIÓN!P137,"##.###")))</f>
        <v>100,00%</v>
      </c>
      <c r="R137" s="63" t="s">
        <v>535</v>
      </c>
      <c r="S137" s="59">
        <v>0.04</v>
      </c>
      <c r="T137" s="58" t="s">
        <v>518</v>
      </c>
      <c r="U137" s="66">
        <v>482787822.80000001</v>
      </c>
      <c r="V137" s="66"/>
      <c r="W137" s="66"/>
      <c r="X137" s="67">
        <f t="shared" si="5"/>
        <v>482787822.80000001</v>
      </c>
      <c r="Y137" s="66">
        <v>522636643.39999998</v>
      </c>
      <c r="Z137" s="66"/>
      <c r="AA137" s="66"/>
      <c r="AB137" s="67">
        <f t="shared" si="6"/>
        <v>522636643.39999998</v>
      </c>
      <c r="AC137" s="66">
        <v>568894258.79999995</v>
      </c>
      <c r="AD137" s="66"/>
      <c r="AE137" s="66"/>
      <c r="AF137" s="67">
        <f t="shared" si="7"/>
        <v>568894258.79999995</v>
      </c>
      <c r="AG137" s="66">
        <v>200575859.80000001</v>
      </c>
      <c r="AH137" s="66"/>
      <c r="AI137" s="66"/>
      <c r="AJ137" s="65">
        <f t="shared" si="8"/>
        <v>200575859.80000001</v>
      </c>
      <c r="AK137" s="65">
        <f>IF(SUM(AB137,AF137,X137,AJ137)=0,"",SUM((AB137,AF137,X137,AJ137)))</f>
        <v>1774894584.7999997</v>
      </c>
      <c r="AL137" s="20"/>
      <c r="AM137" s="20"/>
      <c r="AN137" s="20"/>
      <c r="AO137" s="20"/>
      <c r="AP137" s="20"/>
      <c r="AQ137" s="20"/>
      <c r="AR137" s="20"/>
      <c r="AS137" s="20"/>
      <c r="AT137" s="20"/>
      <c r="AU137" s="20"/>
      <c r="AV137" s="20"/>
      <c r="AW137" s="20"/>
      <c r="CG137" s="17"/>
    </row>
    <row r="138" spans="1:85" s="62" customFormat="1" ht="99.95" customHeight="1">
      <c r="A138" s="92">
        <f t="shared" si="9"/>
        <v>127</v>
      </c>
      <c r="B138" s="58" t="s">
        <v>511</v>
      </c>
      <c r="C138" s="199" t="str">
        <f>IFERROR(VLOOKUP(FORMULACIÓN!B138,Lists!$A$2:$B$6,2,FALSE),"")</f>
        <v xml:space="preserve">Fomentar el desarrollo del ser integral en las dimensiones ética, intelectual, cultural, deportivo, artística, física, psíquica, afectiva, social y ambiental, para lograr una comunidad universitaria con bienestar y sana convivencia, lo cual contribuye al mejoramiento de las condiciones de calidad de vida y salud mental, en un contexto pluralista, participativo e incluyente. </v>
      </c>
      <c r="D138" s="58" t="s">
        <v>547</v>
      </c>
      <c r="E138" s="58" t="s">
        <v>548</v>
      </c>
      <c r="F138" s="58" t="s">
        <v>549</v>
      </c>
      <c r="G138" s="58" t="s">
        <v>550</v>
      </c>
      <c r="H138" s="58" t="s">
        <v>551</v>
      </c>
      <c r="I138" s="58" t="s">
        <v>160</v>
      </c>
      <c r="J138" s="63" t="s">
        <v>161</v>
      </c>
      <c r="K138" s="59">
        <v>0</v>
      </c>
      <c r="L138" s="196">
        <v>0.1</v>
      </c>
      <c r="M138" s="59">
        <v>0.2</v>
      </c>
      <c r="N138" s="59">
        <v>0.2</v>
      </c>
      <c r="O138" s="59">
        <v>0</v>
      </c>
      <c r="P138" s="63">
        <f ca="1">IFERROR(IF($J138=Lists!$S$2,SUM(FORMULACIÓN!K138:O138),IF(FORMULACIÓN!$J138=Lists!$S$3,SUM(FORMULACIÓN!L138:O138),IF(FORMULACIÓN!$J138=Lists!$S$4,AVERAGE(FORMULACIÓN!L138:O138),IF(FORMULACIÓN!$J138=Lists!$S$5,OFFSET(K138,0,COUNTA(L138:O138)),IF(FORMULACIÓN!$J138=Lists!$S$6,AVERAGE(FORMULACIÓN!L138:O138),""))))),"")</f>
        <v>0.5</v>
      </c>
      <c r="Q138" s="51" t="str">
        <f ca="1">IF($I138=Lists!$R$3,TEXT(FORMULACIÓN!P138,"00,00%"),IF(FORMULACIÓN!P138=0,0,TEXT(FORMULACIÓN!P138,"##.###")))</f>
        <v>50,00%</v>
      </c>
      <c r="R138" s="63" t="s">
        <v>552</v>
      </c>
      <c r="S138" s="59">
        <v>0.3</v>
      </c>
      <c r="T138" s="58" t="s">
        <v>518</v>
      </c>
      <c r="U138" s="66">
        <v>8585196120</v>
      </c>
      <c r="V138" s="66"/>
      <c r="W138" s="66"/>
      <c r="X138" s="67">
        <f t="shared" si="5"/>
        <v>8585196120</v>
      </c>
      <c r="Y138" s="66">
        <v>9293809560</v>
      </c>
      <c r="Z138" s="66"/>
      <c r="AA138" s="66"/>
      <c r="AB138" s="67">
        <f t="shared" si="6"/>
        <v>9293809560</v>
      </c>
      <c r="AC138" s="66">
        <v>10116387681</v>
      </c>
      <c r="AD138" s="66"/>
      <c r="AE138" s="66"/>
      <c r="AF138" s="67">
        <f t="shared" si="7"/>
        <v>10116387681</v>
      </c>
      <c r="AG138" s="66">
        <v>3566749227</v>
      </c>
      <c r="AH138" s="66"/>
      <c r="AI138" s="66"/>
      <c r="AJ138" s="65">
        <f t="shared" si="8"/>
        <v>3566749227</v>
      </c>
      <c r="AK138" s="65">
        <f>IF(SUM(AB138,AF138,X138,AJ138)=0,"",SUM((AB138,AF138,X138,AJ138)))</f>
        <v>31562142588</v>
      </c>
      <c r="AL138" s="20"/>
      <c r="AM138" s="20"/>
      <c r="AN138" s="20"/>
      <c r="AO138" s="20"/>
      <c r="AP138" s="20"/>
      <c r="AQ138" s="20"/>
      <c r="AR138" s="20"/>
      <c r="AS138" s="20"/>
      <c r="AT138" s="20"/>
      <c r="AU138" s="20"/>
      <c r="AV138" s="20"/>
      <c r="AW138" s="20"/>
      <c r="CG138" s="17"/>
    </row>
    <row r="139" spans="1:85" s="62" customFormat="1" ht="99.95" customHeight="1">
      <c r="A139" s="92">
        <f t="shared" si="9"/>
        <v>128</v>
      </c>
      <c r="B139" s="58" t="s">
        <v>553</v>
      </c>
      <c r="C139" s="199" t="str">
        <f>IFERROR(VLOOKUP(FORMULACIÓN!B139,Lists!$A$2:$B$6,2,FALSE),"")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39" s="58" t="s">
        <v>554</v>
      </c>
      <c r="E139" s="58" t="s">
        <v>555</v>
      </c>
      <c r="F139" s="58" t="s">
        <v>556</v>
      </c>
      <c r="G139" s="58" t="s">
        <v>557</v>
      </c>
      <c r="H139" s="58" t="s">
        <v>558</v>
      </c>
      <c r="I139" s="58" t="s">
        <v>160</v>
      </c>
      <c r="J139" s="63" t="s">
        <v>161</v>
      </c>
      <c r="K139" s="59">
        <v>0.04</v>
      </c>
      <c r="L139" s="196">
        <v>0.04</v>
      </c>
      <c r="M139" s="59">
        <v>0.05</v>
      </c>
      <c r="N139" s="59">
        <v>0.06</v>
      </c>
      <c r="O139" s="59">
        <v>0.02</v>
      </c>
      <c r="P139" s="63">
        <f ca="1">IFERROR(IF($J139=Lists!$S$2,SUM(FORMULACIÓN!K139:O139),IF(FORMULACIÓN!$J139=Lists!$S$3,SUM(FORMULACIÓN!L139:O139),IF(FORMULACIÓN!$J139=Lists!$S$4,AVERAGE(FORMULACIÓN!L139:O139),IF(FORMULACIÓN!$J139=Lists!$S$5,OFFSET(K139,0,COUNTA(L139:O139)),IF(FORMULACIÓN!$J139=Lists!$S$6,AVERAGE(FORMULACIÓN!L139:O139),""))))),"")</f>
        <v>0.21</v>
      </c>
      <c r="Q139" s="51" t="str">
        <f ca="1">IF($I139=Lists!$R$3,TEXT(FORMULACIÓN!P139,"00,00%"),IF(FORMULACIÓN!P139=0,0,TEXT(FORMULACIÓN!P139,"##.###")))</f>
        <v>21,00%</v>
      </c>
      <c r="R139" s="63" t="s">
        <v>559</v>
      </c>
      <c r="S139" s="59">
        <v>0.05</v>
      </c>
      <c r="T139" s="58" t="s">
        <v>560</v>
      </c>
      <c r="U139" s="66">
        <v>103196077635.70107</v>
      </c>
      <c r="V139" s="66"/>
      <c r="W139" s="66"/>
      <c r="X139" s="67">
        <f t="shared" si="5"/>
        <v>103196077635.70107</v>
      </c>
      <c r="Y139" s="66">
        <v>109553777541.59734</v>
      </c>
      <c r="Z139" s="66"/>
      <c r="AA139" s="66"/>
      <c r="AB139" s="67">
        <f t="shared" si="6"/>
        <v>109553777541.59734</v>
      </c>
      <c r="AC139" s="64">
        <v>117903173528.25992</v>
      </c>
      <c r="AD139" s="66"/>
      <c r="AE139" s="66"/>
      <c r="AF139" s="67">
        <f t="shared" si="7"/>
        <v>117903173528.25992</v>
      </c>
      <c r="AG139" s="64">
        <v>41269391474.067482</v>
      </c>
      <c r="AH139" s="66"/>
      <c r="AI139" s="66"/>
      <c r="AJ139" s="65">
        <f t="shared" si="8"/>
        <v>41269391474.067482</v>
      </c>
      <c r="AK139" s="65">
        <f>IF(SUM(AB139,AF139,X139,AJ139)=0,"",SUM((AB139,AF139,X139,AJ139)))</f>
        <v>371922420179.62579</v>
      </c>
      <c r="AL139" s="20"/>
      <c r="AM139" s="20"/>
      <c r="AN139" s="20"/>
      <c r="AO139" s="20"/>
      <c r="AP139" s="20"/>
      <c r="AQ139" s="20"/>
      <c r="AR139" s="20"/>
      <c r="AS139" s="20"/>
      <c r="AT139" s="20"/>
      <c r="AU139" s="20"/>
      <c r="AV139" s="20"/>
      <c r="AW139" s="20"/>
      <c r="CG139" s="17"/>
    </row>
    <row r="140" spans="1:85" s="62" customFormat="1" ht="99.95" customHeight="1">
      <c r="A140" s="92">
        <f t="shared" si="9"/>
        <v>129</v>
      </c>
      <c r="B140" s="58" t="s">
        <v>553</v>
      </c>
      <c r="C140" s="199" t="str">
        <f>IFERROR(VLOOKUP(FORMULACIÓN!B140,Lists!$A$2:$B$6,2,FALSE),"")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0" s="58" t="s">
        <v>561</v>
      </c>
      <c r="E140" s="58" t="s">
        <v>555</v>
      </c>
      <c r="F140" s="58" t="s">
        <v>562</v>
      </c>
      <c r="G140" s="58" t="s">
        <v>563</v>
      </c>
      <c r="H140" s="58" t="s">
        <v>564</v>
      </c>
      <c r="I140" s="58" t="s">
        <v>168</v>
      </c>
      <c r="J140" s="63" t="s">
        <v>229</v>
      </c>
      <c r="K140" s="58">
        <v>0</v>
      </c>
      <c r="L140" s="58">
        <v>1</v>
      </c>
      <c r="M140" s="58">
        <v>1</v>
      </c>
      <c r="N140" s="58">
        <v>1</v>
      </c>
      <c r="O140" s="58">
        <v>1</v>
      </c>
      <c r="P140" s="63">
        <f ca="1">IFERROR(IF($J140=Lists!$S$2,SUM(FORMULACIÓN!K140:O140),IF(FORMULACIÓN!$J140=Lists!$S$3,SUM(FORMULACIÓN!L140:O140),IF(FORMULACIÓN!$J140=Lists!$S$4,AVERAGE(FORMULACIÓN!L140:O140),IF(FORMULACIÓN!$J140=Lists!$S$5,OFFSET(K140,0,COUNTA(L140:O140)),IF(FORMULACIÓN!$J140=Lists!$S$6,AVERAGE(FORMULACIÓN!L140:O140),""))))),"")</f>
        <v>1</v>
      </c>
      <c r="Q140" s="51" t="str">
        <f ca="1">IF($I140=Lists!$R$3,TEXT(FORMULACIÓN!P140,"00,00%"),IF(FORMULACIÓN!P140=0,0,TEXT(FORMULACIÓN!P140,"##.###")))</f>
        <v>1</v>
      </c>
      <c r="R140" s="63" t="s">
        <v>559</v>
      </c>
      <c r="S140" s="59">
        <v>0.05</v>
      </c>
      <c r="T140" s="58" t="s">
        <v>560</v>
      </c>
      <c r="U140" s="66">
        <v>217858386119.81335</v>
      </c>
      <c r="V140" s="66"/>
      <c r="W140" s="66"/>
      <c r="X140" s="67">
        <f t="shared" ref="X140:X203" si="10">IF(SUM(U140:W140)=0,"",SUM(U140:W140))</f>
        <v>217858386119.81335</v>
      </c>
      <c r="Y140" s="66">
        <v>231280197032.26102</v>
      </c>
      <c r="Z140" s="66"/>
      <c r="AA140" s="66"/>
      <c r="AB140" s="67">
        <f t="shared" ref="AB140:AB203" si="11">IF(SUM(Y140:AA140)=0,"",SUM(Y140:AA140))</f>
        <v>231280197032.26102</v>
      </c>
      <c r="AC140" s="66">
        <v>248906699670.77094</v>
      </c>
      <c r="AD140" s="66"/>
      <c r="AE140" s="66"/>
      <c r="AF140" s="67">
        <f t="shared" ref="AF140:AF203" si="12">IF(SUM(AC140:AE140)=0,"",SUM(AC140:AE140))</f>
        <v>248906699670.77094</v>
      </c>
      <c r="AG140" s="66">
        <v>87124270889.698013</v>
      </c>
      <c r="AH140" s="66"/>
      <c r="AI140" s="66"/>
      <c r="AJ140" s="65">
        <f t="shared" ref="AJ140:AJ203" si="13">IF(SUM(AG140:AI140)=0,"",SUM(AG140:AI140))</f>
        <v>87124270889.698013</v>
      </c>
      <c r="AK140" s="65">
        <f>IF(SUM(AB140,AF140,X140,AJ140)=0,"",SUM((AB140,AF140,X140,AJ140)))</f>
        <v>785169553712.54333</v>
      </c>
      <c r="AL140" s="20"/>
      <c r="AM140" s="20"/>
      <c r="AN140" s="20"/>
      <c r="AO140" s="20"/>
      <c r="AP140" s="20"/>
      <c r="AQ140" s="20"/>
      <c r="AR140" s="20"/>
      <c r="AS140" s="20"/>
      <c r="AT140" s="20"/>
      <c r="AU140" s="20"/>
      <c r="AV140" s="20"/>
      <c r="AW140" s="20"/>
      <c r="CG140" s="17"/>
    </row>
    <row r="141" spans="1:85" s="62" customFormat="1" ht="99.95" customHeight="1">
      <c r="A141" s="92">
        <f t="shared" si="9"/>
        <v>130</v>
      </c>
      <c r="B141" s="58" t="s">
        <v>553</v>
      </c>
      <c r="C141" s="199" t="str">
        <f>IFERROR(VLOOKUP(FORMULACIÓN!B141,Lists!$A$2:$B$6,2,FALSE),"")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1" s="58" t="s">
        <v>565</v>
      </c>
      <c r="E141" s="58" t="s">
        <v>555</v>
      </c>
      <c r="F141" s="58" t="s">
        <v>566</v>
      </c>
      <c r="G141" s="58" t="s">
        <v>567</v>
      </c>
      <c r="H141" s="58" t="s">
        <v>568</v>
      </c>
      <c r="I141" s="58" t="s">
        <v>160</v>
      </c>
      <c r="J141" s="63" t="s">
        <v>161</v>
      </c>
      <c r="K141" s="59">
        <v>0</v>
      </c>
      <c r="L141" s="196">
        <v>0.2</v>
      </c>
      <c r="M141" s="59">
        <v>0.2</v>
      </c>
      <c r="N141" s="59">
        <v>0.4</v>
      </c>
      <c r="O141" s="59">
        <v>0.2</v>
      </c>
      <c r="P141" s="63">
        <f ca="1">IFERROR(IF($J141=Lists!$S$2,SUM(FORMULACIÓN!K141:O141),IF(FORMULACIÓN!$J141=Lists!$S$3,SUM(FORMULACIÓN!L141:O141),IF(FORMULACIÓN!$J141=Lists!$S$4,AVERAGE(FORMULACIÓN!L141:O141),IF(FORMULACIÓN!$J141=Lists!$S$5,OFFSET(K141,0,COUNTA(L141:O141)),IF(FORMULACIÓN!$J141=Lists!$S$6,AVERAGE(FORMULACIÓN!L141:O141),""))))),"")</f>
        <v>1</v>
      </c>
      <c r="Q141" s="51" t="str">
        <f ca="1">IF($I141=Lists!$R$3,TEXT(FORMULACIÓN!P141,"00,00%"),IF(FORMULACIÓN!P141=0,0,TEXT(FORMULACIÓN!P141,"##.###")))</f>
        <v>100,00%</v>
      </c>
      <c r="R141" s="63" t="s">
        <v>569</v>
      </c>
      <c r="S141" s="59">
        <v>0.04</v>
      </c>
      <c r="T141" s="58" t="s">
        <v>570</v>
      </c>
      <c r="U141" s="66">
        <v>740003484.06698084</v>
      </c>
      <c r="V141" s="66"/>
      <c r="W141" s="66"/>
      <c r="X141" s="67">
        <f t="shared" si="10"/>
        <v>740003484.06698084</v>
      </c>
      <c r="Y141" s="66">
        <v>801082626.25827241</v>
      </c>
      <c r="Z141" s="66"/>
      <c r="AA141" s="66"/>
      <c r="AB141" s="67">
        <f t="shared" si="11"/>
        <v>801082626.25827241</v>
      </c>
      <c r="AC141" s="66">
        <v>871984987.37793064</v>
      </c>
      <c r="AD141" s="66"/>
      <c r="AE141" s="66"/>
      <c r="AF141" s="67">
        <f t="shared" si="12"/>
        <v>871984987.37793064</v>
      </c>
      <c r="AG141" s="66">
        <v>307436990.15056229</v>
      </c>
      <c r="AH141" s="66"/>
      <c r="AI141" s="66"/>
      <c r="AJ141" s="65">
        <f t="shared" si="13"/>
        <v>307436990.15056229</v>
      </c>
      <c r="AK141" s="65">
        <f>IF(SUM(AB141,AF141,X141,AJ141)=0,"",SUM((AB141,AF141,X141,AJ141)))</f>
        <v>2720508087.8537464</v>
      </c>
      <c r="AL141" s="20"/>
      <c r="AM141" s="20"/>
      <c r="AN141" s="20"/>
      <c r="AO141" s="20"/>
      <c r="AP141" s="20"/>
      <c r="AQ141" s="20"/>
      <c r="AR141" s="20"/>
      <c r="AS141" s="20"/>
      <c r="AT141" s="20"/>
      <c r="AU141" s="20"/>
      <c r="AV141" s="20"/>
      <c r="AW141" s="20"/>
      <c r="CG141" s="17"/>
    </row>
    <row r="142" spans="1:85" s="62" customFormat="1" ht="99.95" customHeight="1">
      <c r="A142" s="92">
        <f t="shared" ref="A142:A205" si="14">IF(B142&lt;&gt;"",A141+1,"")</f>
        <v>131</v>
      </c>
      <c r="B142" s="58" t="s">
        <v>553</v>
      </c>
      <c r="C142" s="199" t="str">
        <f>IFERROR(VLOOKUP(FORMULACIÓN!B142,Lists!$A$2:$B$6,2,FALSE),"")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2" s="58" t="s">
        <v>565</v>
      </c>
      <c r="E142" s="58" t="s">
        <v>555</v>
      </c>
      <c r="F142" s="58" t="s">
        <v>571</v>
      </c>
      <c r="G142" s="58" t="s">
        <v>572</v>
      </c>
      <c r="H142" s="58" t="s">
        <v>573</v>
      </c>
      <c r="I142" s="58" t="s">
        <v>160</v>
      </c>
      <c r="J142" s="63" t="s">
        <v>161</v>
      </c>
      <c r="K142" s="59">
        <v>0</v>
      </c>
      <c r="L142" s="196">
        <v>0.3</v>
      </c>
      <c r="M142" s="59">
        <v>0.3</v>
      </c>
      <c r="N142" s="59">
        <v>0.3</v>
      </c>
      <c r="O142" s="59">
        <v>0.1</v>
      </c>
      <c r="P142" s="63">
        <f ca="1">IFERROR(IF($J142=Lists!$S$2,SUM(FORMULACIÓN!K142:O142),IF(FORMULACIÓN!$J142=Lists!$S$3,SUM(FORMULACIÓN!L142:O142),IF(FORMULACIÓN!$J142=Lists!$S$4,AVERAGE(FORMULACIÓN!L142:O142),IF(FORMULACIÓN!$J142=Lists!$S$5,OFFSET(K142,0,COUNTA(L142:O142)),IF(FORMULACIÓN!$J142=Lists!$S$6,AVERAGE(FORMULACIÓN!L142:O142),""))))),"")</f>
        <v>0.99999999999999989</v>
      </c>
      <c r="Q142" s="51" t="str">
        <f ca="1">IF($I142=Lists!$R$3,TEXT(FORMULACIÓN!P142,"00,00%"),IF(FORMULACIÓN!P142=0,0,TEXT(FORMULACIÓN!P142,"##.###")))</f>
        <v>100,00%</v>
      </c>
      <c r="R142" s="63" t="s">
        <v>569</v>
      </c>
      <c r="S142" s="59">
        <v>0.04</v>
      </c>
      <c r="T142" s="58" t="s">
        <v>570</v>
      </c>
      <c r="U142" s="66">
        <v>493335656.04465395</v>
      </c>
      <c r="V142" s="66"/>
      <c r="W142" s="66"/>
      <c r="X142" s="67">
        <f t="shared" si="10"/>
        <v>493335656.04465395</v>
      </c>
      <c r="Y142" s="66">
        <v>534055084.17218173</v>
      </c>
      <c r="Z142" s="66"/>
      <c r="AA142" s="66"/>
      <c r="AB142" s="67">
        <f t="shared" si="11"/>
        <v>534055084.17218173</v>
      </c>
      <c r="AC142" s="66">
        <v>581323324.91862047</v>
      </c>
      <c r="AD142" s="66"/>
      <c r="AE142" s="66"/>
      <c r="AF142" s="67">
        <f t="shared" si="12"/>
        <v>581323324.91862047</v>
      </c>
      <c r="AG142" s="66">
        <v>204957993.43370822</v>
      </c>
      <c r="AH142" s="66"/>
      <c r="AI142" s="66"/>
      <c r="AJ142" s="65">
        <f t="shared" si="13"/>
        <v>204957993.43370822</v>
      </c>
      <c r="AK142" s="65">
        <f>IF(SUM(AB142,AF142,X142,AJ142)=0,"",SUM((AB142,AF142,X142,AJ142)))</f>
        <v>1813672058.5691643</v>
      </c>
      <c r="AL142" s="20"/>
      <c r="AM142" s="20"/>
      <c r="AN142" s="20"/>
      <c r="AO142" s="20"/>
      <c r="AP142" s="20"/>
      <c r="AQ142" s="20"/>
      <c r="AR142" s="20"/>
      <c r="AS142" s="20"/>
      <c r="AT142" s="20"/>
      <c r="AU142" s="20"/>
      <c r="AV142" s="20"/>
      <c r="AW142" s="20"/>
      <c r="CG142" s="17"/>
    </row>
    <row r="143" spans="1:85" s="62" customFormat="1" ht="99.95" customHeight="1">
      <c r="A143" s="92">
        <f t="shared" si="14"/>
        <v>132</v>
      </c>
      <c r="B143" s="58" t="s">
        <v>553</v>
      </c>
      <c r="C143" s="199" t="str">
        <f>IFERROR(VLOOKUP(FORMULACIÓN!B143,Lists!$A$2:$B$6,2,FALSE),"")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3" s="58" t="s">
        <v>565</v>
      </c>
      <c r="E143" s="58" t="s">
        <v>555</v>
      </c>
      <c r="F143" s="58" t="s">
        <v>571</v>
      </c>
      <c r="G143" s="58" t="s">
        <v>574</v>
      </c>
      <c r="H143" s="58" t="s">
        <v>575</v>
      </c>
      <c r="I143" s="58" t="s">
        <v>160</v>
      </c>
      <c r="J143" s="63" t="s">
        <v>161</v>
      </c>
      <c r="K143" s="59">
        <v>0</v>
      </c>
      <c r="L143" s="196">
        <v>0.2</v>
      </c>
      <c r="M143" s="59">
        <v>0.3</v>
      </c>
      <c r="N143" s="59">
        <v>0.3</v>
      </c>
      <c r="O143" s="59">
        <v>0.2</v>
      </c>
      <c r="P143" s="63">
        <f ca="1">IFERROR(IF($J143=Lists!$S$2,SUM(FORMULACIÓN!K143:O143),IF(FORMULACIÓN!$J143=Lists!$S$3,SUM(FORMULACIÓN!L143:O143),IF(FORMULACIÓN!$J143=Lists!$S$4,AVERAGE(FORMULACIÓN!L143:O143),IF(FORMULACIÓN!$J143=Lists!$S$5,OFFSET(K143,0,COUNTA(L143:O143)),IF(FORMULACIÓN!$J143=Lists!$S$6,AVERAGE(FORMULACIÓN!L143:O143),""))))),"")</f>
        <v>1</v>
      </c>
      <c r="Q143" s="51" t="str">
        <f ca="1">IF($I143=Lists!$R$3,TEXT(FORMULACIÓN!P143,"00,00%"),IF(FORMULACIÓN!P143=0,0,TEXT(FORMULACIÓN!P143,"##.###")))</f>
        <v>100,00%</v>
      </c>
      <c r="R143" s="63" t="s">
        <v>569</v>
      </c>
      <c r="S143" s="59">
        <v>0.04</v>
      </c>
      <c r="T143" s="58" t="s">
        <v>570</v>
      </c>
      <c r="U143" s="66">
        <v>766760121.50028455</v>
      </c>
      <c r="V143" s="66"/>
      <c r="W143" s="66"/>
      <c r="X143" s="67">
        <f t="shared" si="10"/>
        <v>766760121.50028455</v>
      </c>
      <c r="Y143" s="66">
        <v>830047729.59415245</v>
      </c>
      <c r="Z143" s="66"/>
      <c r="AA143" s="66"/>
      <c r="AB143" s="67">
        <f t="shared" si="11"/>
        <v>830047729.59415245</v>
      </c>
      <c r="AC143" s="66">
        <v>903513739.14316332</v>
      </c>
      <c r="AD143" s="66"/>
      <c r="AE143" s="66"/>
      <c r="AF143" s="67">
        <f t="shared" si="12"/>
        <v>903513739.14316332</v>
      </c>
      <c r="AG143" s="66">
        <v>318553127.10958797</v>
      </c>
      <c r="AH143" s="66"/>
      <c r="AI143" s="66"/>
      <c r="AJ143" s="65">
        <f t="shared" si="13"/>
        <v>318553127.10958797</v>
      </c>
      <c r="AK143" s="65">
        <f>IF(SUM(AB143,AF143,X143,AJ143)=0,"",SUM((AB143,AF143,X143,AJ143)))</f>
        <v>2818874717.3471885</v>
      </c>
      <c r="AL143" s="20"/>
      <c r="AM143" s="20"/>
      <c r="AN143" s="20"/>
      <c r="AO143" s="20"/>
      <c r="AP143" s="20"/>
      <c r="AQ143" s="20"/>
      <c r="AR143" s="20"/>
      <c r="AS143" s="20"/>
      <c r="AT143" s="20"/>
      <c r="AU143" s="20"/>
      <c r="AV143" s="20"/>
      <c r="AW143" s="20"/>
      <c r="CG143" s="17"/>
    </row>
    <row r="144" spans="1:85" s="62" customFormat="1" ht="99.95" customHeight="1">
      <c r="A144" s="92">
        <f t="shared" si="14"/>
        <v>133</v>
      </c>
      <c r="B144" s="58" t="s">
        <v>553</v>
      </c>
      <c r="C144" s="199" t="str">
        <f>IFERROR(VLOOKUP(FORMULACIÓN!B144,Lists!$A$2:$B$6,2,FALSE),"")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4" s="58" t="s">
        <v>576</v>
      </c>
      <c r="E144" s="58" t="s">
        <v>555</v>
      </c>
      <c r="F144" s="58" t="s">
        <v>577</v>
      </c>
      <c r="G144" s="58" t="s">
        <v>578</v>
      </c>
      <c r="H144" s="58" t="s">
        <v>579</v>
      </c>
      <c r="I144" s="58" t="s">
        <v>168</v>
      </c>
      <c r="J144" s="63" t="s">
        <v>161</v>
      </c>
      <c r="K144" s="58">
        <v>1</v>
      </c>
      <c r="L144" s="58">
        <v>0</v>
      </c>
      <c r="M144" s="58">
        <v>0</v>
      </c>
      <c r="N144" s="58">
        <v>1</v>
      </c>
      <c r="O144" s="58">
        <v>1</v>
      </c>
      <c r="P144" s="63">
        <f ca="1">IFERROR(IF($J144=Lists!$S$2,SUM(FORMULACIÓN!K144:O144),IF(FORMULACIÓN!$J144=Lists!$S$3,SUM(FORMULACIÓN!L144:O144),IF(FORMULACIÓN!$J144=Lists!$S$4,AVERAGE(FORMULACIÓN!L144:O144),IF(FORMULACIÓN!$J144=Lists!$S$5,OFFSET(K144,0,COUNTA(L144:O144)),IF(FORMULACIÓN!$J144=Lists!$S$6,AVERAGE(FORMULACIÓN!L144:O144),""))))),"")</f>
        <v>3</v>
      </c>
      <c r="Q144" s="51" t="str">
        <f ca="1">IF($I144=Lists!$R$3,TEXT(FORMULACIÓN!P144,"00,00%"),IF(FORMULACIÓN!P144=0,0,TEXT(FORMULACIÓN!P144,"##.###")))</f>
        <v>3</v>
      </c>
      <c r="R144" s="63" t="s">
        <v>580</v>
      </c>
      <c r="S144" s="59">
        <v>0.04</v>
      </c>
      <c r="T144" s="58" t="s">
        <v>581</v>
      </c>
      <c r="U144" s="66">
        <v>833374692.33829975</v>
      </c>
      <c r="V144" s="66"/>
      <c r="W144" s="66"/>
      <c r="X144" s="67">
        <f t="shared" si="10"/>
        <v>833374692.33829975</v>
      </c>
      <c r="Y144" s="66">
        <v>902160600.01025283</v>
      </c>
      <c r="Z144" s="66"/>
      <c r="AA144" s="66"/>
      <c r="AB144" s="67">
        <f t="shared" si="11"/>
        <v>902160600.01025283</v>
      </c>
      <c r="AC144" s="66">
        <v>982009188.09988105</v>
      </c>
      <c r="AD144" s="66"/>
      <c r="AE144" s="66"/>
      <c r="AF144" s="67">
        <f t="shared" si="12"/>
        <v>982009188.09988105</v>
      </c>
      <c r="AG144" s="66">
        <v>346228379.45577437</v>
      </c>
      <c r="AH144" s="66"/>
      <c r="AI144" s="66"/>
      <c r="AJ144" s="65">
        <f t="shared" si="13"/>
        <v>346228379.45577437</v>
      </c>
      <c r="AK144" s="65">
        <f>IF(SUM(AB144,AF144,X144,AJ144)=0,"",SUM((AB144,AF144,X144,AJ144)))</f>
        <v>3063772859.9042082</v>
      </c>
      <c r="AL144" s="20"/>
      <c r="AM144" s="20"/>
      <c r="AN144" s="20"/>
      <c r="AO144" s="20"/>
      <c r="AP144" s="20"/>
      <c r="AQ144" s="20"/>
      <c r="AR144" s="20"/>
      <c r="AS144" s="20"/>
      <c r="AT144" s="20"/>
      <c r="AU144" s="20"/>
      <c r="AV144" s="20"/>
      <c r="AW144" s="20"/>
      <c r="CG144" s="17"/>
    </row>
    <row r="145" spans="1:85" s="62" customFormat="1" ht="99.95" customHeight="1">
      <c r="A145" s="92">
        <f t="shared" si="14"/>
        <v>134</v>
      </c>
      <c r="B145" s="58" t="s">
        <v>553</v>
      </c>
      <c r="C145" s="199" t="str">
        <f>IFERROR(VLOOKUP(FORMULACIÓN!B145,Lists!$A$2:$B$6,2,FALSE),"")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5" s="58" t="s">
        <v>576</v>
      </c>
      <c r="E145" s="58" t="s">
        <v>555</v>
      </c>
      <c r="F145" s="58" t="s">
        <v>577</v>
      </c>
      <c r="G145" s="58" t="s">
        <v>582</v>
      </c>
      <c r="H145" s="58" t="s">
        <v>583</v>
      </c>
      <c r="I145" s="58" t="s">
        <v>160</v>
      </c>
      <c r="J145" s="63" t="s">
        <v>161</v>
      </c>
      <c r="K145" s="59">
        <v>0</v>
      </c>
      <c r="L145" s="196">
        <v>0.14099999999999999</v>
      </c>
      <c r="M145" s="59">
        <v>0.28499999999999998</v>
      </c>
      <c r="N145" s="59">
        <v>0.28499999999999998</v>
      </c>
      <c r="O145" s="59">
        <v>0.28899999999999998</v>
      </c>
      <c r="P145" s="63">
        <f ca="1">IFERROR(IF($J145=Lists!$S$2,SUM(FORMULACIÓN!K145:O145),IF(FORMULACIÓN!$J145=Lists!$S$3,SUM(FORMULACIÓN!L145:O145),IF(FORMULACIÓN!$J145=Lists!$S$4,AVERAGE(FORMULACIÓN!L145:O145),IF(FORMULACIÓN!$J145=Lists!$S$5,OFFSET(K145,0,COUNTA(L145:O145)),IF(FORMULACIÓN!$J145=Lists!$S$6,AVERAGE(FORMULACIÓN!L145:O145),""))))),"")</f>
        <v>0.99999999999999978</v>
      </c>
      <c r="Q145" s="51" t="str">
        <f ca="1">IF($I145=Lists!$R$3,TEXT(FORMULACIÓN!P145,"00,00%"),IF(FORMULACIÓN!P145=0,0,TEXT(FORMULACIÓN!P145,"##.###")))</f>
        <v>100,00%</v>
      </c>
      <c r="R145" s="63" t="s">
        <v>580</v>
      </c>
      <c r="S145" s="59">
        <v>0.04</v>
      </c>
      <c r="T145" s="58" t="s">
        <v>581</v>
      </c>
      <c r="U145" s="66">
        <v>916712161.57212985</v>
      </c>
      <c r="V145" s="66"/>
      <c r="W145" s="66"/>
      <c r="X145" s="67">
        <f t="shared" si="10"/>
        <v>916712161.57212985</v>
      </c>
      <c r="Y145" s="66">
        <v>992376660.01127815</v>
      </c>
      <c r="Z145" s="66"/>
      <c r="AA145" s="66"/>
      <c r="AB145" s="67">
        <f t="shared" si="11"/>
        <v>992376660.01127815</v>
      </c>
      <c r="AC145" s="66">
        <v>1080210106.9098692</v>
      </c>
      <c r="AD145" s="66"/>
      <c r="AE145" s="66"/>
      <c r="AF145" s="67">
        <f t="shared" si="12"/>
        <v>1080210106.9098692</v>
      </c>
      <c r="AG145" s="66">
        <v>380851217.40135187</v>
      </c>
      <c r="AH145" s="66"/>
      <c r="AI145" s="66"/>
      <c r="AJ145" s="65">
        <f t="shared" si="13"/>
        <v>380851217.40135187</v>
      </c>
      <c r="AK145" s="65">
        <f>IF(SUM(AB145,AF145,X145,AJ145)=0,"",SUM((AB145,AF145,X145,AJ145)))</f>
        <v>3370150145.894629</v>
      </c>
      <c r="AL145" s="20"/>
      <c r="AM145" s="20"/>
      <c r="AN145" s="20"/>
      <c r="AO145" s="20"/>
      <c r="AP145" s="20"/>
      <c r="AQ145" s="20"/>
      <c r="AR145" s="20"/>
      <c r="AS145" s="20"/>
      <c r="AT145" s="20"/>
      <c r="AU145" s="20"/>
      <c r="AV145" s="20"/>
      <c r="AW145" s="20"/>
      <c r="CG145" s="17"/>
    </row>
    <row r="146" spans="1:85" s="62" customFormat="1" ht="99.95" customHeight="1">
      <c r="A146" s="92">
        <f t="shared" si="14"/>
        <v>135</v>
      </c>
      <c r="B146" s="58" t="s">
        <v>553</v>
      </c>
      <c r="C146" s="199" t="str">
        <f>IFERROR(VLOOKUP(FORMULACIÓN!B146,Lists!$A$2:$B$6,2,FALSE),"")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6" s="58" t="s">
        <v>576</v>
      </c>
      <c r="E146" s="58" t="s">
        <v>555</v>
      </c>
      <c r="F146" s="58" t="s">
        <v>584</v>
      </c>
      <c r="G146" s="58" t="s">
        <v>585</v>
      </c>
      <c r="H146" s="58" t="s">
        <v>586</v>
      </c>
      <c r="I146" s="58" t="s">
        <v>160</v>
      </c>
      <c r="J146" s="63" t="s">
        <v>229</v>
      </c>
      <c r="K146" s="70">
        <v>0</v>
      </c>
      <c r="L146" s="196">
        <v>0.2</v>
      </c>
      <c r="M146" s="59">
        <v>0.5</v>
      </c>
      <c r="N146" s="59">
        <v>0.8</v>
      </c>
      <c r="O146" s="59">
        <v>0.8</v>
      </c>
      <c r="P146" s="63">
        <f ca="1">IFERROR(IF($J146=Lists!$S$2,SUM(FORMULACIÓN!K146:O146),IF(FORMULACIÓN!$J146=Lists!$S$3,SUM(FORMULACIÓN!L146:O146),IF(FORMULACIÓN!$J146=Lists!$S$4,AVERAGE(FORMULACIÓN!L146:O146),IF(FORMULACIÓN!$J146=Lists!$S$5,OFFSET(K146,0,COUNTA(L146:O146)),IF(FORMULACIÓN!$J146=Lists!$S$6,AVERAGE(FORMULACIÓN!L146:O146),""))))),"")</f>
        <v>0.8</v>
      </c>
      <c r="Q146" s="51" t="str">
        <f ca="1">IF($I146=Lists!$R$3,TEXT(FORMULACIÓN!P146,"00,00%"),IF(FORMULACIÓN!P146=0,0,TEXT(FORMULACIÓN!P146,"##.###")))</f>
        <v>80,00%</v>
      </c>
      <c r="R146" s="63" t="s">
        <v>580</v>
      </c>
      <c r="S146" s="59">
        <v>0.04</v>
      </c>
      <c r="T146" s="58" t="s">
        <v>581</v>
      </c>
      <c r="U146" s="66">
        <v>250012407.70148993</v>
      </c>
      <c r="V146" s="66"/>
      <c r="W146" s="66"/>
      <c r="X146" s="67">
        <f t="shared" si="10"/>
        <v>250012407.70148993</v>
      </c>
      <c r="Y146" s="66">
        <v>270648180.00307584</v>
      </c>
      <c r="Z146" s="66"/>
      <c r="AA146" s="66"/>
      <c r="AB146" s="67">
        <f t="shared" si="11"/>
        <v>270648180.00307584</v>
      </c>
      <c r="AC146" s="66">
        <v>294602756.4299643</v>
      </c>
      <c r="AD146" s="66"/>
      <c r="AE146" s="66"/>
      <c r="AF146" s="67">
        <f t="shared" si="12"/>
        <v>294602756.4299643</v>
      </c>
      <c r="AG146" s="66">
        <v>103868513.83673231</v>
      </c>
      <c r="AH146" s="66"/>
      <c r="AI146" s="66"/>
      <c r="AJ146" s="65">
        <f t="shared" si="13"/>
        <v>103868513.83673231</v>
      </c>
      <c r="AK146" s="65">
        <f>IF(SUM(AB146,AF146,X146,AJ146)=0,"",SUM((AB146,AF146,X146,AJ146)))</f>
        <v>919131857.97126234</v>
      </c>
      <c r="AL146" s="20"/>
      <c r="AM146" s="20"/>
      <c r="AN146" s="20"/>
      <c r="AO146" s="20"/>
      <c r="AP146" s="20"/>
      <c r="AQ146" s="20"/>
      <c r="AR146" s="20"/>
      <c r="AS146" s="20"/>
      <c r="AT146" s="20"/>
      <c r="AU146" s="20"/>
      <c r="AV146" s="20"/>
      <c r="AW146" s="20"/>
      <c r="CG146" s="17"/>
    </row>
    <row r="147" spans="1:85" s="62" customFormat="1" ht="99.95" customHeight="1">
      <c r="A147" s="92">
        <f t="shared" si="14"/>
        <v>136</v>
      </c>
      <c r="B147" s="58" t="s">
        <v>553</v>
      </c>
      <c r="C147" s="199" t="str">
        <f>IFERROR(VLOOKUP(FORMULACIÓN!B147,Lists!$A$2:$B$6,2,FALSE),"")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7" s="58" t="s">
        <v>587</v>
      </c>
      <c r="E147" s="58" t="s">
        <v>555</v>
      </c>
      <c r="F147" s="58" t="s">
        <v>588</v>
      </c>
      <c r="G147" s="58" t="s">
        <v>589</v>
      </c>
      <c r="H147" s="58" t="s">
        <v>590</v>
      </c>
      <c r="I147" s="58" t="s">
        <v>160</v>
      </c>
      <c r="J147" s="63" t="s">
        <v>169</v>
      </c>
      <c r="K147" s="59">
        <v>0</v>
      </c>
      <c r="L147" s="196">
        <v>0.3</v>
      </c>
      <c r="M147" s="59">
        <v>0.3</v>
      </c>
      <c r="N147" s="59">
        <v>0.3</v>
      </c>
      <c r="O147" s="59">
        <v>0.1</v>
      </c>
      <c r="P147" s="63">
        <f ca="1">IFERROR(IF($J147=Lists!$S$2,SUM(FORMULACIÓN!K147:O147),IF(FORMULACIÓN!$J147=Lists!$S$3,SUM(FORMULACIÓN!L147:O147),IF(FORMULACIÓN!$J147=Lists!$S$4,AVERAGE(FORMULACIÓN!L147:O147),IF(FORMULACIÓN!$J147=Lists!$S$5,OFFSET(K147,0,COUNTA(L147:O147)),IF(FORMULACIÓN!$J147=Lists!$S$6,AVERAGE(FORMULACIÓN!L147:O147),""))))),"")</f>
        <v>0.99999999999999989</v>
      </c>
      <c r="Q147" s="51" t="str">
        <f ca="1">IF($I147=Lists!$R$3,TEXT(FORMULACIÓN!P147,"00,00%"),IF(FORMULACIÓN!P147=0,0,TEXT(FORMULACIÓN!P147,"##.###")))</f>
        <v>100,00%</v>
      </c>
      <c r="R147" s="63" t="s">
        <v>591</v>
      </c>
      <c r="S147" s="59">
        <v>0.12</v>
      </c>
      <c r="T147" s="58" t="s">
        <v>581</v>
      </c>
      <c r="U147" s="66">
        <v>255399205.83675337</v>
      </c>
      <c r="V147" s="66"/>
      <c r="W147" s="66"/>
      <c r="X147" s="67">
        <f t="shared" si="10"/>
        <v>255399205.83675337</v>
      </c>
      <c r="Y147" s="66">
        <v>269869734.78059578</v>
      </c>
      <c r="Z147" s="66"/>
      <c r="AA147" s="66"/>
      <c r="AB147" s="67">
        <f t="shared" si="11"/>
        <v>269869734.78059578</v>
      </c>
      <c r="AC147" s="66">
        <v>299204128.1475755</v>
      </c>
      <c r="AD147" s="66"/>
      <c r="AE147" s="66"/>
      <c r="AF147" s="67">
        <f t="shared" si="12"/>
        <v>299204128.1475755</v>
      </c>
      <c r="AG147" s="66">
        <v>106750236.71093515</v>
      </c>
      <c r="AH147" s="66"/>
      <c r="AI147" s="66"/>
      <c r="AJ147" s="65">
        <f t="shared" si="13"/>
        <v>106750236.71093515</v>
      </c>
      <c r="AK147" s="65">
        <f>IF(SUM(AB147,AF147,X147,AJ147)=0,"",SUM((AB147,AF147,X147,AJ147)))</f>
        <v>931223305.47585976</v>
      </c>
      <c r="AL147" s="20"/>
      <c r="AM147" s="20"/>
      <c r="AN147" s="20"/>
      <c r="AO147" s="20"/>
      <c r="AP147" s="20"/>
      <c r="AQ147" s="20"/>
      <c r="AR147" s="20"/>
      <c r="AS147" s="20"/>
      <c r="AT147" s="20"/>
      <c r="AU147" s="20"/>
      <c r="AV147" s="20"/>
      <c r="AW147" s="20"/>
      <c r="CG147" s="17"/>
    </row>
    <row r="148" spans="1:85" s="62" customFormat="1" ht="99.95" customHeight="1">
      <c r="A148" s="92">
        <f t="shared" si="14"/>
        <v>137</v>
      </c>
      <c r="B148" s="58" t="s">
        <v>553</v>
      </c>
      <c r="C148" s="199" t="str">
        <f>IFERROR(VLOOKUP(FORMULACIÓN!B148,Lists!$A$2:$B$6,2,FALSE),"")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8" s="58" t="s">
        <v>554</v>
      </c>
      <c r="E148" s="58" t="s">
        <v>555</v>
      </c>
      <c r="F148" s="58" t="s">
        <v>592</v>
      </c>
      <c r="G148" s="58" t="s">
        <v>593</v>
      </c>
      <c r="H148" s="58" t="s">
        <v>594</v>
      </c>
      <c r="I148" s="58" t="s">
        <v>160</v>
      </c>
      <c r="J148" s="63" t="s">
        <v>161</v>
      </c>
      <c r="K148" s="59">
        <v>0.19</v>
      </c>
      <c r="L148" s="196">
        <v>0.08</v>
      </c>
      <c r="M148" s="59">
        <v>0.08</v>
      </c>
      <c r="N148" s="59">
        <v>0.08</v>
      </c>
      <c r="O148" s="59">
        <v>7.0000000000000007E-2</v>
      </c>
      <c r="P148" s="63">
        <f ca="1">IFERROR(IF($J148=Lists!$S$2,SUM(FORMULACIÓN!K148:O148),IF(FORMULACIÓN!$J148=Lists!$S$3,SUM(FORMULACIÓN!L148:O148),IF(FORMULACIÓN!$J148=Lists!$S$4,AVERAGE(FORMULACIÓN!L148:O148),IF(FORMULACIÓN!$J148=Lists!$S$5,OFFSET(K148,0,COUNTA(L148:O148)),IF(FORMULACIÓN!$J148=Lists!$S$6,AVERAGE(FORMULACIÓN!L148:O148),""))))),"")</f>
        <v>0.5</v>
      </c>
      <c r="Q148" s="51" t="str">
        <f ca="1">IF($I148=Lists!$R$3,TEXT(FORMULACIÓN!P148,"00,00%"),IF(FORMULACIÓN!P148=0,0,TEXT(FORMULACIÓN!P148,"##.###")))</f>
        <v>50,00%</v>
      </c>
      <c r="R148" s="63" t="s">
        <v>595</v>
      </c>
      <c r="S148" s="59">
        <v>4.4999999999999998E-2</v>
      </c>
      <c r="T148" s="58" t="s">
        <v>596</v>
      </c>
      <c r="U148" s="66">
        <v>557008876.16119194</v>
      </c>
      <c r="V148" s="66"/>
      <c r="W148" s="66"/>
      <c r="X148" s="67">
        <f t="shared" si="10"/>
        <v>557008876.16119194</v>
      </c>
      <c r="Y148" s="66">
        <v>606620935.63911068</v>
      </c>
      <c r="Z148" s="66"/>
      <c r="AA148" s="66"/>
      <c r="AB148" s="67">
        <f t="shared" si="11"/>
        <v>606620935.63911068</v>
      </c>
      <c r="AC148" s="66">
        <v>661957621.2499131</v>
      </c>
      <c r="AD148" s="66"/>
      <c r="AE148" s="66"/>
      <c r="AF148" s="67">
        <f t="shared" si="12"/>
        <v>661957621.2499131</v>
      </c>
      <c r="AG148" s="66">
        <v>233796113.80166364</v>
      </c>
      <c r="AH148" s="66"/>
      <c r="AI148" s="66"/>
      <c r="AJ148" s="65">
        <f t="shared" si="13"/>
        <v>233796113.80166364</v>
      </c>
      <c r="AK148" s="65">
        <f>IF(SUM(AB148,AF148,X148,AJ148)=0,"",SUM((AB148,AF148,X148,AJ148)))</f>
        <v>2059383546.8518794</v>
      </c>
      <c r="AL148" s="20"/>
      <c r="AM148" s="20"/>
      <c r="AN148" s="20"/>
      <c r="AO148" s="20"/>
      <c r="AP148" s="20"/>
      <c r="AQ148" s="20"/>
      <c r="AR148" s="20"/>
      <c r="AS148" s="20"/>
      <c r="AT148" s="20"/>
      <c r="AU148" s="20"/>
      <c r="AV148" s="20"/>
      <c r="AW148" s="20"/>
      <c r="CG148" s="17"/>
    </row>
    <row r="149" spans="1:85" s="62" customFormat="1" ht="99.95" customHeight="1">
      <c r="A149" s="92">
        <f t="shared" si="14"/>
        <v>138</v>
      </c>
      <c r="B149" s="58" t="s">
        <v>553</v>
      </c>
      <c r="C149" s="199" t="str">
        <f>IFERROR(VLOOKUP(FORMULACIÓN!B149,Lists!$A$2:$B$6,2,FALSE),"")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49" s="58" t="s">
        <v>554</v>
      </c>
      <c r="E149" s="58" t="s">
        <v>555</v>
      </c>
      <c r="F149" s="58" t="s">
        <v>597</v>
      </c>
      <c r="G149" s="58" t="s">
        <v>598</v>
      </c>
      <c r="H149" s="58" t="s">
        <v>599</v>
      </c>
      <c r="I149" s="58" t="s">
        <v>168</v>
      </c>
      <c r="J149" s="63" t="s">
        <v>169</v>
      </c>
      <c r="K149" s="201">
        <v>0</v>
      </c>
      <c r="L149" s="197">
        <v>30</v>
      </c>
      <c r="M149" s="201">
        <v>30</v>
      </c>
      <c r="N149" s="201">
        <v>30</v>
      </c>
      <c r="O149" s="201">
        <v>10</v>
      </c>
      <c r="P149" s="63">
        <f ca="1">IFERROR(IF($J149=Lists!$S$2,SUM(FORMULACIÓN!K149:O149),IF(FORMULACIÓN!$J149=Lists!$S$3,SUM(FORMULACIÓN!L149:O149),IF(FORMULACIÓN!$J149=Lists!$S$4,AVERAGE(FORMULACIÓN!L149:O149),IF(FORMULACIÓN!$J149=Lists!$S$5,OFFSET(K149,0,COUNTA(L149:O149)),IF(FORMULACIÓN!$J149=Lists!$S$6,AVERAGE(FORMULACIÓN!L149:O149),""))))),"")</f>
        <v>100</v>
      </c>
      <c r="Q149" s="51" t="str">
        <f ca="1">IF($I149=Lists!$R$3,TEXT(FORMULACIÓN!P149,"00,00%"),IF(FORMULACIÓN!P149=0,0,TEXT(FORMULACIÓN!P149,"##.###")))</f>
        <v>100</v>
      </c>
      <c r="R149" s="63" t="s">
        <v>595</v>
      </c>
      <c r="S149" s="59">
        <v>4.4999999999999998E-2</v>
      </c>
      <c r="T149" s="58" t="s">
        <v>596</v>
      </c>
      <c r="U149" s="66">
        <v>557008876.16119194</v>
      </c>
      <c r="V149" s="66"/>
      <c r="W149" s="66"/>
      <c r="X149" s="67">
        <f t="shared" si="10"/>
        <v>557008876.16119194</v>
      </c>
      <c r="Y149" s="66">
        <v>606620935.63911068</v>
      </c>
      <c r="Z149" s="66"/>
      <c r="AA149" s="66"/>
      <c r="AB149" s="67">
        <f t="shared" si="11"/>
        <v>606620935.63911068</v>
      </c>
      <c r="AC149" s="66">
        <v>661957621.2499131</v>
      </c>
      <c r="AD149" s="66"/>
      <c r="AE149" s="66"/>
      <c r="AF149" s="67">
        <f t="shared" si="12"/>
        <v>661957621.2499131</v>
      </c>
      <c r="AG149" s="66">
        <v>233796113.80166364</v>
      </c>
      <c r="AH149" s="66"/>
      <c r="AI149" s="66"/>
      <c r="AJ149" s="65">
        <f t="shared" si="13"/>
        <v>233796113.80166364</v>
      </c>
      <c r="AK149" s="65">
        <f>IF(SUM(AB149,AF149,X149,AJ149)=0,"",SUM((AB149,AF149,X149,AJ149)))</f>
        <v>2059383546.8518794</v>
      </c>
      <c r="AL149" s="20"/>
      <c r="AM149" s="20"/>
      <c r="AN149" s="20"/>
      <c r="AO149" s="20"/>
      <c r="AP149" s="20"/>
      <c r="AQ149" s="20"/>
      <c r="AR149" s="20"/>
      <c r="AS149" s="20"/>
      <c r="AT149" s="20"/>
      <c r="AU149" s="20"/>
      <c r="AV149" s="20"/>
      <c r="AW149" s="20"/>
      <c r="CG149" s="17"/>
    </row>
    <row r="150" spans="1:85" s="62" customFormat="1" ht="99.95" customHeight="1">
      <c r="A150" s="92">
        <f t="shared" si="14"/>
        <v>139</v>
      </c>
      <c r="B150" s="58" t="s">
        <v>553</v>
      </c>
      <c r="C150" s="199" t="str">
        <f>IFERROR(VLOOKUP(FORMULACIÓN!B150,Lists!$A$2:$B$6,2,FALSE),"")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0" s="58" t="s">
        <v>600</v>
      </c>
      <c r="E150" s="58" t="s">
        <v>601</v>
      </c>
      <c r="F150" s="58" t="s">
        <v>602</v>
      </c>
      <c r="G150" s="58" t="s">
        <v>603</v>
      </c>
      <c r="H150" s="58" t="s">
        <v>604</v>
      </c>
      <c r="I150" s="58" t="s">
        <v>168</v>
      </c>
      <c r="J150" s="63" t="s">
        <v>169</v>
      </c>
      <c r="K150" s="201">
        <v>0</v>
      </c>
      <c r="L150" s="197">
        <v>1</v>
      </c>
      <c r="M150" s="201">
        <v>0</v>
      </c>
      <c r="N150" s="201">
        <v>0</v>
      </c>
      <c r="O150" s="201">
        <v>0</v>
      </c>
      <c r="P150" s="63">
        <f ca="1">IFERROR(IF($J150=Lists!$S$2,SUM(FORMULACIÓN!K150:O150),IF(FORMULACIÓN!$J150=Lists!$S$3,SUM(FORMULACIÓN!L150:O150),IF(FORMULACIÓN!$J150=Lists!$S$4,AVERAGE(FORMULACIÓN!L150:O150),IF(FORMULACIÓN!$J150=Lists!$S$5,OFFSET(K150,0,COUNTA(L150:O150)),IF(FORMULACIÓN!$J150=Lists!$S$6,AVERAGE(FORMULACIÓN!L150:O150),""))))),"")</f>
        <v>1</v>
      </c>
      <c r="Q150" s="51" t="str">
        <f ca="1">IF($I150=Lists!$R$3,TEXT(FORMULACIÓN!P150,"00,00%"),IF(FORMULACIÓN!P150=0,0,TEXT(FORMULACIÓN!P150,"##.###")))</f>
        <v>1</v>
      </c>
      <c r="R150" s="63" t="s">
        <v>605</v>
      </c>
      <c r="S150" s="59">
        <v>0.03</v>
      </c>
      <c r="T150" s="58" t="s">
        <v>581</v>
      </c>
      <c r="U150" s="66">
        <v>1253510563.7710693</v>
      </c>
      <c r="V150" s="66"/>
      <c r="W150" s="66"/>
      <c r="X150" s="67">
        <f t="shared" si="10"/>
        <v>1253510563.7710693</v>
      </c>
      <c r="Y150" s="66">
        <v>1368897111.0634685</v>
      </c>
      <c r="Z150" s="66"/>
      <c r="AA150" s="66"/>
      <c r="AB150" s="67">
        <f t="shared" si="11"/>
        <v>1368897111.0634685</v>
      </c>
      <c r="AC150" s="66">
        <v>1496227479.9513788</v>
      </c>
      <c r="AD150" s="66"/>
      <c r="AE150" s="66"/>
      <c r="AF150" s="67">
        <f t="shared" si="12"/>
        <v>1496227479.9513788</v>
      </c>
      <c r="AG150" s="66">
        <v>529051338.66814154</v>
      </c>
      <c r="AH150" s="66"/>
      <c r="AI150" s="66"/>
      <c r="AJ150" s="65">
        <f t="shared" si="13"/>
        <v>529051338.66814154</v>
      </c>
      <c r="AK150" s="65">
        <f>IF(SUM(AB150,AF150,X150,AJ150)=0,"",SUM((AB150,AF150,X150,AJ150)))</f>
        <v>4647686493.4540577</v>
      </c>
      <c r="AL150" s="20"/>
      <c r="AM150" s="20"/>
      <c r="AN150" s="20"/>
      <c r="AO150" s="20"/>
      <c r="AP150" s="20"/>
      <c r="AQ150" s="20"/>
      <c r="AR150" s="20"/>
      <c r="AS150" s="20"/>
      <c r="AT150" s="20"/>
      <c r="AU150" s="20"/>
      <c r="AV150" s="20"/>
      <c r="AW150" s="20"/>
      <c r="CG150" s="17"/>
    </row>
    <row r="151" spans="1:85" s="62" customFormat="1" ht="99.95" customHeight="1">
      <c r="A151" s="92">
        <f t="shared" si="14"/>
        <v>140</v>
      </c>
      <c r="B151" s="58" t="s">
        <v>553</v>
      </c>
      <c r="C151" s="199" t="str">
        <f>IFERROR(VLOOKUP(FORMULACIÓN!B151,Lists!$A$2:$B$6,2,FALSE),"")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1" s="58" t="s">
        <v>600</v>
      </c>
      <c r="E151" s="58" t="s">
        <v>601</v>
      </c>
      <c r="F151" s="58" t="s">
        <v>602</v>
      </c>
      <c r="G151" s="58" t="s">
        <v>606</v>
      </c>
      <c r="H151" s="58" t="s">
        <v>607</v>
      </c>
      <c r="I151" s="58" t="s">
        <v>160</v>
      </c>
      <c r="J151" s="63" t="s">
        <v>337</v>
      </c>
      <c r="K151" s="59">
        <v>0.3</v>
      </c>
      <c r="L151" s="196">
        <v>0.7</v>
      </c>
      <c r="M151" s="59">
        <v>0.7</v>
      </c>
      <c r="N151" s="59">
        <v>0.7</v>
      </c>
      <c r="O151" s="59">
        <v>0.7</v>
      </c>
      <c r="P151" s="63">
        <f ca="1">IFERROR(IF($J151=Lists!$S$2,SUM(FORMULACIÓN!K151:O151),IF(FORMULACIÓN!$J151=Lists!$S$3,SUM(FORMULACIÓN!L151:O151),IF(FORMULACIÓN!$J151=Lists!$S$4,AVERAGE(FORMULACIÓN!L151:O151),IF(FORMULACIÓN!$J151=Lists!$S$5,OFFSET(K151,0,COUNTA(L151:O151)),IF(FORMULACIÓN!$J151=Lists!$S$6,AVERAGE(FORMULACIÓN!L151:O151),""))))),"")</f>
        <v>0.7</v>
      </c>
      <c r="Q151" s="51" t="str">
        <f ca="1">IF($I151=Lists!$R$3,TEXT(FORMULACIÓN!P151,"00,00%"),IF(FORMULACIÓN!P151=0,0,TEXT(FORMULACIÓN!P151,"##.###")))</f>
        <v>70,00%</v>
      </c>
      <c r="R151" s="63" t="s">
        <v>605</v>
      </c>
      <c r="S151" s="59">
        <v>0.03</v>
      </c>
      <c r="T151" s="58" t="s">
        <v>608</v>
      </c>
      <c r="U151" s="66">
        <v>116427652904.38905</v>
      </c>
      <c r="V151" s="66"/>
      <c r="W151" s="66"/>
      <c r="X151" s="67">
        <f t="shared" si="10"/>
        <v>116427652904.38905</v>
      </c>
      <c r="Y151" s="66">
        <v>127144901937.83943</v>
      </c>
      <c r="Z151" s="66"/>
      <c r="AA151" s="66"/>
      <c r="AB151" s="67">
        <f t="shared" si="11"/>
        <v>127144901937.83943</v>
      </c>
      <c r="AC151" s="66">
        <v>138971508287.66589</v>
      </c>
      <c r="AD151" s="66"/>
      <c r="AE151" s="66"/>
      <c r="AF151" s="67">
        <f t="shared" si="12"/>
        <v>138971508287.66589</v>
      </c>
      <c r="AG151" s="66">
        <v>49138960139.075607</v>
      </c>
      <c r="AH151" s="66"/>
      <c r="AI151" s="66"/>
      <c r="AJ151" s="65">
        <f t="shared" si="13"/>
        <v>49138960139.075607</v>
      </c>
      <c r="AK151" s="65">
        <f>IF(SUM(AB151,AF151,X151,AJ151)=0,"",SUM((AB151,AF151,X151,AJ151)))</f>
        <v>431683023268.96997</v>
      </c>
      <c r="AL151" s="20"/>
      <c r="AM151" s="20"/>
      <c r="AN151" s="20"/>
      <c r="AO151" s="20"/>
      <c r="AP151" s="20"/>
      <c r="AQ151" s="20"/>
      <c r="AR151" s="20"/>
      <c r="AS151" s="20"/>
      <c r="AT151" s="20"/>
      <c r="AU151" s="20"/>
      <c r="AV151" s="20"/>
      <c r="AW151" s="20"/>
      <c r="CG151" s="17"/>
    </row>
    <row r="152" spans="1:85" s="62" customFormat="1" ht="99.95" customHeight="1">
      <c r="A152" s="92">
        <f t="shared" si="14"/>
        <v>141</v>
      </c>
      <c r="B152" s="58" t="s">
        <v>553</v>
      </c>
      <c r="C152" s="199" t="str">
        <f>IFERROR(VLOOKUP(FORMULACIÓN!B152,Lists!$A$2:$B$6,2,FALSE),"")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2" s="58" t="s">
        <v>600</v>
      </c>
      <c r="E152" s="58" t="s">
        <v>601</v>
      </c>
      <c r="F152" s="58" t="s">
        <v>602</v>
      </c>
      <c r="G152" s="58" t="s">
        <v>609</v>
      </c>
      <c r="H152" s="58" t="s">
        <v>610</v>
      </c>
      <c r="I152" s="58" t="s">
        <v>160</v>
      </c>
      <c r="J152" s="63" t="s">
        <v>161</v>
      </c>
      <c r="K152" s="59">
        <v>0</v>
      </c>
      <c r="L152" s="196">
        <v>0</v>
      </c>
      <c r="M152" s="59">
        <v>0.6</v>
      </c>
      <c r="N152" s="59">
        <v>0.1</v>
      </c>
      <c r="O152" s="59">
        <v>0.1</v>
      </c>
      <c r="P152" s="63">
        <f ca="1">IFERROR(IF($J152=Lists!$S$2,SUM(FORMULACIÓN!K152:O152),IF(FORMULACIÓN!$J152=Lists!$S$3,SUM(FORMULACIÓN!L152:O152),IF(FORMULACIÓN!$J152=Lists!$S$4,AVERAGE(FORMULACIÓN!L152:O152),IF(FORMULACIÓN!$J152=Lists!$S$5,OFFSET(K152,0,COUNTA(L152:O152)),IF(FORMULACIÓN!$J152=Lists!$S$6,AVERAGE(FORMULACIÓN!L152:O152),""))))),"")</f>
        <v>0.79999999999999993</v>
      </c>
      <c r="Q152" s="51" t="str">
        <f ca="1">IF($I152=Lists!$R$3,TEXT(FORMULACIÓN!P152,"00,00%"),IF(FORMULACIÓN!P152=0,0,TEXT(FORMULACIÓN!P152,"##.###")))</f>
        <v>80,00%</v>
      </c>
      <c r="R152" s="63" t="s">
        <v>605</v>
      </c>
      <c r="S152" s="59">
        <v>0.03</v>
      </c>
      <c r="T152" s="58" t="s">
        <v>608</v>
      </c>
      <c r="U152" s="66">
        <v>370511607.6402542</v>
      </c>
      <c r="V152" s="66"/>
      <c r="W152" s="66"/>
      <c r="X152" s="67">
        <f t="shared" si="10"/>
        <v>370511607.6402542</v>
      </c>
      <c r="Y152" s="66">
        <v>404617467.11442524</v>
      </c>
      <c r="Z152" s="66"/>
      <c r="AA152" s="66"/>
      <c r="AB152" s="67">
        <f t="shared" si="11"/>
        <v>404617467.11442524</v>
      </c>
      <c r="AC152" s="66">
        <v>442253671.42063993</v>
      </c>
      <c r="AD152" s="66"/>
      <c r="AE152" s="66"/>
      <c r="AF152" s="67">
        <f t="shared" si="12"/>
        <v>442253671.42063993</v>
      </c>
      <c r="AG152" s="66">
        <v>156376553.72002202</v>
      </c>
      <c r="AH152" s="66"/>
      <c r="AI152" s="66"/>
      <c r="AJ152" s="65">
        <f t="shared" si="13"/>
        <v>156376553.72002202</v>
      </c>
      <c r="AK152" s="65">
        <f>IF(SUM(AB152,AF152,X152,AJ152)=0,"",SUM((AB152,AF152,X152,AJ152)))</f>
        <v>1373759299.8953414</v>
      </c>
      <c r="AL152" s="20"/>
      <c r="AM152" s="20"/>
      <c r="AN152" s="20"/>
      <c r="AO152" s="20"/>
      <c r="AP152" s="20"/>
      <c r="AQ152" s="20"/>
      <c r="AR152" s="20"/>
      <c r="AS152" s="20"/>
      <c r="AT152" s="20"/>
      <c r="AU152" s="20"/>
      <c r="AV152" s="20"/>
      <c r="AW152" s="20"/>
      <c r="CG152" s="17"/>
    </row>
    <row r="153" spans="1:85" s="62" customFormat="1" ht="99.95" customHeight="1">
      <c r="A153" s="92">
        <f t="shared" si="14"/>
        <v>142</v>
      </c>
      <c r="B153" s="58" t="s">
        <v>553</v>
      </c>
      <c r="C153" s="199" t="str">
        <f>IFERROR(VLOOKUP(FORMULACIÓN!B153,Lists!$A$2:$B$6,2,FALSE),"")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3" s="58" t="s">
        <v>611</v>
      </c>
      <c r="E153" s="58" t="s">
        <v>612</v>
      </c>
      <c r="F153" s="58" t="s">
        <v>613</v>
      </c>
      <c r="G153" s="58" t="s">
        <v>614</v>
      </c>
      <c r="H153" s="58" t="s">
        <v>615</v>
      </c>
      <c r="I153" s="58" t="s">
        <v>168</v>
      </c>
      <c r="J153" s="63" t="s">
        <v>169</v>
      </c>
      <c r="K153" s="58">
        <v>0</v>
      </c>
      <c r="L153" s="58">
        <v>1</v>
      </c>
      <c r="M153" s="58">
        <v>0</v>
      </c>
      <c r="N153" s="58">
        <v>0</v>
      </c>
      <c r="O153" s="58">
        <v>0</v>
      </c>
      <c r="P153" s="63">
        <f ca="1">IFERROR(IF($J153=Lists!$S$2,SUM(FORMULACIÓN!K153:O153),IF(FORMULACIÓN!$J153=Lists!$S$3,SUM(FORMULACIÓN!L153:O153),IF(FORMULACIÓN!$J153=Lists!$S$4,AVERAGE(FORMULACIÓN!L153:O153),IF(FORMULACIÓN!$J153=Lists!$S$5,OFFSET(K153,0,COUNTA(L153:O153)),IF(FORMULACIÓN!$J153=Lists!$S$6,AVERAGE(FORMULACIÓN!L153:O153),""))))),"")</f>
        <v>1</v>
      </c>
      <c r="Q153" s="51" t="str">
        <f ca="1">IF($I153=Lists!$R$3,TEXT(FORMULACIÓN!P153,"00,00%"),IF(FORMULACIÓN!P153=0,0,TEXT(FORMULACIÓN!P153,"##.###")))</f>
        <v>1</v>
      </c>
      <c r="R153" s="63" t="s">
        <v>616</v>
      </c>
      <c r="S153" s="59">
        <v>0.06</v>
      </c>
      <c r="T153" s="58" t="s">
        <v>581</v>
      </c>
      <c r="U153" s="66">
        <v>2945636680.9744301</v>
      </c>
      <c r="V153" s="66"/>
      <c r="W153" s="66"/>
      <c r="X153" s="67">
        <f t="shared" si="10"/>
        <v>2945636680.9744301</v>
      </c>
      <c r="Y153" s="66">
        <v>2507467734.2049336</v>
      </c>
      <c r="Z153" s="66"/>
      <c r="AA153" s="66"/>
      <c r="AB153" s="67">
        <f t="shared" si="11"/>
        <v>2507467734.2049336</v>
      </c>
      <c r="AC153" s="66">
        <v>2752407933.3981614</v>
      </c>
      <c r="AD153" s="66"/>
      <c r="AE153" s="66"/>
      <c r="AF153" s="67">
        <f t="shared" si="12"/>
        <v>2752407933.3981614</v>
      </c>
      <c r="AG153" s="66">
        <v>976109254.54840112</v>
      </c>
      <c r="AH153" s="66"/>
      <c r="AI153" s="66"/>
      <c r="AJ153" s="65">
        <f t="shared" si="13"/>
        <v>976109254.54840112</v>
      </c>
      <c r="AK153" s="65">
        <f>IF(SUM(AB153,AF153,X153,AJ153)=0,"",SUM((AB153,AF153,X153,AJ153)))</f>
        <v>9181621603.125927</v>
      </c>
      <c r="AL153" s="20"/>
      <c r="AM153" s="20"/>
      <c r="AN153" s="20"/>
      <c r="AO153" s="20"/>
      <c r="AP153" s="20"/>
      <c r="AQ153" s="20"/>
      <c r="AR153" s="20"/>
      <c r="AS153" s="20"/>
      <c r="AT153" s="20"/>
      <c r="AU153" s="20"/>
      <c r="AV153" s="20"/>
      <c r="AW153" s="20"/>
      <c r="CG153" s="17"/>
    </row>
    <row r="154" spans="1:85" s="62" customFormat="1" ht="99.95" customHeight="1">
      <c r="A154" s="92">
        <f t="shared" si="14"/>
        <v>143</v>
      </c>
      <c r="B154" s="58" t="s">
        <v>553</v>
      </c>
      <c r="C154" s="199" t="str">
        <f>IFERROR(VLOOKUP(FORMULACIÓN!B154,Lists!$A$2:$B$6,2,FALSE),"")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4" s="58" t="s">
        <v>611</v>
      </c>
      <c r="E154" s="58" t="s">
        <v>612</v>
      </c>
      <c r="F154" s="58" t="s">
        <v>613</v>
      </c>
      <c r="G154" s="58" t="s">
        <v>617</v>
      </c>
      <c r="H154" s="58" t="s">
        <v>618</v>
      </c>
      <c r="I154" s="58" t="s">
        <v>160</v>
      </c>
      <c r="J154" s="63" t="s">
        <v>169</v>
      </c>
      <c r="K154" s="59">
        <v>0</v>
      </c>
      <c r="L154" s="196">
        <v>0</v>
      </c>
      <c r="M154" s="59">
        <v>0.2</v>
      </c>
      <c r="N154" s="59">
        <v>0.4</v>
      </c>
      <c r="O154" s="59">
        <v>0.2</v>
      </c>
      <c r="P154" s="63">
        <f ca="1">IFERROR(IF($J154=Lists!$S$2,SUM(FORMULACIÓN!K154:O154),IF(FORMULACIÓN!$J154=Lists!$S$3,SUM(FORMULACIÓN!L154:O154),IF(FORMULACIÓN!$J154=Lists!$S$4,AVERAGE(FORMULACIÓN!L154:O154),IF(FORMULACIÓN!$J154=Lists!$S$5,OFFSET(K154,0,COUNTA(L154:O154)),IF(FORMULACIÓN!$J154=Lists!$S$6,AVERAGE(FORMULACIÓN!L154:O154),""))))),"")</f>
        <v>0.8</v>
      </c>
      <c r="Q154" s="51" t="str">
        <f ca="1">IF($I154=Lists!$R$3,TEXT(FORMULACIÓN!P154,"00,00%"),IF(FORMULACIÓN!P154=0,0,TEXT(FORMULACIÓN!P154,"##.###")))</f>
        <v>80,00%</v>
      </c>
      <c r="R154" s="63" t="s">
        <v>616</v>
      </c>
      <c r="S154" s="59">
        <v>0.06</v>
      </c>
      <c r="T154" s="58" t="s">
        <v>581</v>
      </c>
      <c r="U154" s="66">
        <v>4080618033.850791</v>
      </c>
      <c r="V154" s="66"/>
      <c r="W154" s="66"/>
      <c r="X154" s="67">
        <f t="shared" si="10"/>
        <v>4080618033.850791</v>
      </c>
      <c r="Y154" s="66">
        <v>3473618495.3097587</v>
      </c>
      <c r="Z154" s="66"/>
      <c r="AA154" s="66"/>
      <c r="AB154" s="67">
        <f t="shared" si="11"/>
        <v>3473618495.3097587</v>
      </c>
      <c r="AC154" s="66">
        <v>3812936443.2761893</v>
      </c>
      <c r="AD154" s="66"/>
      <c r="AE154" s="66"/>
      <c r="AF154" s="67">
        <f t="shared" si="12"/>
        <v>3812936443.2761893</v>
      </c>
      <c r="AG154" s="66">
        <v>1352213276.2826746</v>
      </c>
      <c r="AH154" s="66"/>
      <c r="AI154" s="66"/>
      <c r="AJ154" s="65">
        <f t="shared" si="13"/>
        <v>1352213276.2826746</v>
      </c>
      <c r="AK154" s="65">
        <f>IF(SUM(AB154,AF154,X154,AJ154)=0,"",SUM((AB154,AF154,X154,AJ154)))</f>
        <v>12719386248.719414</v>
      </c>
      <c r="AL154" s="20"/>
      <c r="AM154" s="20"/>
      <c r="AN154" s="20"/>
      <c r="AO154" s="20"/>
      <c r="AP154" s="20"/>
      <c r="AQ154" s="20"/>
      <c r="AR154" s="20"/>
      <c r="AS154" s="20"/>
      <c r="AT154" s="20"/>
      <c r="AU154" s="20"/>
      <c r="AV154" s="20"/>
      <c r="AW154" s="20"/>
      <c r="CG154" s="17"/>
    </row>
    <row r="155" spans="1:85" s="62" customFormat="1" ht="99.95" customHeight="1">
      <c r="A155" s="92">
        <f t="shared" si="14"/>
        <v>144</v>
      </c>
      <c r="B155" s="58" t="s">
        <v>553</v>
      </c>
      <c r="C155" s="199" t="str">
        <f>IFERROR(VLOOKUP(FORMULACIÓN!B155,Lists!$A$2:$B$6,2,FALSE),"")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5" s="58" t="s">
        <v>576</v>
      </c>
      <c r="E155" s="58" t="s">
        <v>612</v>
      </c>
      <c r="F155" s="58" t="s">
        <v>619</v>
      </c>
      <c r="G155" s="58" t="s">
        <v>620</v>
      </c>
      <c r="H155" s="58" t="s">
        <v>621</v>
      </c>
      <c r="I155" s="58" t="s">
        <v>160</v>
      </c>
      <c r="J155" s="63" t="s">
        <v>169</v>
      </c>
      <c r="K155" s="59">
        <v>0</v>
      </c>
      <c r="L155" s="196">
        <v>0.05</v>
      </c>
      <c r="M155" s="59">
        <v>0.15</v>
      </c>
      <c r="N155" s="59">
        <v>0.15</v>
      </c>
      <c r="O155" s="59">
        <v>0.2</v>
      </c>
      <c r="P155" s="63">
        <f ca="1">IFERROR(IF($J155=Lists!$S$2,SUM(FORMULACIÓN!K155:O155),IF(FORMULACIÓN!$J155=Lists!$S$3,SUM(FORMULACIÓN!L155:O155),IF(FORMULACIÓN!$J155=Lists!$S$4,AVERAGE(FORMULACIÓN!L155:O155),IF(FORMULACIÓN!$J155=Lists!$S$5,OFFSET(K155,0,COUNTA(L155:O155)),IF(FORMULACIÓN!$J155=Lists!$S$6,AVERAGE(FORMULACIÓN!L155:O155),""))))),"")</f>
        <v>0.55000000000000004</v>
      </c>
      <c r="Q155" s="51" t="str">
        <f ca="1">IF($I155=Lists!$R$3,TEXT(FORMULACIÓN!P155,"00,00%"),IF(FORMULACIÓN!P155=0,0,TEXT(FORMULACIÓN!P155,"##.###")))</f>
        <v>55,00%</v>
      </c>
      <c r="R155" s="63" t="s">
        <v>622</v>
      </c>
      <c r="S155" s="59">
        <v>0.12</v>
      </c>
      <c r="T155" s="58" t="s">
        <v>581</v>
      </c>
      <c r="U155" s="66">
        <v>33713500000</v>
      </c>
      <c r="V155" s="66"/>
      <c r="W155" s="66"/>
      <c r="X155" s="67">
        <f t="shared" si="10"/>
        <v>33713500000</v>
      </c>
      <c r="Y155" s="66">
        <v>0</v>
      </c>
      <c r="Z155" s="66"/>
      <c r="AA155" s="66"/>
      <c r="AB155" s="67" t="str">
        <f t="shared" si="11"/>
        <v/>
      </c>
      <c r="AC155" s="66">
        <v>0</v>
      </c>
      <c r="AD155" s="66"/>
      <c r="AE155" s="66"/>
      <c r="AF155" s="67" t="str">
        <f t="shared" si="12"/>
        <v/>
      </c>
      <c r="AG155" s="66">
        <v>0</v>
      </c>
      <c r="AH155" s="66"/>
      <c r="AI155" s="66"/>
      <c r="AJ155" s="65" t="str">
        <f t="shared" si="13"/>
        <v/>
      </c>
      <c r="AK155" s="65">
        <f>IF(SUM(AB155,AF155,X155,AJ155)=0,"",SUM((AB155,AF155,X155,AJ155)))</f>
        <v>33713500000</v>
      </c>
      <c r="AL155" s="20"/>
      <c r="AM155" s="20"/>
      <c r="AN155" s="20"/>
      <c r="AO155" s="20"/>
      <c r="AP155" s="20"/>
      <c r="AQ155" s="20"/>
      <c r="AR155" s="20"/>
      <c r="AS155" s="20"/>
      <c r="AT155" s="20"/>
      <c r="AU155" s="20"/>
      <c r="AV155" s="20"/>
      <c r="AW155" s="20"/>
      <c r="AX155" s="17"/>
      <c r="CG155" s="17"/>
    </row>
    <row r="156" spans="1:85" s="62" customFormat="1" ht="99.95" customHeight="1">
      <c r="A156" s="92">
        <f t="shared" si="14"/>
        <v>145</v>
      </c>
      <c r="B156" s="58" t="s">
        <v>553</v>
      </c>
      <c r="C156" s="199" t="str">
        <f>IFERROR(VLOOKUP(FORMULACIÓN!B156,Lists!$A$2:$B$6,2,FALSE),"")</f>
        <v>Fortalecer la gestión administrativa, el uso eficiente de los recursos financieros, humanos y tecnológicos, la modernización y el mantenimiento de la infraestructura con enfoque a la sostenibilidad ambiental, como apoyo al mejoramiento de las funciones misionales y la prestación de servicios para el desarrollo de la Universidad, y así propiciar la inclusión, la calidad educativa, el bienestar del talento humano, la transparencia y la equidad.</v>
      </c>
      <c r="D156" s="58" t="s">
        <v>576</v>
      </c>
      <c r="E156" s="58" t="s">
        <v>612</v>
      </c>
      <c r="F156" s="58" t="s">
        <v>623</v>
      </c>
      <c r="G156" s="58" t="s">
        <v>624</v>
      </c>
      <c r="H156" s="58" t="s">
        <v>625</v>
      </c>
      <c r="I156" s="58" t="s">
        <v>160</v>
      </c>
      <c r="J156" s="63" t="s">
        <v>169</v>
      </c>
      <c r="K156" s="59">
        <v>0</v>
      </c>
      <c r="L156" s="196">
        <v>0</v>
      </c>
      <c r="M156" s="59">
        <v>0.2</v>
      </c>
      <c r="N156" s="59">
        <v>0.4</v>
      </c>
      <c r="O156" s="59">
        <v>0.2</v>
      </c>
      <c r="P156" s="63">
        <f ca="1">IFERROR(IF($J156=Lists!$S$2,SUM(FORMULACIÓN!K156:O156),IF(FORMULACIÓN!$J156=Lists!$S$3,SUM(FORMULACIÓN!L156:O156),IF(FORMULACIÓN!$J156=Lists!$S$4,AVERAGE(FORMULACIÓN!L156:O156),IF(FORMULACIÓN!$J156=Lists!$S$5,OFFSET(K156,0,COUNTA(L156:O156)),IF(FORMULACIÓN!$J156=Lists!$S$6,AVERAGE(FORMULACIÓN!L156:O156),""))))),"")</f>
        <v>0.8</v>
      </c>
      <c r="Q156" s="51" t="str">
        <f ca="1">IF($I156=Lists!$R$3,TEXT(FORMULACIÓN!P156,"00,00%"),IF(FORMULACIÓN!P156=0,0,TEXT(FORMULACIÓN!P156,"##.###")))</f>
        <v>80,00%</v>
      </c>
      <c r="R156" s="63" t="s">
        <v>626</v>
      </c>
      <c r="S156" s="59">
        <v>0.12</v>
      </c>
      <c r="T156" s="58" t="s">
        <v>581</v>
      </c>
      <c r="U156" s="66">
        <v>7171500000</v>
      </c>
      <c r="V156" s="66"/>
      <c r="W156" s="66"/>
      <c r="X156" s="67">
        <f t="shared" si="10"/>
        <v>7171500000</v>
      </c>
      <c r="Y156" s="66">
        <v>0</v>
      </c>
      <c r="Z156" s="66"/>
      <c r="AA156" s="66"/>
      <c r="AB156" s="67" t="str">
        <f t="shared" si="11"/>
        <v/>
      </c>
      <c r="AC156" s="66">
        <v>0</v>
      </c>
      <c r="AD156" s="66"/>
      <c r="AE156" s="66"/>
      <c r="AF156" s="67" t="str">
        <f t="shared" si="12"/>
        <v/>
      </c>
      <c r="AG156" s="66">
        <v>0</v>
      </c>
      <c r="AH156" s="66"/>
      <c r="AI156" s="66"/>
      <c r="AJ156" s="65" t="str">
        <f t="shared" si="13"/>
        <v/>
      </c>
      <c r="AK156" s="65">
        <f>IF(SUM(AB156,AF156,X156,AJ156)=0,"",SUM((AB156,AF156,X156,AJ156)))</f>
        <v>7171500000</v>
      </c>
      <c r="AL156" s="20"/>
      <c r="AM156" s="20"/>
      <c r="AN156" s="20"/>
      <c r="AO156" s="20"/>
      <c r="AP156" s="20"/>
      <c r="AQ156" s="20"/>
      <c r="AR156" s="20"/>
      <c r="AS156" s="20"/>
      <c r="AT156" s="20"/>
      <c r="AU156" s="20"/>
      <c r="AV156" s="20"/>
      <c r="AW156" s="20"/>
      <c r="AX156" s="17"/>
      <c r="CG156" s="17"/>
    </row>
    <row r="157" spans="1:85" s="62" customFormat="1" ht="99.95" customHeight="1">
      <c r="A157" s="92" t="str">
        <f t="shared" si="14"/>
        <v/>
      </c>
      <c r="B157" s="58"/>
      <c r="C157" s="199" t="str">
        <f>IFERROR(VLOOKUP(FORMULACIÓN!B157,Lists!$A$2:$B$6,2,FALSE),"")</f>
        <v/>
      </c>
      <c r="D157" s="58"/>
      <c r="E157" s="58"/>
      <c r="F157" s="58"/>
      <c r="G157" s="58"/>
      <c r="H157" s="58"/>
      <c r="I157" s="58"/>
      <c r="J157" s="63"/>
      <c r="K157" s="58"/>
      <c r="L157" s="58"/>
      <c r="M157" s="58"/>
      <c r="N157" s="58"/>
      <c r="O157" s="58"/>
      <c r="P157" s="63" t="str">
        <f ca="1">IFERROR(IF($J157=Lists!$S$2,SUM(FORMULACIÓN!K157:O157),IF(FORMULACIÓN!$J157=Lists!$S$3,SUM(FORMULACIÓN!L157:O157),IF(FORMULACIÓN!$J157=Lists!$S$4,AVERAGE(FORMULACIÓN!L157:O157),IF(FORMULACIÓN!$J157=Lists!$S$5,OFFSET(K157,0,COUNTA(L157:O157)),IF(FORMULACIÓN!$J157=Lists!$S$6,AVERAGE(FORMULACIÓN!L157:O157),""))))),"")</f>
        <v/>
      </c>
      <c r="Q157" s="51" t="str">
        <f ca="1">IF($I157=Lists!$R$3,TEXT(FORMULACIÓN!P157,"00,00%"),IF(FORMULACIÓN!P157=0,0,TEXT(FORMULACIÓN!P157,"##.###")))</f>
        <v/>
      </c>
      <c r="R157" s="63"/>
      <c r="S157" s="59"/>
      <c r="T157" s="58"/>
      <c r="U157" s="66"/>
      <c r="V157" s="66"/>
      <c r="W157" s="66"/>
      <c r="X157" s="67" t="str">
        <f t="shared" si="10"/>
        <v/>
      </c>
      <c r="Y157" s="66"/>
      <c r="Z157" s="66"/>
      <c r="AA157" s="66"/>
      <c r="AB157" s="67" t="str">
        <f t="shared" si="11"/>
        <v/>
      </c>
      <c r="AC157" s="66"/>
      <c r="AD157" s="66"/>
      <c r="AE157" s="66"/>
      <c r="AF157" s="67" t="str">
        <f t="shared" si="12"/>
        <v/>
      </c>
      <c r="AG157" s="66"/>
      <c r="AH157" s="66"/>
      <c r="AI157" s="66"/>
      <c r="AJ157" s="65" t="str">
        <f t="shared" si="13"/>
        <v/>
      </c>
      <c r="AK157" s="65" t="str">
        <f>IF(SUM(AB157,AF157,X157,AJ157)=0,"",SUM((AB157,AF157,X157,AJ157)))</f>
        <v/>
      </c>
      <c r="AL157" s="20"/>
      <c r="AM157" s="20"/>
      <c r="AN157" s="20"/>
      <c r="AO157" s="20"/>
      <c r="AP157" s="20"/>
      <c r="AQ157" s="20"/>
      <c r="AR157" s="20"/>
      <c r="AS157" s="20"/>
      <c r="AT157" s="20"/>
      <c r="AU157" s="20"/>
      <c r="AV157" s="20"/>
      <c r="AW157" s="20"/>
      <c r="AX157" s="17"/>
      <c r="CG157" s="17"/>
    </row>
    <row r="158" spans="1:85" s="62" customFormat="1" ht="99.95" customHeight="1">
      <c r="A158" s="92" t="str">
        <f t="shared" si="14"/>
        <v/>
      </c>
      <c r="B158" s="58"/>
      <c r="C158" s="199" t="str">
        <f>IFERROR(VLOOKUP(FORMULACIÓN!B158,Lists!$A$2:$B$6,2,FALSE),"")</f>
        <v/>
      </c>
      <c r="D158" s="58"/>
      <c r="E158" s="58"/>
      <c r="F158" s="58"/>
      <c r="G158" s="58"/>
      <c r="H158" s="58"/>
      <c r="I158" s="58"/>
      <c r="J158" s="63"/>
      <c r="K158" s="58"/>
      <c r="L158" s="58"/>
      <c r="M158" s="58"/>
      <c r="N158" s="58"/>
      <c r="O158" s="58"/>
      <c r="P158" s="63" t="str">
        <f ca="1">IFERROR(IF($J158=Lists!$S$2,SUM(FORMULACIÓN!K158:O158),IF(FORMULACIÓN!$J158=Lists!$S$3,SUM(FORMULACIÓN!L158:O158),IF(FORMULACIÓN!$J158=Lists!$S$4,AVERAGE(FORMULACIÓN!L158:O158),IF(FORMULACIÓN!$J158=Lists!$S$5,OFFSET(K158,0,COUNTA(L158:O158)),IF(FORMULACIÓN!$J158=Lists!$S$6,AVERAGE(FORMULACIÓN!L158:O158),""))))),"")</f>
        <v/>
      </c>
      <c r="Q158" s="51" t="str">
        <f ca="1">IF($I158=Lists!$R$3,TEXT(FORMULACIÓN!P158,"00,00%"),IF(FORMULACIÓN!P158=0,0,TEXT(FORMULACIÓN!P158,"##.###")))</f>
        <v/>
      </c>
      <c r="R158" s="63"/>
      <c r="S158" s="59"/>
      <c r="T158" s="58"/>
      <c r="U158" s="66"/>
      <c r="V158" s="66"/>
      <c r="W158" s="66"/>
      <c r="X158" s="67" t="str">
        <f t="shared" si="10"/>
        <v/>
      </c>
      <c r="Y158" s="66"/>
      <c r="Z158" s="66"/>
      <c r="AA158" s="66"/>
      <c r="AB158" s="67" t="str">
        <f t="shared" si="11"/>
        <v/>
      </c>
      <c r="AC158" s="66"/>
      <c r="AD158" s="66"/>
      <c r="AE158" s="66"/>
      <c r="AF158" s="67" t="str">
        <f t="shared" si="12"/>
        <v/>
      </c>
      <c r="AG158" s="66"/>
      <c r="AH158" s="66"/>
      <c r="AI158" s="66"/>
      <c r="AJ158" s="65" t="str">
        <f t="shared" si="13"/>
        <v/>
      </c>
      <c r="AK158" s="65" t="str">
        <f>IF(SUM(AB158,AF158,X158,AJ158)=0,"",SUM((AB158,AF158,X158,AJ158)))</f>
        <v/>
      </c>
      <c r="AL158" s="20"/>
      <c r="AM158" s="20"/>
      <c r="AN158" s="20"/>
      <c r="AO158" s="20"/>
      <c r="AP158" s="20"/>
      <c r="AQ158" s="20"/>
      <c r="AR158" s="20"/>
      <c r="AS158" s="20"/>
      <c r="AT158" s="20"/>
      <c r="AU158" s="20"/>
      <c r="AV158" s="20"/>
      <c r="AW158" s="20"/>
      <c r="AX158" s="17"/>
      <c r="CG158" s="17"/>
    </row>
    <row r="159" spans="1:85" s="62" customFormat="1" ht="99.95" customHeight="1">
      <c r="A159" s="92" t="str">
        <f t="shared" si="14"/>
        <v/>
      </c>
      <c r="B159" s="58"/>
      <c r="C159" s="199" t="str">
        <f>IFERROR(VLOOKUP(FORMULACIÓN!B159,Lists!$A$2:$B$6,2,FALSE),"")</f>
        <v/>
      </c>
      <c r="D159" s="58"/>
      <c r="E159" s="58"/>
      <c r="F159" s="58"/>
      <c r="G159" s="58"/>
      <c r="H159" s="58"/>
      <c r="I159" s="58"/>
      <c r="J159" s="63"/>
      <c r="K159" s="58"/>
      <c r="L159" s="58"/>
      <c r="M159" s="58"/>
      <c r="N159" s="58"/>
      <c r="O159" s="58"/>
      <c r="P159" s="63" t="str">
        <f ca="1">IFERROR(IF($J159=Lists!$S$2,SUM(FORMULACIÓN!K159:O159),IF(FORMULACIÓN!$J159=Lists!$S$3,SUM(FORMULACIÓN!L159:O159),IF(FORMULACIÓN!$J159=Lists!$S$4,AVERAGE(FORMULACIÓN!L159:O159),IF(FORMULACIÓN!$J159=Lists!$S$5,OFFSET(K159,0,COUNTA(L159:O159)),IF(FORMULACIÓN!$J159=Lists!$S$6,AVERAGE(FORMULACIÓN!L159:O159),""))))),"")</f>
        <v/>
      </c>
      <c r="Q159" s="51" t="str">
        <f ca="1">IF($I159=Lists!$R$3,TEXT(FORMULACIÓN!P159,"00,00%"),IF(FORMULACIÓN!P159=0,0,TEXT(FORMULACIÓN!P159,"##.###")))</f>
        <v/>
      </c>
      <c r="R159" s="63"/>
      <c r="S159" s="59"/>
      <c r="T159" s="58"/>
      <c r="U159" s="66"/>
      <c r="V159" s="66"/>
      <c r="W159" s="66"/>
      <c r="X159" s="67" t="str">
        <f t="shared" si="10"/>
        <v/>
      </c>
      <c r="Y159" s="66"/>
      <c r="Z159" s="66"/>
      <c r="AA159" s="66"/>
      <c r="AB159" s="67" t="str">
        <f t="shared" si="11"/>
        <v/>
      </c>
      <c r="AC159" s="66"/>
      <c r="AD159" s="66"/>
      <c r="AE159" s="66"/>
      <c r="AF159" s="67" t="str">
        <f t="shared" si="12"/>
        <v/>
      </c>
      <c r="AG159" s="66"/>
      <c r="AH159" s="66"/>
      <c r="AI159" s="66"/>
      <c r="AJ159" s="65" t="str">
        <f t="shared" si="13"/>
        <v/>
      </c>
      <c r="AK159" s="65" t="str">
        <f>IF(SUM(AB159,AF159,X159,AJ159)=0,"",SUM((AB159,AF159,X159,AJ159)))</f>
        <v/>
      </c>
      <c r="AL159" s="20"/>
      <c r="AM159" s="20"/>
      <c r="AN159" s="20"/>
      <c r="AO159" s="20"/>
      <c r="AP159" s="20"/>
      <c r="AQ159" s="20"/>
      <c r="AR159" s="20"/>
      <c r="AS159" s="20"/>
      <c r="AT159" s="20"/>
      <c r="AU159" s="20"/>
      <c r="AV159" s="20"/>
      <c r="AW159" s="20"/>
      <c r="AX159" s="17"/>
      <c r="CG159" s="17"/>
    </row>
    <row r="160" spans="1:85" s="62" customFormat="1" ht="99.95" customHeight="1">
      <c r="A160" s="92" t="str">
        <f t="shared" si="14"/>
        <v/>
      </c>
      <c r="B160" s="58"/>
      <c r="C160" s="199" t="str">
        <f>IFERROR(VLOOKUP(FORMULACIÓN!B160,Lists!$A$2:$B$6,2,FALSE),"")</f>
        <v/>
      </c>
      <c r="D160" s="58"/>
      <c r="E160" s="58"/>
      <c r="F160" s="58"/>
      <c r="G160" s="58"/>
      <c r="H160" s="58"/>
      <c r="I160" s="58"/>
      <c r="J160" s="63"/>
      <c r="K160" s="58"/>
      <c r="L160" s="58"/>
      <c r="M160" s="58"/>
      <c r="N160" s="58"/>
      <c r="O160" s="58"/>
      <c r="P160" s="63" t="str">
        <f ca="1">IFERROR(IF($J160=Lists!$S$2,SUM(FORMULACIÓN!K160:O160),IF(FORMULACIÓN!$J160=Lists!$S$3,SUM(FORMULACIÓN!L160:O160),IF(FORMULACIÓN!$J160=Lists!$S$4,AVERAGE(FORMULACIÓN!L160:O160),IF(FORMULACIÓN!$J160=Lists!$S$5,OFFSET(K160,0,COUNTA(L160:O160)),IF(FORMULACIÓN!$J160=Lists!$S$6,AVERAGE(FORMULACIÓN!L160:O160),""))))),"")</f>
        <v/>
      </c>
      <c r="Q160" s="51" t="str">
        <f ca="1">IF($I160=Lists!$R$3,TEXT(FORMULACIÓN!P160,"00,00%"),IF(FORMULACIÓN!P160=0,0,TEXT(FORMULACIÓN!P160,"##.###")))</f>
        <v/>
      </c>
      <c r="R160" s="63"/>
      <c r="S160" s="59"/>
      <c r="T160" s="58"/>
      <c r="U160" s="66"/>
      <c r="V160" s="66"/>
      <c r="W160" s="66"/>
      <c r="X160" s="67" t="str">
        <f t="shared" si="10"/>
        <v/>
      </c>
      <c r="Y160" s="66"/>
      <c r="Z160" s="66"/>
      <c r="AA160" s="66"/>
      <c r="AB160" s="67" t="str">
        <f t="shared" si="11"/>
        <v/>
      </c>
      <c r="AC160" s="66"/>
      <c r="AD160" s="66"/>
      <c r="AE160" s="66"/>
      <c r="AF160" s="67" t="str">
        <f t="shared" si="12"/>
        <v/>
      </c>
      <c r="AG160" s="66"/>
      <c r="AH160" s="66"/>
      <c r="AI160" s="66"/>
      <c r="AJ160" s="65" t="str">
        <f t="shared" si="13"/>
        <v/>
      </c>
      <c r="AK160" s="65" t="str">
        <f>IF(SUM(AB160,AF160,X160,AJ160)=0,"",SUM((AB160,AF160,X160,AJ160)))</f>
        <v/>
      </c>
      <c r="AL160" s="20"/>
      <c r="AM160" s="20"/>
      <c r="AN160" s="20"/>
      <c r="AO160" s="20"/>
      <c r="AP160" s="20"/>
      <c r="AQ160" s="20"/>
      <c r="AR160" s="20"/>
      <c r="AS160" s="20"/>
      <c r="AT160" s="20"/>
      <c r="AU160" s="20"/>
      <c r="AV160" s="20"/>
      <c r="AW160" s="20"/>
      <c r="AX160" s="17"/>
      <c r="CG160" s="17"/>
    </row>
    <row r="161" spans="1:85" s="62" customFormat="1" ht="99.95" customHeight="1">
      <c r="A161" s="92" t="str">
        <f t="shared" si="14"/>
        <v/>
      </c>
      <c r="B161" s="58"/>
      <c r="C161" s="199" t="str">
        <f>IFERROR(VLOOKUP(FORMULACIÓN!B161,Lists!$A$2:$B$6,2,FALSE),"")</f>
        <v/>
      </c>
      <c r="D161" s="58"/>
      <c r="E161" s="58"/>
      <c r="F161" s="58"/>
      <c r="G161" s="58"/>
      <c r="H161" s="58"/>
      <c r="I161" s="58"/>
      <c r="J161" s="63"/>
      <c r="K161" s="58"/>
      <c r="L161" s="58"/>
      <c r="M161" s="58"/>
      <c r="N161" s="58"/>
      <c r="O161" s="58"/>
      <c r="P161" s="63" t="str">
        <f ca="1">IFERROR(IF($J161=Lists!$S$2,SUM(FORMULACIÓN!K161:O161),IF(FORMULACIÓN!$J161=Lists!$S$3,SUM(FORMULACIÓN!L161:O161),IF(FORMULACIÓN!$J161=Lists!$S$4,AVERAGE(FORMULACIÓN!L161:O161),IF(FORMULACIÓN!$J161=Lists!$S$5,OFFSET(K161,0,COUNTA(L161:O161)),IF(FORMULACIÓN!$J161=Lists!$S$6,AVERAGE(FORMULACIÓN!L161:O161),""))))),"")</f>
        <v/>
      </c>
      <c r="Q161" s="51" t="str">
        <f ca="1">IF($I161=Lists!$R$3,TEXT(FORMULACIÓN!P161,"00,00%"),IF(FORMULACIÓN!P161=0,0,TEXT(FORMULACIÓN!P161,"##.###")))</f>
        <v/>
      </c>
      <c r="R161" s="63"/>
      <c r="S161" s="59"/>
      <c r="T161" s="58"/>
      <c r="U161" s="66"/>
      <c r="V161" s="66"/>
      <c r="W161" s="66"/>
      <c r="X161" s="67" t="str">
        <f t="shared" si="10"/>
        <v/>
      </c>
      <c r="Y161" s="66"/>
      <c r="Z161" s="66"/>
      <c r="AA161" s="66"/>
      <c r="AB161" s="67" t="str">
        <f t="shared" si="11"/>
        <v/>
      </c>
      <c r="AC161" s="66"/>
      <c r="AD161" s="66"/>
      <c r="AE161" s="66"/>
      <c r="AF161" s="67" t="str">
        <f t="shared" si="12"/>
        <v/>
      </c>
      <c r="AG161" s="66"/>
      <c r="AH161" s="66"/>
      <c r="AI161" s="66"/>
      <c r="AJ161" s="65" t="str">
        <f t="shared" si="13"/>
        <v/>
      </c>
      <c r="AK161" s="65" t="str">
        <f>IF(SUM(AB161,AF161,X161,AJ161)=0,"",SUM((AB161,AF161,X161,AJ161)))</f>
        <v/>
      </c>
      <c r="AL161" s="20"/>
      <c r="AM161" s="20"/>
      <c r="AN161" s="20"/>
      <c r="AO161" s="20"/>
      <c r="AP161" s="20"/>
      <c r="AQ161" s="20"/>
      <c r="AR161" s="20"/>
      <c r="AS161" s="20"/>
      <c r="AT161" s="20"/>
      <c r="AU161" s="20"/>
      <c r="AV161" s="20"/>
      <c r="AW161" s="20"/>
      <c r="AX161" s="17"/>
      <c r="CG161" s="17"/>
    </row>
    <row r="162" spans="1:85" s="62" customFormat="1" ht="99.95" customHeight="1">
      <c r="A162" s="92" t="str">
        <f t="shared" si="14"/>
        <v/>
      </c>
      <c r="B162" s="58"/>
      <c r="C162" s="199" t="str">
        <f>IFERROR(VLOOKUP(FORMULACIÓN!B162,Lists!$A$2:$B$6,2,FALSE),"")</f>
        <v/>
      </c>
      <c r="D162" s="58"/>
      <c r="E162" s="58"/>
      <c r="F162" s="58"/>
      <c r="G162" s="58"/>
      <c r="H162" s="58"/>
      <c r="I162" s="58"/>
      <c r="J162" s="63"/>
      <c r="K162" s="58"/>
      <c r="L162" s="58"/>
      <c r="M162" s="58"/>
      <c r="N162" s="58"/>
      <c r="O162" s="58"/>
      <c r="P162" s="63" t="str">
        <f ca="1">IFERROR(IF($J162=Lists!$S$2,SUM(FORMULACIÓN!K162:O162),IF(FORMULACIÓN!$J162=Lists!$S$3,SUM(FORMULACIÓN!L162:O162),IF(FORMULACIÓN!$J162=Lists!$S$4,AVERAGE(FORMULACIÓN!L162:O162),IF(FORMULACIÓN!$J162=Lists!$S$5,OFFSET(K162,0,COUNTA(L162:O162)),IF(FORMULACIÓN!$J162=Lists!$S$6,AVERAGE(FORMULACIÓN!L162:O162),""))))),"")</f>
        <v/>
      </c>
      <c r="Q162" s="51" t="str">
        <f ca="1">IF($I162=Lists!$R$3,TEXT(FORMULACIÓN!P162,"00,00%"),IF(FORMULACIÓN!P162=0,0,TEXT(FORMULACIÓN!P162,"##.###")))</f>
        <v/>
      </c>
      <c r="R162" s="63"/>
      <c r="S162" s="59"/>
      <c r="T162" s="58"/>
      <c r="U162" s="66"/>
      <c r="V162" s="66"/>
      <c r="W162" s="66"/>
      <c r="X162" s="67" t="str">
        <f t="shared" si="10"/>
        <v/>
      </c>
      <c r="Y162" s="66"/>
      <c r="Z162" s="66"/>
      <c r="AA162" s="66"/>
      <c r="AB162" s="67" t="str">
        <f t="shared" si="11"/>
        <v/>
      </c>
      <c r="AC162" s="66"/>
      <c r="AD162" s="66"/>
      <c r="AE162" s="66"/>
      <c r="AF162" s="67" t="str">
        <f t="shared" si="12"/>
        <v/>
      </c>
      <c r="AG162" s="66"/>
      <c r="AH162" s="66"/>
      <c r="AI162" s="66"/>
      <c r="AJ162" s="65" t="str">
        <f t="shared" si="13"/>
        <v/>
      </c>
      <c r="AK162" s="65" t="str">
        <f>IF(SUM(AB162,AF162,X162,AJ162)=0,"",SUM((AB162,AF162,X162,AJ162)))</f>
        <v/>
      </c>
      <c r="AL162" s="20"/>
      <c r="AM162" s="20"/>
      <c r="AN162" s="20"/>
      <c r="AO162" s="20"/>
      <c r="AP162" s="20"/>
      <c r="AQ162" s="20"/>
      <c r="AR162" s="20"/>
      <c r="AS162" s="20"/>
      <c r="AT162" s="20"/>
      <c r="AU162" s="20"/>
      <c r="AV162" s="20"/>
      <c r="AW162" s="20"/>
      <c r="AX162" s="17"/>
      <c r="CG162" s="17"/>
    </row>
    <row r="163" spans="1:85" s="62" customFormat="1" ht="99.95" customHeight="1">
      <c r="A163" s="92" t="str">
        <f t="shared" si="14"/>
        <v/>
      </c>
      <c r="B163" s="58"/>
      <c r="C163" s="199" t="str">
        <f>IFERROR(VLOOKUP(FORMULACIÓN!B163,Lists!$A$2:$B$6,2,FALSE),"")</f>
        <v/>
      </c>
      <c r="D163" s="58"/>
      <c r="E163" s="58"/>
      <c r="F163" s="58"/>
      <c r="G163" s="58"/>
      <c r="H163" s="58"/>
      <c r="I163" s="58"/>
      <c r="J163" s="63"/>
      <c r="K163" s="58"/>
      <c r="L163" s="58"/>
      <c r="M163" s="58"/>
      <c r="N163" s="58"/>
      <c r="O163" s="58"/>
      <c r="P163" s="63" t="str">
        <f ca="1">IFERROR(IF($J163=Lists!$S$2,SUM(FORMULACIÓN!K163:O163),IF(FORMULACIÓN!$J163=Lists!$S$3,SUM(FORMULACIÓN!L163:O163),IF(FORMULACIÓN!$J163=Lists!$S$4,AVERAGE(FORMULACIÓN!L163:O163),IF(FORMULACIÓN!$J163=Lists!$S$5,OFFSET(K163,0,COUNTA(L163:O163)),IF(FORMULACIÓN!$J163=Lists!$S$6,AVERAGE(FORMULACIÓN!L163:O163),""))))),"")</f>
        <v/>
      </c>
      <c r="Q163" s="51" t="str">
        <f ca="1">IF($I163=Lists!$R$3,TEXT(FORMULACIÓN!P163,"00,00%"),IF(FORMULACIÓN!P163=0,0,TEXT(FORMULACIÓN!P163,"##.###")))</f>
        <v/>
      </c>
      <c r="R163" s="63"/>
      <c r="S163" s="59"/>
      <c r="T163" s="58"/>
      <c r="U163" s="66"/>
      <c r="V163" s="66"/>
      <c r="W163" s="66"/>
      <c r="X163" s="67" t="str">
        <f t="shared" si="10"/>
        <v/>
      </c>
      <c r="Y163" s="66"/>
      <c r="Z163" s="66"/>
      <c r="AA163" s="66"/>
      <c r="AB163" s="67" t="str">
        <f t="shared" si="11"/>
        <v/>
      </c>
      <c r="AC163" s="66"/>
      <c r="AD163" s="66"/>
      <c r="AE163" s="66"/>
      <c r="AF163" s="67" t="str">
        <f t="shared" si="12"/>
        <v/>
      </c>
      <c r="AG163" s="66"/>
      <c r="AH163" s="66"/>
      <c r="AI163" s="66"/>
      <c r="AJ163" s="65" t="str">
        <f t="shared" si="13"/>
        <v/>
      </c>
      <c r="AK163" s="65" t="str">
        <f>IF(SUM(AB163,AF163,X163,AJ163)=0,"",SUM((AB163,AF163,X163,AJ163)))</f>
        <v/>
      </c>
      <c r="AL163" s="20"/>
      <c r="AM163" s="20"/>
      <c r="AN163" s="20"/>
      <c r="AO163" s="20"/>
      <c r="AP163" s="20"/>
      <c r="AQ163" s="20"/>
      <c r="AR163" s="20"/>
      <c r="AS163" s="20"/>
      <c r="AT163" s="20"/>
      <c r="AU163" s="20"/>
      <c r="AV163" s="20"/>
      <c r="AW163" s="20"/>
      <c r="AX163" s="17"/>
      <c r="CG163" s="17"/>
    </row>
    <row r="164" spans="1:85" s="62" customFormat="1" ht="99.95" customHeight="1">
      <c r="A164" s="92" t="str">
        <f t="shared" si="14"/>
        <v/>
      </c>
      <c r="B164" s="58"/>
      <c r="C164" s="199" t="str">
        <f>IFERROR(VLOOKUP(FORMULACIÓN!B164,Lists!$A$2:$B$6,2,FALSE),"")</f>
        <v/>
      </c>
      <c r="D164" s="58"/>
      <c r="E164" s="58"/>
      <c r="F164" s="58"/>
      <c r="G164" s="58"/>
      <c r="H164" s="58"/>
      <c r="I164" s="58"/>
      <c r="J164" s="63"/>
      <c r="K164" s="58"/>
      <c r="L164" s="58"/>
      <c r="M164" s="58"/>
      <c r="N164" s="58"/>
      <c r="O164" s="58"/>
      <c r="P164" s="63" t="str">
        <f ca="1">IFERROR(IF($J164=Lists!$S$2,SUM(FORMULACIÓN!K164:O164),IF(FORMULACIÓN!$J164=Lists!$S$3,SUM(FORMULACIÓN!L164:O164),IF(FORMULACIÓN!$J164=Lists!$S$4,AVERAGE(FORMULACIÓN!L164:O164),IF(FORMULACIÓN!$J164=Lists!$S$5,OFFSET(K164,0,COUNTA(L164:O164)),IF(FORMULACIÓN!$J164=Lists!$S$6,AVERAGE(FORMULACIÓN!L164:O164),""))))),"")</f>
        <v/>
      </c>
      <c r="Q164" s="51" t="str">
        <f ca="1">IF($I164=Lists!$R$3,TEXT(FORMULACIÓN!P164,"00,00%"),IF(FORMULACIÓN!P164=0,0,TEXT(FORMULACIÓN!P164,"##.###")))</f>
        <v/>
      </c>
      <c r="R164" s="63"/>
      <c r="S164" s="59"/>
      <c r="T164" s="58"/>
      <c r="U164" s="66"/>
      <c r="V164" s="66"/>
      <c r="W164" s="66"/>
      <c r="X164" s="67" t="str">
        <f t="shared" si="10"/>
        <v/>
      </c>
      <c r="Y164" s="66"/>
      <c r="Z164" s="66"/>
      <c r="AA164" s="66"/>
      <c r="AB164" s="67" t="str">
        <f t="shared" si="11"/>
        <v/>
      </c>
      <c r="AC164" s="66"/>
      <c r="AD164" s="66"/>
      <c r="AE164" s="66"/>
      <c r="AF164" s="67" t="str">
        <f t="shared" si="12"/>
        <v/>
      </c>
      <c r="AG164" s="66"/>
      <c r="AH164" s="66"/>
      <c r="AI164" s="66"/>
      <c r="AJ164" s="65" t="str">
        <f t="shared" si="13"/>
        <v/>
      </c>
      <c r="AK164" s="65" t="str">
        <f>IF(SUM(AB164,AF164,X164,AJ164)=0,"",SUM((AB164,AF164,X164,AJ164)))</f>
        <v/>
      </c>
      <c r="AL164" s="20"/>
      <c r="AM164" s="20"/>
      <c r="AN164" s="20"/>
      <c r="AO164" s="20"/>
      <c r="AP164" s="20"/>
      <c r="AQ164" s="20"/>
      <c r="AR164" s="20"/>
      <c r="AS164" s="20"/>
      <c r="AT164" s="20"/>
      <c r="AU164" s="20"/>
      <c r="AV164" s="20"/>
      <c r="AW164" s="20"/>
      <c r="AX164" s="17"/>
      <c r="CG164" s="17"/>
    </row>
    <row r="165" spans="1:85" s="62" customFormat="1" ht="99.95" customHeight="1">
      <c r="A165" s="92" t="str">
        <f t="shared" si="14"/>
        <v/>
      </c>
      <c r="B165" s="58"/>
      <c r="C165" s="199" t="str">
        <f>IFERROR(VLOOKUP(FORMULACIÓN!B165,Lists!$A$2:$B$6,2,FALSE),"")</f>
        <v/>
      </c>
      <c r="D165" s="58"/>
      <c r="E165" s="58"/>
      <c r="F165" s="58"/>
      <c r="G165" s="58"/>
      <c r="H165" s="58"/>
      <c r="I165" s="58"/>
      <c r="J165" s="63"/>
      <c r="K165" s="58"/>
      <c r="L165" s="58"/>
      <c r="M165" s="58"/>
      <c r="N165" s="58"/>
      <c r="O165" s="58"/>
      <c r="P165" s="63" t="str">
        <f ca="1">IFERROR(IF($J165=Lists!$S$2,SUM(FORMULACIÓN!K165:O165),IF(FORMULACIÓN!$J165=Lists!$S$3,SUM(FORMULACIÓN!L165:O165),IF(FORMULACIÓN!$J165=Lists!$S$4,AVERAGE(FORMULACIÓN!L165:O165),IF(FORMULACIÓN!$J165=Lists!$S$5,OFFSET(K165,0,COUNTA(L165:O165)),IF(FORMULACIÓN!$J165=Lists!$S$6,AVERAGE(FORMULACIÓN!L165:O165),""))))),"")</f>
        <v/>
      </c>
      <c r="Q165" s="51" t="str">
        <f ca="1">IF($I165=Lists!$R$3,TEXT(FORMULACIÓN!P165,"00,00%"),IF(FORMULACIÓN!P165=0,0,TEXT(FORMULACIÓN!P165,"##.###")))</f>
        <v/>
      </c>
      <c r="R165" s="63"/>
      <c r="S165" s="59"/>
      <c r="T165" s="58"/>
      <c r="U165" s="66"/>
      <c r="V165" s="66"/>
      <c r="W165" s="66"/>
      <c r="X165" s="67" t="str">
        <f t="shared" si="10"/>
        <v/>
      </c>
      <c r="Y165" s="66"/>
      <c r="Z165" s="66"/>
      <c r="AA165" s="66"/>
      <c r="AB165" s="67" t="str">
        <f t="shared" si="11"/>
        <v/>
      </c>
      <c r="AC165" s="66"/>
      <c r="AD165" s="66"/>
      <c r="AE165" s="66"/>
      <c r="AF165" s="67" t="str">
        <f t="shared" si="12"/>
        <v/>
      </c>
      <c r="AG165" s="66"/>
      <c r="AH165" s="66"/>
      <c r="AI165" s="66"/>
      <c r="AJ165" s="65" t="str">
        <f t="shared" si="13"/>
        <v/>
      </c>
      <c r="AK165" s="65" t="str">
        <f>IF(SUM(AB165,AF165,X165,AJ165)=0,"",SUM((AB165,AF165,X165,AJ165)))</f>
        <v/>
      </c>
      <c r="AL165" s="20"/>
      <c r="AM165" s="20"/>
      <c r="AN165" s="20"/>
      <c r="AO165" s="20"/>
      <c r="AP165" s="20"/>
      <c r="AQ165" s="20"/>
      <c r="AR165" s="20"/>
      <c r="AS165" s="20"/>
      <c r="AT165" s="20"/>
      <c r="AU165" s="20"/>
      <c r="AV165" s="20"/>
      <c r="AW165" s="20"/>
      <c r="AX165" s="17"/>
      <c r="CG165" s="17"/>
    </row>
    <row r="166" spans="1:85" s="62" customFormat="1" ht="99.95" customHeight="1">
      <c r="A166" s="92" t="str">
        <f t="shared" si="14"/>
        <v/>
      </c>
      <c r="B166" s="58"/>
      <c r="C166" s="199" t="str">
        <f>IFERROR(VLOOKUP(FORMULACIÓN!B166,Lists!$A$2:$B$6,2,FALSE),"")</f>
        <v/>
      </c>
      <c r="D166" s="58"/>
      <c r="E166" s="58"/>
      <c r="F166" s="58"/>
      <c r="G166" s="58"/>
      <c r="H166" s="58"/>
      <c r="I166" s="58"/>
      <c r="J166" s="63"/>
      <c r="K166" s="58"/>
      <c r="L166" s="58"/>
      <c r="M166" s="58"/>
      <c r="N166" s="58"/>
      <c r="O166" s="58"/>
      <c r="P166" s="63" t="str">
        <f ca="1">IFERROR(IF($J166=Lists!$S$2,SUM(FORMULACIÓN!K166:O166),IF(FORMULACIÓN!$J166=Lists!$S$3,SUM(FORMULACIÓN!L166:O166),IF(FORMULACIÓN!$J166=Lists!$S$4,AVERAGE(FORMULACIÓN!L166:O166),IF(FORMULACIÓN!$J166=Lists!$S$5,OFFSET(K166,0,COUNTA(L166:O166)),IF(FORMULACIÓN!$J166=Lists!$S$6,AVERAGE(FORMULACIÓN!L166:O166),""))))),"")</f>
        <v/>
      </c>
      <c r="Q166" s="51" t="str">
        <f ca="1">IF($I166=Lists!$R$3,TEXT(FORMULACIÓN!P166,"00,00%"),IF(FORMULACIÓN!P166=0,0,TEXT(FORMULACIÓN!P166,"##.###")))</f>
        <v/>
      </c>
      <c r="R166" s="63"/>
      <c r="S166" s="59"/>
      <c r="T166" s="58"/>
      <c r="U166" s="66"/>
      <c r="V166" s="66"/>
      <c r="W166" s="66"/>
      <c r="X166" s="67" t="str">
        <f t="shared" si="10"/>
        <v/>
      </c>
      <c r="Y166" s="66"/>
      <c r="Z166" s="66"/>
      <c r="AA166" s="66"/>
      <c r="AB166" s="67" t="str">
        <f t="shared" si="11"/>
        <v/>
      </c>
      <c r="AC166" s="66"/>
      <c r="AD166" s="66"/>
      <c r="AE166" s="66"/>
      <c r="AF166" s="67" t="str">
        <f t="shared" si="12"/>
        <v/>
      </c>
      <c r="AG166" s="66"/>
      <c r="AH166" s="66"/>
      <c r="AI166" s="66"/>
      <c r="AJ166" s="65" t="str">
        <f t="shared" si="13"/>
        <v/>
      </c>
      <c r="AK166" s="65" t="str">
        <f>IF(SUM(AB166,AF166,X166,AJ166)=0,"",SUM((AB166,AF166,X166,AJ166)))</f>
        <v/>
      </c>
      <c r="AL166" s="20"/>
      <c r="AM166" s="20"/>
      <c r="AN166" s="20"/>
      <c r="AO166" s="20"/>
      <c r="AP166" s="20"/>
      <c r="AQ166" s="20"/>
      <c r="AR166" s="20"/>
      <c r="AS166" s="20"/>
      <c r="AT166" s="20"/>
      <c r="AU166" s="20"/>
      <c r="AV166" s="20"/>
      <c r="AW166" s="20"/>
      <c r="AX166" s="17"/>
      <c r="CG166" s="17"/>
    </row>
    <row r="167" spans="1:85" s="62" customFormat="1" ht="99.95" customHeight="1">
      <c r="A167" s="92" t="str">
        <f t="shared" si="14"/>
        <v/>
      </c>
      <c r="B167" s="58"/>
      <c r="C167" s="199" t="str">
        <f>IFERROR(VLOOKUP(FORMULACIÓN!B167,Lists!$A$2:$B$6,2,FALSE),"")</f>
        <v/>
      </c>
      <c r="D167" s="58"/>
      <c r="E167" s="58"/>
      <c r="F167" s="58"/>
      <c r="G167" s="58"/>
      <c r="H167" s="58"/>
      <c r="I167" s="58"/>
      <c r="J167" s="63"/>
      <c r="K167" s="58"/>
      <c r="L167" s="58"/>
      <c r="M167" s="58"/>
      <c r="N167" s="58"/>
      <c r="O167" s="58"/>
      <c r="P167" s="63" t="str">
        <f ca="1">IFERROR(IF($J167=Lists!$S$2,SUM(FORMULACIÓN!K167:O167),IF(FORMULACIÓN!$J167=Lists!$S$3,SUM(FORMULACIÓN!L167:O167),IF(FORMULACIÓN!$J167=Lists!$S$4,AVERAGE(FORMULACIÓN!L167:O167),IF(FORMULACIÓN!$J167=Lists!$S$5,OFFSET(K167,0,COUNTA(L167:O167)),IF(FORMULACIÓN!$J167=Lists!$S$6,AVERAGE(FORMULACIÓN!L167:O167),""))))),"")</f>
        <v/>
      </c>
      <c r="Q167" s="51" t="str">
        <f ca="1">IF($I167=Lists!$R$3,TEXT(FORMULACIÓN!P167,"00,00%"),IF(FORMULACIÓN!P167=0,0,TEXT(FORMULACIÓN!P167,"##.###")))</f>
        <v/>
      </c>
      <c r="R167" s="63"/>
      <c r="S167" s="59"/>
      <c r="T167" s="58"/>
      <c r="U167" s="66"/>
      <c r="V167" s="66"/>
      <c r="W167" s="66"/>
      <c r="X167" s="67" t="str">
        <f t="shared" si="10"/>
        <v/>
      </c>
      <c r="Y167" s="66"/>
      <c r="Z167" s="66"/>
      <c r="AA167" s="66"/>
      <c r="AB167" s="67" t="str">
        <f t="shared" si="11"/>
        <v/>
      </c>
      <c r="AC167" s="66"/>
      <c r="AD167" s="66"/>
      <c r="AE167" s="66"/>
      <c r="AF167" s="67" t="str">
        <f t="shared" si="12"/>
        <v/>
      </c>
      <c r="AG167" s="66"/>
      <c r="AH167" s="66"/>
      <c r="AI167" s="66"/>
      <c r="AJ167" s="65" t="str">
        <f t="shared" si="13"/>
        <v/>
      </c>
      <c r="AK167" s="65" t="str">
        <f>IF(SUM(AB167,AF167,X167,AJ167)=0,"",SUM((AB167,AF167,X167,AJ167)))</f>
        <v/>
      </c>
      <c r="AL167" s="20"/>
      <c r="AM167" s="20"/>
      <c r="AN167" s="20"/>
      <c r="AO167" s="20"/>
      <c r="AP167" s="20"/>
      <c r="AQ167" s="20"/>
      <c r="AR167" s="20"/>
      <c r="AS167" s="20"/>
      <c r="AT167" s="20"/>
      <c r="AU167" s="20"/>
      <c r="AV167" s="20"/>
      <c r="AW167" s="20"/>
      <c r="AX167" s="17"/>
      <c r="CG167" s="17"/>
    </row>
    <row r="168" spans="1:85" s="62" customFormat="1" ht="99.95" customHeight="1">
      <c r="A168" s="92" t="str">
        <f t="shared" si="14"/>
        <v/>
      </c>
      <c r="B168" s="58"/>
      <c r="C168" s="199" t="str">
        <f>IFERROR(VLOOKUP(FORMULACIÓN!B168,Lists!$A$2:$B$6,2,FALSE),"")</f>
        <v/>
      </c>
      <c r="D168" s="58"/>
      <c r="E168" s="58"/>
      <c r="F168" s="58"/>
      <c r="G168" s="58"/>
      <c r="H168" s="58"/>
      <c r="I168" s="58"/>
      <c r="J168" s="63"/>
      <c r="K168" s="58"/>
      <c r="L168" s="58"/>
      <c r="M168" s="58"/>
      <c r="N168" s="58"/>
      <c r="O168" s="58"/>
      <c r="P168" s="63" t="str">
        <f ca="1">IFERROR(IF($J168=Lists!$S$2,SUM(FORMULACIÓN!K168:O168),IF(FORMULACIÓN!$J168=Lists!$S$3,SUM(FORMULACIÓN!L168:O168),IF(FORMULACIÓN!$J168=Lists!$S$4,AVERAGE(FORMULACIÓN!L168:O168),IF(FORMULACIÓN!$J168=Lists!$S$5,OFFSET(K168,0,COUNTA(L168:O168)),IF(FORMULACIÓN!$J168=Lists!$S$6,AVERAGE(FORMULACIÓN!L168:O168),""))))),"")</f>
        <v/>
      </c>
      <c r="Q168" s="51" t="str">
        <f ca="1">IF($I168=Lists!$R$3,TEXT(FORMULACIÓN!P168,"00,00%"),IF(FORMULACIÓN!P168=0,0,TEXT(FORMULACIÓN!P168,"##.###")))</f>
        <v/>
      </c>
      <c r="R168" s="63"/>
      <c r="S168" s="59"/>
      <c r="T168" s="58"/>
      <c r="U168" s="66"/>
      <c r="V168" s="66"/>
      <c r="W168" s="66"/>
      <c r="X168" s="67" t="str">
        <f t="shared" si="10"/>
        <v/>
      </c>
      <c r="Y168" s="66"/>
      <c r="Z168" s="66"/>
      <c r="AA168" s="66"/>
      <c r="AB168" s="67" t="str">
        <f t="shared" si="11"/>
        <v/>
      </c>
      <c r="AC168" s="66"/>
      <c r="AD168" s="66"/>
      <c r="AE168" s="66"/>
      <c r="AF168" s="67" t="str">
        <f t="shared" si="12"/>
        <v/>
      </c>
      <c r="AG168" s="66"/>
      <c r="AH168" s="66"/>
      <c r="AI168" s="66"/>
      <c r="AJ168" s="65" t="str">
        <f t="shared" si="13"/>
        <v/>
      </c>
      <c r="AK168" s="65" t="str">
        <f>IF(SUM(AB168,AF168,X168,AJ168)=0,"",SUM((AB168,AF168,X168,AJ168)))</f>
        <v/>
      </c>
      <c r="AL168" s="20"/>
      <c r="AM168" s="20"/>
      <c r="AN168" s="20"/>
      <c r="AO168" s="20"/>
      <c r="AP168" s="20"/>
      <c r="AQ168" s="20"/>
      <c r="AR168" s="20"/>
      <c r="AS168" s="20"/>
      <c r="AT168" s="20"/>
      <c r="AU168" s="20"/>
      <c r="AV168" s="20"/>
      <c r="AW168" s="20"/>
      <c r="AX168" s="17"/>
      <c r="CG168" s="17"/>
    </row>
    <row r="169" spans="1:85" s="62" customFormat="1" ht="99.95" customHeight="1">
      <c r="A169" s="92" t="str">
        <f t="shared" si="14"/>
        <v/>
      </c>
      <c r="B169" s="58"/>
      <c r="C169" s="199" t="str">
        <f>IFERROR(VLOOKUP(FORMULACIÓN!B169,Lists!$A$2:$B$6,2,FALSE),"")</f>
        <v/>
      </c>
      <c r="D169" s="58"/>
      <c r="E169" s="58"/>
      <c r="F169" s="58"/>
      <c r="G169" s="58"/>
      <c r="H169" s="58"/>
      <c r="I169" s="58"/>
      <c r="J169" s="63"/>
      <c r="K169" s="58"/>
      <c r="L169" s="58"/>
      <c r="M169" s="58"/>
      <c r="N169" s="58"/>
      <c r="O169" s="58"/>
      <c r="P169" s="63" t="str">
        <f ca="1">IFERROR(IF($J169=Lists!$S$2,SUM(FORMULACIÓN!K169:O169),IF(FORMULACIÓN!$J169=Lists!$S$3,SUM(FORMULACIÓN!L169:O169),IF(FORMULACIÓN!$J169=Lists!$S$4,AVERAGE(FORMULACIÓN!L169:O169),IF(FORMULACIÓN!$J169=Lists!$S$5,OFFSET(K169,0,COUNTA(L169:O169)),IF(FORMULACIÓN!$J169=Lists!$S$6,AVERAGE(FORMULACIÓN!L169:O169),""))))),"")</f>
        <v/>
      </c>
      <c r="Q169" s="51" t="str">
        <f ca="1">IF($I169=Lists!$R$3,TEXT(FORMULACIÓN!P169,"00,00%"),IF(FORMULACIÓN!P169=0,0,TEXT(FORMULACIÓN!P169,"##.###")))</f>
        <v/>
      </c>
      <c r="R169" s="63"/>
      <c r="S169" s="59"/>
      <c r="T169" s="58"/>
      <c r="U169" s="66"/>
      <c r="V169" s="66"/>
      <c r="W169" s="66"/>
      <c r="X169" s="67" t="str">
        <f t="shared" si="10"/>
        <v/>
      </c>
      <c r="Y169" s="66"/>
      <c r="Z169" s="66"/>
      <c r="AA169" s="66"/>
      <c r="AB169" s="67" t="str">
        <f t="shared" si="11"/>
        <v/>
      </c>
      <c r="AC169" s="66"/>
      <c r="AD169" s="66"/>
      <c r="AE169" s="66"/>
      <c r="AF169" s="67" t="str">
        <f t="shared" si="12"/>
        <v/>
      </c>
      <c r="AG169" s="66"/>
      <c r="AH169" s="66"/>
      <c r="AI169" s="66"/>
      <c r="AJ169" s="65" t="str">
        <f t="shared" si="13"/>
        <v/>
      </c>
      <c r="AK169" s="65" t="str">
        <f>IF(SUM(AB169,AF169,X169,AJ169)=0,"",SUM((AB169,AF169,X169,AJ169)))</f>
        <v/>
      </c>
      <c r="AL169" s="20"/>
      <c r="AM169" s="20"/>
      <c r="AN169" s="20"/>
      <c r="AO169" s="20"/>
      <c r="AP169" s="20"/>
      <c r="AQ169" s="20"/>
      <c r="AR169" s="20"/>
      <c r="AS169" s="20"/>
      <c r="AT169" s="20"/>
      <c r="AU169" s="20"/>
      <c r="AV169" s="20"/>
      <c r="AW169" s="20"/>
      <c r="AX169" s="17"/>
      <c r="CG169" s="17"/>
    </row>
    <row r="170" spans="1:85" s="62" customFormat="1" ht="99.95" customHeight="1">
      <c r="A170" s="92" t="str">
        <f t="shared" si="14"/>
        <v/>
      </c>
      <c r="B170" s="58"/>
      <c r="C170" s="199" t="str">
        <f>IFERROR(VLOOKUP(FORMULACIÓN!B170,Lists!$A$2:$B$6,2,FALSE),"")</f>
        <v/>
      </c>
      <c r="D170" s="58"/>
      <c r="E170" s="58"/>
      <c r="F170" s="58"/>
      <c r="G170" s="58"/>
      <c r="H170" s="58"/>
      <c r="I170" s="58"/>
      <c r="J170" s="63"/>
      <c r="K170" s="58"/>
      <c r="L170" s="58"/>
      <c r="M170" s="58"/>
      <c r="N170" s="58"/>
      <c r="O170" s="58"/>
      <c r="P170" s="63" t="str">
        <f ca="1">IFERROR(IF($J170=Lists!$S$2,SUM(FORMULACIÓN!K170:O170),IF(FORMULACIÓN!$J170=Lists!$S$3,SUM(FORMULACIÓN!L170:O170),IF(FORMULACIÓN!$J170=Lists!$S$4,AVERAGE(FORMULACIÓN!L170:O170),IF(FORMULACIÓN!$J170=Lists!$S$5,OFFSET(K170,0,COUNTA(L170:O170)),IF(FORMULACIÓN!$J170=Lists!$S$6,AVERAGE(FORMULACIÓN!L170:O170),""))))),"")</f>
        <v/>
      </c>
      <c r="Q170" s="51" t="str">
        <f ca="1">IF($I170=Lists!$R$3,TEXT(FORMULACIÓN!P170,"00,00%"),IF(FORMULACIÓN!P170=0,0,TEXT(FORMULACIÓN!P170,"##.###")))</f>
        <v/>
      </c>
      <c r="R170" s="63"/>
      <c r="S170" s="59"/>
      <c r="T170" s="58"/>
      <c r="U170" s="66"/>
      <c r="V170" s="66"/>
      <c r="W170" s="66"/>
      <c r="X170" s="67" t="str">
        <f t="shared" si="10"/>
        <v/>
      </c>
      <c r="Y170" s="66"/>
      <c r="Z170" s="66"/>
      <c r="AA170" s="66"/>
      <c r="AB170" s="67" t="str">
        <f t="shared" si="11"/>
        <v/>
      </c>
      <c r="AC170" s="66"/>
      <c r="AD170" s="66"/>
      <c r="AE170" s="66"/>
      <c r="AF170" s="67" t="str">
        <f t="shared" si="12"/>
        <v/>
      </c>
      <c r="AG170" s="66"/>
      <c r="AH170" s="66"/>
      <c r="AI170" s="66"/>
      <c r="AJ170" s="65" t="str">
        <f t="shared" si="13"/>
        <v/>
      </c>
      <c r="AK170" s="65" t="str">
        <f>IF(SUM(AB170,AF170,X170,AJ170)=0,"",SUM((AB170,AF170,X170,AJ170)))</f>
        <v/>
      </c>
      <c r="AL170" s="20"/>
      <c r="AM170" s="20"/>
      <c r="AN170" s="20"/>
      <c r="AO170" s="20"/>
      <c r="AP170" s="20"/>
      <c r="AQ170" s="20"/>
      <c r="AR170" s="20"/>
      <c r="AS170" s="20"/>
      <c r="AT170" s="20"/>
      <c r="AU170" s="20"/>
      <c r="AV170" s="20"/>
      <c r="AW170" s="20"/>
      <c r="AX170" s="17"/>
      <c r="CG170" s="17"/>
    </row>
    <row r="171" spans="1:85" s="62" customFormat="1" ht="99.95" customHeight="1">
      <c r="A171" s="92" t="str">
        <f t="shared" si="14"/>
        <v/>
      </c>
      <c r="B171" s="58"/>
      <c r="C171" s="199" t="str">
        <f>IFERROR(VLOOKUP(FORMULACIÓN!B171,Lists!$A$2:$B$6,2,FALSE),"")</f>
        <v/>
      </c>
      <c r="D171" s="58"/>
      <c r="E171" s="58"/>
      <c r="F171" s="58"/>
      <c r="G171" s="58"/>
      <c r="H171" s="58"/>
      <c r="I171" s="58"/>
      <c r="J171" s="63"/>
      <c r="K171" s="58"/>
      <c r="L171" s="58"/>
      <c r="M171" s="58"/>
      <c r="N171" s="58"/>
      <c r="O171" s="58"/>
      <c r="P171" s="63" t="str">
        <f ca="1">IFERROR(IF($J171=Lists!$S$2,SUM(FORMULACIÓN!K171:O171),IF(FORMULACIÓN!$J171=Lists!$S$3,SUM(FORMULACIÓN!L171:O171),IF(FORMULACIÓN!$J171=Lists!$S$4,AVERAGE(FORMULACIÓN!L171:O171),IF(FORMULACIÓN!$J171=Lists!$S$5,OFFSET(K171,0,COUNTA(L171:O171)),IF(FORMULACIÓN!$J171=Lists!$S$6,AVERAGE(FORMULACIÓN!L171:O171),""))))),"")</f>
        <v/>
      </c>
      <c r="Q171" s="51" t="str">
        <f ca="1">IF($I171=Lists!$R$3,TEXT(FORMULACIÓN!P171,"00,00%"),IF(FORMULACIÓN!P171=0,0,TEXT(FORMULACIÓN!P171,"##.###")))</f>
        <v/>
      </c>
      <c r="R171" s="63"/>
      <c r="S171" s="59"/>
      <c r="T171" s="58"/>
      <c r="U171" s="66"/>
      <c r="V171" s="66"/>
      <c r="W171" s="66"/>
      <c r="X171" s="67" t="str">
        <f t="shared" si="10"/>
        <v/>
      </c>
      <c r="Y171" s="66"/>
      <c r="Z171" s="66"/>
      <c r="AA171" s="66"/>
      <c r="AB171" s="67" t="str">
        <f t="shared" si="11"/>
        <v/>
      </c>
      <c r="AC171" s="66"/>
      <c r="AD171" s="66"/>
      <c r="AE171" s="66"/>
      <c r="AF171" s="67" t="str">
        <f t="shared" si="12"/>
        <v/>
      </c>
      <c r="AG171" s="66"/>
      <c r="AH171" s="66"/>
      <c r="AI171" s="66"/>
      <c r="AJ171" s="65" t="str">
        <f t="shared" si="13"/>
        <v/>
      </c>
      <c r="AK171" s="65" t="str">
        <f>IF(SUM(AB171,AF171,X171,AJ171)=0,"",SUM((AB171,AF171,X171,AJ171)))</f>
        <v/>
      </c>
      <c r="AL171" s="20"/>
      <c r="AM171" s="20"/>
      <c r="AN171" s="20"/>
      <c r="AO171" s="20"/>
      <c r="AP171" s="20"/>
      <c r="AQ171" s="20"/>
      <c r="AR171" s="20"/>
      <c r="AS171" s="20"/>
      <c r="AT171" s="20"/>
      <c r="AU171" s="20"/>
      <c r="AV171" s="20"/>
      <c r="AW171" s="20"/>
      <c r="AX171" s="17"/>
      <c r="CG171" s="17"/>
    </row>
    <row r="172" spans="1:85" s="62" customFormat="1" ht="99.95" customHeight="1">
      <c r="A172" s="92" t="str">
        <f t="shared" si="14"/>
        <v/>
      </c>
      <c r="B172" s="58"/>
      <c r="C172" s="199" t="str">
        <f>IFERROR(VLOOKUP(FORMULACIÓN!B172,Lists!$A$2:$B$6,2,FALSE),"")</f>
        <v/>
      </c>
      <c r="D172" s="58"/>
      <c r="E172" s="58"/>
      <c r="F172" s="58"/>
      <c r="G172" s="58"/>
      <c r="H172" s="58"/>
      <c r="I172" s="58"/>
      <c r="J172" s="63"/>
      <c r="K172" s="58"/>
      <c r="L172" s="58"/>
      <c r="M172" s="58"/>
      <c r="N172" s="58"/>
      <c r="O172" s="58"/>
      <c r="P172" s="63" t="str">
        <f ca="1">IFERROR(IF($J172=Lists!$S$2,SUM(FORMULACIÓN!K172:O172),IF(FORMULACIÓN!$J172=Lists!$S$3,SUM(FORMULACIÓN!L172:O172),IF(FORMULACIÓN!$J172=Lists!$S$4,AVERAGE(FORMULACIÓN!L172:O172),IF(FORMULACIÓN!$J172=Lists!$S$5,OFFSET(K172,0,COUNTA(L172:O172)),IF(FORMULACIÓN!$J172=Lists!$S$6,AVERAGE(FORMULACIÓN!L172:O172),""))))),"")</f>
        <v/>
      </c>
      <c r="Q172" s="51" t="str">
        <f ca="1">IF($I172=Lists!$R$3,TEXT(FORMULACIÓN!P172,"00,00%"),IF(FORMULACIÓN!P172=0,0,TEXT(FORMULACIÓN!P172,"##.###")))</f>
        <v/>
      </c>
      <c r="R172" s="63"/>
      <c r="S172" s="59"/>
      <c r="T172" s="58"/>
      <c r="U172" s="66"/>
      <c r="V172" s="66"/>
      <c r="W172" s="66"/>
      <c r="X172" s="67" t="str">
        <f t="shared" si="10"/>
        <v/>
      </c>
      <c r="Y172" s="66"/>
      <c r="Z172" s="66"/>
      <c r="AA172" s="66"/>
      <c r="AB172" s="67" t="str">
        <f t="shared" si="11"/>
        <v/>
      </c>
      <c r="AC172" s="66"/>
      <c r="AD172" s="66"/>
      <c r="AE172" s="66"/>
      <c r="AF172" s="67" t="str">
        <f t="shared" si="12"/>
        <v/>
      </c>
      <c r="AG172" s="66"/>
      <c r="AH172" s="66"/>
      <c r="AI172" s="66"/>
      <c r="AJ172" s="65" t="str">
        <f t="shared" si="13"/>
        <v/>
      </c>
      <c r="AK172" s="65" t="str">
        <f>IF(SUM(AB172,AF172,X172,AJ172)=0,"",SUM((AB172,AF172,X172,AJ172)))</f>
        <v/>
      </c>
      <c r="AL172" s="20"/>
      <c r="AM172" s="20"/>
      <c r="AN172" s="20"/>
      <c r="AO172" s="20"/>
      <c r="AP172" s="20"/>
      <c r="AQ172" s="20"/>
      <c r="AR172" s="20"/>
      <c r="AS172" s="20"/>
      <c r="AT172" s="20"/>
      <c r="AU172" s="20"/>
      <c r="AV172" s="20"/>
      <c r="AW172" s="20"/>
      <c r="AX172" s="17"/>
      <c r="CG172" s="17"/>
    </row>
    <row r="173" spans="1:85" s="62" customFormat="1" ht="99.95" customHeight="1">
      <c r="A173" s="92" t="str">
        <f t="shared" si="14"/>
        <v/>
      </c>
      <c r="B173" s="58"/>
      <c r="C173" s="199" t="str">
        <f>IFERROR(VLOOKUP(FORMULACIÓN!B173,Lists!$A$2:$B$6,2,FALSE),"")</f>
        <v/>
      </c>
      <c r="D173" s="58"/>
      <c r="E173" s="58"/>
      <c r="F173" s="58"/>
      <c r="G173" s="58"/>
      <c r="H173" s="58"/>
      <c r="I173" s="58"/>
      <c r="J173" s="63"/>
      <c r="K173" s="58"/>
      <c r="L173" s="58"/>
      <c r="M173" s="58"/>
      <c r="N173" s="58"/>
      <c r="O173" s="58"/>
      <c r="P173" s="63" t="str">
        <f ca="1">IFERROR(IF($J173=Lists!$S$2,SUM(FORMULACIÓN!K173:O173),IF(FORMULACIÓN!$J173=Lists!$S$3,SUM(FORMULACIÓN!L173:O173),IF(FORMULACIÓN!$J173=Lists!$S$4,AVERAGE(FORMULACIÓN!L173:O173),IF(FORMULACIÓN!$J173=Lists!$S$5,OFFSET(K173,0,COUNTA(L173:O173)),IF(FORMULACIÓN!$J173=Lists!$S$6,AVERAGE(FORMULACIÓN!L173:O173),""))))),"")</f>
        <v/>
      </c>
      <c r="Q173" s="51" t="str">
        <f ca="1">IF($I173=Lists!$R$3,TEXT(FORMULACIÓN!P173,"00,00%"),IF(FORMULACIÓN!P173=0,0,TEXT(FORMULACIÓN!P173,"##.###")))</f>
        <v/>
      </c>
      <c r="R173" s="63"/>
      <c r="S173" s="59"/>
      <c r="T173" s="58"/>
      <c r="U173" s="66"/>
      <c r="V173" s="66"/>
      <c r="W173" s="66"/>
      <c r="X173" s="67" t="str">
        <f t="shared" si="10"/>
        <v/>
      </c>
      <c r="Y173" s="66"/>
      <c r="Z173" s="66"/>
      <c r="AA173" s="66"/>
      <c r="AB173" s="67" t="str">
        <f t="shared" si="11"/>
        <v/>
      </c>
      <c r="AC173" s="66"/>
      <c r="AD173" s="66"/>
      <c r="AE173" s="66"/>
      <c r="AF173" s="67" t="str">
        <f t="shared" si="12"/>
        <v/>
      </c>
      <c r="AG173" s="66"/>
      <c r="AH173" s="66"/>
      <c r="AI173" s="66"/>
      <c r="AJ173" s="65" t="str">
        <f t="shared" si="13"/>
        <v/>
      </c>
      <c r="AK173" s="65" t="str">
        <f>IF(SUM(AB173,AF173,X173,AJ173)=0,"",SUM((AB173,AF173,X173,AJ173)))</f>
        <v/>
      </c>
      <c r="AL173" s="20"/>
      <c r="AM173" s="20"/>
      <c r="AN173" s="20"/>
      <c r="AO173" s="20"/>
      <c r="AP173" s="20"/>
      <c r="AQ173" s="20"/>
      <c r="AR173" s="20"/>
      <c r="AS173" s="20"/>
      <c r="AT173" s="20"/>
      <c r="AU173" s="20"/>
      <c r="AV173" s="20"/>
      <c r="AW173" s="20"/>
      <c r="AX173" s="17"/>
      <c r="CG173" s="17"/>
    </row>
    <row r="174" spans="1:85" s="62" customFormat="1" ht="99.95" customHeight="1">
      <c r="A174" s="92" t="str">
        <f t="shared" si="14"/>
        <v/>
      </c>
      <c r="B174" s="58"/>
      <c r="C174" s="199" t="str">
        <f>IFERROR(VLOOKUP(FORMULACIÓN!B174,Lists!$A$2:$B$6,2,FALSE),"")</f>
        <v/>
      </c>
      <c r="D174" s="58"/>
      <c r="E174" s="58"/>
      <c r="F174" s="58"/>
      <c r="G174" s="58"/>
      <c r="H174" s="58"/>
      <c r="I174" s="58"/>
      <c r="J174" s="63"/>
      <c r="K174" s="58"/>
      <c r="L174" s="58"/>
      <c r="M174" s="58"/>
      <c r="N174" s="58"/>
      <c r="O174" s="58"/>
      <c r="P174" s="63" t="str">
        <f ca="1">IFERROR(IF($J174=Lists!$S$2,SUM(FORMULACIÓN!K174:O174),IF(FORMULACIÓN!$J174=Lists!$S$3,SUM(FORMULACIÓN!L174:O174),IF(FORMULACIÓN!$J174=Lists!$S$4,AVERAGE(FORMULACIÓN!L174:O174),IF(FORMULACIÓN!$J174=Lists!$S$5,OFFSET(K174,0,COUNTA(L174:O174)),IF(FORMULACIÓN!$J174=Lists!$S$6,AVERAGE(FORMULACIÓN!L174:O174),""))))),"")</f>
        <v/>
      </c>
      <c r="Q174" s="51" t="str">
        <f ca="1">IF($I174=Lists!$R$3,TEXT(FORMULACIÓN!P174,"00,00%"),IF(FORMULACIÓN!P174=0,0,TEXT(FORMULACIÓN!P174,"##.###")))</f>
        <v/>
      </c>
      <c r="R174" s="63"/>
      <c r="S174" s="59"/>
      <c r="T174" s="58"/>
      <c r="U174" s="66"/>
      <c r="V174" s="66"/>
      <c r="W174" s="66"/>
      <c r="X174" s="67" t="str">
        <f t="shared" si="10"/>
        <v/>
      </c>
      <c r="Y174" s="66"/>
      <c r="Z174" s="66"/>
      <c r="AA174" s="66"/>
      <c r="AB174" s="67" t="str">
        <f t="shared" si="11"/>
        <v/>
      </c>
      <c r="AC174" s="66"/>
      <c r="AD174" s="66"/>
      <c r="AE174" s="66"/>
      <c r="AF174" s="67" t="str">
        <f t="shared" si="12"/>
        <v/>
      </c>
      <c r="AG174" s="66"/>
      <c r="AH174" s="66"/>
      <c r="AI174" s="66"/>
      <c r="AJ174" s="65" t="str">
        <f t="shared" si="13"/>
        <v/>
      </c>
      <c r="AK174" s="65" t="str">
        <f>IF(SUM(AB174,AF174,X174,AJ174)=0,"",SUM((AB174,AF174,X174,AJ174)))</f>
        <v/>
      </c>
      <c r="AL174" s="20"/>
      <c r="AM174" s="20"/>
      <c r="AN174" s="20"/>
      <c r="AO174" s="20"/>
      <c r="AP174" s="20"/>
      <c r="AQ174" s="20"/>
      <c r="AR174" s="20"/>
      <c r="AS174" s="20"/>
      <c r="AT174" s="20"/>
      <c r="AU174" s="20"/>
      <c r="AV174" s="20"/>
      <c r="AW174" s="20"/>
      <c r="AX174" s="17"/>
      <c r="CG174" s="17"/>
    </row>
    <row r="175" spans="1:85" s="62" customFormat="1" ht="99.95" customHeight="1">
      <c r="A175" s="92" t="str">
        <f t="shared" si="14"/>
        <v/>
      </c>
      <c r="B175" s="58"/>
      <c r="C175" s="199" t="str">
        <f>IFERROR(VLOOKUP(FORMULACIÓN!B175,Lists!$A$2:$B$6,2,FALSE),"")</f>
        <v/>
      </c>
      <c r="D175" s="58"/>
      <c r="E175" s="58"/>
      <c r="F175" s="58"/>
      <c r="G175" s="58"/>
      <c r="H175" s="58"/>
      <c r="I175" s="58"/>
      <c r="J175" s="63"/>
      <c r="K175" s="58"/>
      <c r="L175" s="58"/>
      <c r="M175" s="58"/>
      <c r="N175" s="58"/>
      <c r="O175" s="58"/>
      <c r="P175" s="63" t="str">
        <f ca="1">IFERROR(IF($J175=Lists!$S$2,SUM(FORMULACIÓN!K175:O175),IF(FORMULACIÓN!$J175=Lists!$S$3,SUM(FORMULACIÓN!L175:O175),IF(FORMULACIÓN!$J175=Lists!$S$4,AVERAGE(FORMULACIÓN!L175:O175),IF(FORMULACIÓN!$J175=Lists!$S$5,OFFSET(K175,0,COUNTA(L175:O175)),IF(FORMULACIÓN!$J175=Lists!$S$6,AVERAGE(FORMULACIÓN!L175:O175),""))))),"")</f>
        <v/>
      </c>
      <c r="Q175" s="51" t="str">
        <f ca="1">IF($I175=Lists!$R$3,TEXT(FORMULACIÓN!P175,"00,00%"),IF(FORMULACIÓN!P175=0,0,TEXT(FORMULACIÓN!P175,"##.###")))</f>
        <v/>
      </c>
      <c r="R175" s="63"/>
      <c r="S175" s="59"/>
      <c r="T175" s="58"/>
      <c r="U175" s="66"/>
      <c r="V175" s="66"/>
      <c r="W175" s="66"/>
      <c r="X175" s="67" t="str">
        <f t="shared" si="10"/>
        <v/>
      </c>
      <c r="Y175" s="66"/>
      <c r="Z175" s="66"/>
      <c r="AA175" s="66"/>
      <c r="AB175" s="67" t="str">
        <f t="shared" si="11"/>
        <v/>
      </c>
      <c r="AC175" s="66"/>
      <c r="AD175" s="66"/>
      <c r="AE175" s="66"/>
      <c r="AF175" s="67" t="str">
        <f t="shared" si="12"/>
        <v/>
      </c>
      <c r="AG175" s="66"/>
      <c r="AH175" s="66"/>
      <c r="AI175" s="66"/>
      <c r="AJ175" s="65" t="str">
        <f t="shared" si="13"/>
        <v/>
      </c>
      <c r="AK175" s="65" t="str">
        <f>IF(SUM(AB175,AF175,X175,AJ175)=0,"",SUM((AB175,AF175,X175,AJ175)))</f>
        <v/>
      </c>
      <c r="AL175" s="20"/>
      <c r="AM175" s="20"/>
      <c r="AN175" s="20"/>
      <c r="AO175" s="20"/>
      <c r="AP175" s="20"/>
      <c r="AQ175" s="20"/>
      <c r="AR175" s="20"/>
      <c r="AS175" s="20"/>
      <c r="AT175" s="20"/>
      <c r="AU175" s="20"/>
      <c r="AV175" s="20"/>
      <c r="AW175" s="20"/>
      <c r="AX175" s="17"/>
      <c r="CG175" s="17"/>
    </row>
    <row r="176" spans="1:85" s="62" customFormat="1" ht="99.95" customHeight="1">
      <c r="A176" s="92" t="str">
        <f t="shared" si="14"/>
        <v/>
      </c>
      <c r="B176" s="58"/>
      <c r="C176" s="199" t="str">
        <f>IFERROR(VLOOKUP(FORMULACIÓN!B176,Lists!$A$2:$B$6,2,FALSE),"")</f>
        <v/>
      </c>
      <c r="D176" s="58"/>
      <c r="E176" s="58"/>
      <c r="F176" s="58"/>
      <c r="G176" s="58"/>
      <c r="H176" s="58"/>
      <c r="I176" s="58"/>
      <c r="J176" s="63"/>
      <c r="K176" s="58"/>
      <c r="L176" s="58"/>
      <c r="M176" s="58"/>
      <c r="N176" s="58"/>
      <c r="O176" s="58"/>
      <c r="P176" s="63" t="str">
        <f ca="1">IFERROR(IF($J176=Lists!$S$2,SUM(FORMULACIÓN!K176:O176),IF(FORMULACIÓN!$J176=Lists!$S$3,SUM(FORMULACIÓN!L176:O176),IF(FORMULACIÓN!$J176=Lists!$S$4,AVERAGE(FORMULACIÓN!L176:O176),IF(FORMULACIÓN!$J176=Lists!$S$5,OFFSET(K176,0,COUNTA(L176:O176)),IF(FORMULACIÓN!$J176=Lists!$S$6,AVERAGE(FORMULACIÓN!L176:O176),""))))),"")</f>
        <v/>
      </c>
      <c r="Q176" s="51" t="str">
        <f ca="1">IF($I176=Lists!$R$3,TEXT(FORMULACIÓN!P176,"00,00%"),IF(FORMULACIÓN!P176=0,0,TEXT(FORMULACIÓN!P176,"##.###")))</f>
        <v/>
      </c>
      <c r="R176" s="63"/>
      <c r="S176" s="59"/>
      <c r="T176" s="58"/>
      <c r="U176" s="66"/>
      <c r="V176" s="66"/>
      <c r="W176" s="66"/>
      <c r="X176" s="67" t="str">
        <f t="shared" si="10"/>
        <v/>
      </c>
      <c r="Y176" s="66"/>
      <c r="Z176" s="66"/>
      <c r="AA176" s="66"/>
      <c r="AB176" s="67" t="str">
        <f t="shared" si="11"/>
        <v/>
      </c>
      <c r="AC176" s="66"/>
      <c r="AD176" s="66"/>
      <c r="AE176" s="66"/>
      <c r="AF176" s="67" t="str">
        <f t="shared" si="12"/>
        <v/>
      </c>
      <c r="AG176" s="66"/>
      <c r="AH176" s="66"/>
      <c r="AI176" s="66"/>
      <c r="AJ176" s="65" t="str">
        <f t="shared" si="13"/>
        <v/>
      </c>
      <c r="AK176" s="65" t="str">
        <f>IF(SUM(AB176,AF176,X176,AJ176)=0,"",SUM((AB176,AF176,X176,AJ176)))</f>
        <v/>
      </c>
      <c r="AL176" s="20"/>
      <c r="AM176" s="20"/>
      <c r="AN176" s="20"/>
      <c r="AO176" s="20"/>
      <c r="AP176" s="20"/>
      <c r="AQ176" s="20"/>
      <c r="AR176" s="20"/>
      <c r="AS176" s="20"/>
      <c r="AT176" s="20"/>
      <c r="AU176" s="20"/>
      <c r="AV176" s="20"/>
      <c r="AW176" s="20"/>
      <c r="AX176" s="17"/>
      <c r="CG176" s="17"/>
    </row>
    <row r="177" spans="1:85" s="62" customFormat="1" ht="99.95" customHeight="1">
      <c r="A177" s="92" t="str">
        <f t="shared" si="14"/>
        <v/>
      </c>
      <c r="B177" s="58"/>
      <c r="C177" s="199" t="str">
        <f>IFERROR(VLOOKUP(FORMULACIÓN!B177,Lists!$A$2:$B$6,2,FALSE),"")</f>
        <v/>
      </c>
      <c r="D177" s="58"/>
      <c r="E177" s="58"/>
      <c r="F177" s="58"/>
      <c r="G177" s="58"/>
      <c r="H177" s="58"/>
      <c r="I177" s="58"/>
      <c r="J177" s="63"/>
      <c r="K177" s="58"/>
      <c r="L177" s="58"/>
      <c r="M177" s="58"/>
      <c r="N177" s="58"/>
      <c r="O177" s="58"/>
      <c r="P177" s="63" t="str">
        <f ca="1">IFERROR(IF($J177=Lists!$S$2,SUM(FORMULACIÓN!K177:O177),IF(FORMULACIÓN!$J177=Lists!$S$3,SUM(FORMULACIÓN!L177:O177),IF(FORMULACIÓN!$J177=Lists!$S$4,AVERAGE(FORMULACIÓN!L177:O177),IF(FORMULACIÓN!$J177=Lists!$S$5,OFFSET(K177,0,COUNTA(L177:O177)),IF(FORMULACIÓN!$J177=Lists!$S$6,AVERAGE(FORMULACIÓN!L177:O177),""))))),"")</f>
        <v/>
      </c>
      <c r="Q177" s="51" t="str">
        <f ca="1">IF($I177=Lists!$R$3,TEXT(FORMULACIÓN!P177,"00,00%"),IF(FORMULACIÓN!P177=0,0,TEXT(FORMULACIÓN!P177,"##.###")))</f>
        <v/>
      </c>
      <c r="R177" s="63"/>
      <c r="S177" s="59"/>
      <c r="T177" s="58"/>
      <c r="U177" s="66"/>
      <c r="V177" s="66"/>
      <c r="W177" s="66"/>
      <c r="X177" s="67" t="str">
        <f t="shared" si="10"/>
        <v/>
      </c>
      <c r="Y177" s="66"/>
      <c r="Z177" s="66"/>
      <c r="AA177" s="66"/>
      <c r="AB177" s="67" t="str">
        <f t="shared" si="11"/>
        <v/>
      </c>
      <c r="AC177" s="66"/>
      <c r="AD177" s="66"/>
      <c r="AE177" s="66"/>
      <c r="AF177" s="67" t="str">
        <f t="shared" si="12"/>
        <v/>
      </c>
      <c r="AG177" s="66"/>
      <c r="AH177" s="66"/>
      <c r="AI177" s="66"/>
      <c r="AJ177" s="65" t="str">
        <f t="shared" si="13"/>
        <v/>
      </c>
      <c r="AK177" s="65" t="str">
        <f>IF(SUM(AB177,AF177,X177,AJ177)=0,"",SUM((AB177,AF177,X177,AJ177)))</f>
        <v/>
      </c>
      <c r="AL177" s="20"/>
      <c r="AM177" s="20"/>
      <c r="AN177" s="20"/>
      <c r="AO177" s="20"/>
      <c r="AP177" s="20"/>
      <c r="AQ177" s="20"/>
      <c r="AR177" s="20"/>
      <c r="AS177" s="20"/>
      <c r="AT177" s="20"/>
      <c r="AU177" s="20"/>
      <c r="AV177" s="20"/>
      <c r="AW177" s="20"/>
      <c r="AX177" s="17"/>
      <c r="CG177" s="17"/>
    </row>
    <row r="178" spans="1:85" s="62" customFormat="1" ht="99.95" customHeight="1">
      <c r="A178" s="92" t="str">
        <f t="shared" si="14"/>
        <v/>
      </c>
      <c r="B178" s="58"/>
      <c r="C178" s="199" t="str">
        <f>IFERROR(VLOOKUP(FORMULACIÓN!B178,Lists!$A$2:$B$6,2,FALSE),"")</f>
        <v/>
      </c>
      <c r="D178" s="58"/>
      <c r="E178" s="58"/>
      <c r="F178" s="58"/>
      <c r="G178" s="58"/>
      <c r="H178" s="58"/>
      <c r="I178" s="58"/>
      <c r="J178" s="63"/>
      <c r="K178" s="58"/>
      <c r="L178" s="58"/>
      <c r="M178" s="58"/>
      <c r="N178" s="58"/>
      <c r="O178" s="58"/>
      <c r="P178" s="63" t="str">
        <f ca="1">IFERROR(IF($J178=Lists!$S$2,SUM(FORMULACIÓN!K178:O178),IF(FORMULACIÓN!$J178=Lists!$S$3,SUM(FORMULACIÓN!L178:O178),IF(FORMULACIÓN!$J178=Lists!$S$4,AVERAGE(FORMULACIÓN!L178:O178),IF(FORMULACIÓN!$J178=Lists!$S$5,OFFSET(K178,0,COUNTA(L178:O178)),IF(FORMULACIÓN!$J178=Lists!$S$6,AVERAGE(FORMULACIÓN!L178:O178),""))))),"")</f>
        <v/>
      </c>
      <c r="Q178" s="51" t="str">
        <f ca="1">IF($I178=Lists!$R$3,TEXT(FORMULACIÓN!P178,"00,00%"),IF(FORMULACIÓN!P178=0,0,TEXT(FORMULACIÓN!P178,"##.###")))</f>
        <v/>
      </c>
      <c r="R178" s="63"/>
      <c r="S178" s="59"/>
      <c r="T178" s="58"/>
      <c r="U178" s="66"/>
      <c r="V178" s="66"/>
      <c r="W178" s="66"/>
      <c r="X178" s="67" t="str">
        <f t="shared" si="10"/>
        <v/>
      </c>
      <c r="Y178" s="66"/>
      <c r="Z178" s="66"/>
      <c r="AA178" s="66"/>
      <c r="AB178" s="67" t="str">
        <f t="shared" si="11"/>
        <v/>
      </c>
      <c r="AC178" s="66"/>
      <c r="AD178" s="66"/>
      <c r="AE178" s="66"/>
      <c r="AF178" s="67" t="str">
        <f t="shared" si="12"/>
        <v/>
      </c>
      <c r="AG178" s="66"/>
      <c r="AH178" s="66"/>
      <c r="AI178" s="66"/>
      <c r="AJ178" s="65" t="str">
        <f t="shared" si="13"/>
        <v/>
      </c>
      <c r="AK178" s="65" t="str">
        <f>IF(SUM(AB178,AF178,X178,AJ178)=0,"",SUM((AB178,AF178,X178,AJ178)))</f>
        <v/>
      </c>
      <c r="AL178" s="20"/>
      <c r="AM178" s="20"/>
      <c r="AN178" s="20"/>
      <c r="AO178" s="20"/>
      <c r="AP178" s="20"/>
      <c r="AQ178" s="20"/>
      <c r="AR178" s="20"/>
      <c r="AS178" s="20"/>
      <c r="AT178" s="20"/>
      <c r="AU178" s="20"/>
      <c r="AV178" s="20"/>
      <c r="AW178" s="20"/>
      <c r="AX178" s="17"/>
      <c r="CG178" s="17"/>
    </row>
    <row r="179" spans="1:85" s="62" customFormat="1" ht="99.95" customHeight="1">
      <c r="A179" s="92" t="str">
        <f t="shared" si="14"/>
        <v/>
      </c>
      <c r="B179" s="58"/>
      <c r="C179" s="199" t="str">
        <f>IFERROR(VLOOKUP(FORMULACIÓN!B179,Lists!$A$2:$B$6,2,FALSE),"")</f>
        <v/>
      </c>
      <c r="D179" s="58"/>
      <c r="E179" s="58"/>
      <c r="F179" s="58"/>
      <c r="G179" s="58"/>
      <c r="H179" s="58"/>
      <c r="I179" s="58"/>
      <c r="J179" s="63"/>
      <c r="K179" s="58"/>
      <c r="L179" s="58"/>
      <c r="M179" s="58"/>
      <c r="N179" s="58"/>
      <c r="O179" s="58"/>
      <c r="P179" s="63" t="str">
        <f ca="1">IFERROR(IF($J179=Lists!$S$2,SUM(FORMULACIÓN!K179:O179),IF(FORMULACIÓN!$J179=Lists!$S$3,SUM(FORMULACIÓN!L179:O179),IF(FORMULACIÓN!$J179=Lists!$S$4,AVERAGE(FORMULACIÓN!L179:O179),IF(FORMULACIÓN!$J179=Lists!$S$5,OFFSET(K179,0,COUNTA(L179:O179)),IF(FORMULACIÓN!$J179=Lists!$S$6,AVERAGE(FORMULACIÓN!L179:O179),""))))),"")</f>
        <v/>
      </c>
      <c r="Q179" s="51" t="str">
        <f ca="1">IF($I179=Lists!$R$3,TEXT(FORMULACIÓN!P179,"00,00%"),IF(FORMULACIÓN!P179=0,0,TEXT(FORMULACIÓN!P179,"##.###")))</f>
        <v/>
      </c>
      <c r="R179" s="63"/>
      <c r="S179" s="59"/>
      <c r="T179" s="58"/>
      <c r="U179" s="66"/>
      <c r="V179" s="66"/>
      <c r="W179" s="66"/>
      <c r="X179" s="67" t="str">
        <f t="shared" si="10"/>
        <v/>
      </c>
      <c r="Y179" s="66"/>
      <c r="Z179" s="66"/>
      <c r="AA179" s="66"/>
      <c r="AB179" s="67" t="str">
        <f t="shared" si="11"/>
        <v/>
      </c>
      <c r="AC179" s="66"/>
      <c r="AD179" s="66"/>
      <c r="AE179" s="66"/>
      <c r="AF179" s="67" t="str">
        <f t="shared" si="12"/>
        <v/>
      </c>
      <c r="AG179" s="66"/>
      <c r="AH179" s="66"/>
      <c r="AI179" s="66"/>
      <c r="AJ179" s="65" t="str">
        <f t="shared" si="13"/>
        <v/>
      </c>
      <c r="AK179" s="65" t="str">
        <f>IF(SUM(AB179,AF179,X179,AJ179)=0,"",SUM((AB179,AF179,X179,AJ179)))</f>
        <v/>
      </c>
      <c r="AL179" s="20"/>
      <c r="AM179" s="20"/>
      <c r="AN179" s="20"/>
      <c r="AO179" s="20"/>
      <c r="AP179" s="20"/>
      <c r="AQ179" s="20"/>
      <c r="AR179" s="20"/>
      <c r="AS179" s="20"/>
      <c r="AT179" s="20"/>
      <c r="AU179" s="20"/>
      <c r="AV179" s="20"/>
      <c r="AW179" s="20"/>
      <c r="AX179" s="17"/>
      <c r="CG179" s="17"/>
    </row>
    <row r="180" spans="1:85" s="62" customFormat="1" ht="99.95" customHeight="1">
      <c r="A180" s="92" t="str">
        <f t="shared" si="14"/>
        <v/>
      </c>
      <c r="B180" s="58"/>
      <c r="C180" s="199" t="str">
        <f>IFERROR(VLOOKUP(FORMULACIÓN!B180,Lists!$A$2:$B$6,2,FALSE),"")</f>
        <v/>
      </c>
      <c r="D180" s="58"/>
      <c r="E180" s="58"/>
      <c r="F180" s="58"/>
      <c r="G180" s="58"/>
      <c r="H180" s="58"/>
      <c r="I180" s="58"/>
      <c r="J180" s="63"/>
      <c r="K180" s="58"/>
      <c r="L180" s="58"/>
      <c r="M180" s="58"/>
      <c r="N180" s="58"/>
      <c r="O180" s="58"/>
      <c r="P180" s="63" t="str">
        <f ca="1">IFERROR(IF($J180=Lists!$S$2,SUM(FORMULACIÓN!K180:O180),IF(FORMULACIÓN!$J180=Lists!$S$3,SUM(FORMULACIÓN!L180:O180),IF(FORMULACIÓN!$J180=Lists!$S$4,AVERAGE(FORMULACIÓN!L180:O180),IF(FORMULACIÓN!$J180=Lists!$S$5,OFFSET(K180,0,COUNTA(L180:O180)),IF(FORMULACIÓN!$J180=Lists!$S$6,AVERAGE(FORMULACIÓN!L180:O180),""))))),"")</f>
        <v/>
      </c>
      <c r="Q180" s="51" t="str">
        <f ca="1">IF($I180=Lists!$R$3,TEXT(FORMULACIÓN!P180,"00,00%"),IF(FORMULACIÓN!P180=0,0,TEXT(FORMULACIÓN!P180,"##.###")))</f>
        <v/>
      </c>
      <c r="R180" s="63"/>
      <c r="S180" s="59"/>
      <c r="T180" s="58"/>
      <c r="U180" s="66"/>
      <c r="V180" s="66"/>
      <c r="W180" s="66"/>
      <c r="X180" s="67" t="str">
        <f t="shared" si="10"/>
        <v/>
      </c>
      <c r="Y180" s="66"/>
      <c r="Z180" s="66"/>
      <c r="AA180" s="66"/>
      <c r="AB180" s="67" t="str">
        <f t="shared" si="11"/>
        <v/>
      </c>
      <c r="AC180" s="66"/>
      <c r="AD180" s="66"/>
      <c r="AE180" s="66"/>
      <c r="AF180" s="67" t="str">
        <f t="shared" si="12"/>
        <v/>
      </c>
      <c r="AG180" s="66"/>
      <c r="AH180" s="66"/>
      <c r="AI180" s="66"/>
      <c r="AJ180" s="65" t="str">
        <f t="shared" si="13"/>
        <v/>
      </c>
      <c r="AK180" s="65" t="str">
        <f>IF(SUM(AB180,AF180,X180,AJ180)=0,"",SUM((AB180,AF180,X180,AJ180)))</f>
        <v/>
      </c>
      <c r="AL180" s="20"/>
      <c r="AM180" s="20"/>
      <c r="AN180" s="20"/>
      <c r="AO180" s="20"/>
      <c r="AP180" s="20"/>
      <c r="AQ180" s="20"/>
      <c r="AR180" s="20"/>
      <c r="AS180" s="20"/>
      <c r="AT180" s="20"/>
      <c r="AU180" s="20"/>
      <c r="AV180" s="20"/>
      <c r="AW180" s="20"/>
      <c r="AX180" s="17"/>
      <c r="CG180" s="17"/>
    </row>
    <row r="181" spans="1:85" s="62" customFormat="1" ht="99.95" customHeight="1">
      <c r="A181" s="92" t="str">
        <f t="shared" si="14"/>
        <v/>
      </c>
      <c r="B181" s="58"/>
      <c r="C181" s="51" t="str">
        <f>IFERROR(VLOOKUP(FORMULACIÓN!B181,Lists!$A$2:$B$6,2,FALSE),"")</f>
        <v/>
      </c>
      <c r="D181" s="58"/>
      <c r="E181" s="58"/>
      <c r="F181" s="58"/>
      <c r="G181" s="58"/>
      <c r="H181" s="58"/>
      <c r="I181" s="58"/>
      <c r="J181" s="63"/>
      <c r="K181" s="58"/>
      <c r="L181" s="58"/>
      <c r="M181" s="58"/>
      <c r="N181" s="58"/>
      <c r="O181" s="58"/>
      <c r="P181" s="63" t="str">
        <f ca="1">IFERROR(IF($J181=Lists!$S$2,SUM(FORMULACIÓN!K181:O181),IF(FORMULACIÓN!$J181=Lists!$S$3,SUM(FORMULACIÓN!L181:O181),IF(FORMULACIÓN!$J181=Lists!$S$4,AVERAGE(FORMULACIÓN!L181:O181),IF(FORMULACIÓN!$J181=Lists!$S$5,OFFSET(K181,0,COUNTA(L181:O181)),IF(FORMULACIÓN!$J181=Lists!$S$6,AVERAGE(FORMULACIÓN!L181:O181),""))))),"")</f>
        <v/>
      </c>
      <c r="Q181" s="51" t="str">
        <f ca="1">IF($I181=Lists!$R$3,TEXT(FORMULACIÓN!P181,"00,00%"),IF(FORMULACIÓN!P181=0,0,TEXT(FORMULACIÓN!P181,"##.###")))</f>
        <v/>
      </c>
      <c r="R181" s="63"/>
      <c r="S181" s="59"/>
      <c r="T181" s="58"/>
      <c r="U181" s="66"/>
      <c r="V181" s="66"/>
      <c r="W181" s="66"/>
      <c r="X181" s="67" t="str">
        <f t="shared" si="10"/>
        <v/>
      </c>
      <c r="Y181" s="66"/>
      <c r="Z181" s="66"/>
      <c r="AA181" s="66"/>
      <c r="AB181" s="67" t="str">
        <f t="shared" si="11"/>
        <v/>
      </c>
      <c r="AC181" s="66"/>
      <c r="AD181" s="66"/>
      <c r="AE181" s="66"/>
      <c r="AF181" s="67" t="str">
        <f t="shared" si="12"/>
        <v/>
      </c>
      <c r="AG181" s="66"/>
      <c r="AH181" s="66"/>
      <c r="AI181" s="66"/>
      <c r="AJ181" s="65" t="str">
        <f t="shared" si="13"/>
        <v/>
      </c>
      <c r="AK181" s="65" t="str">
        <f>IF(SUM(AB181,AF181,X181,AJ181)=0,"",SUM((AB181,AF181,X181,AJ181)))</f>
        <v/>
      </c>
      <c r="AL181" s="20"/>
      <c r="AM181" s="20"/>
      <c r="AN181" s="20"/>
      <c r="AO181" s="20"/>
      <c r="AP181" s="20"/>
      <c r="AQ181" s="20"/>
      <c r="AR181" s="20"/>
      <c r="AS181" s="20"/>
      <c r="AT181" s="20"/>
      <c r="AU181" s="20"/>
      <c r="AV181" s="20"/>
      <c r="AW181" s="20"/>
      <c r="AX181" s="17"/>
      <c r="CG181" s="17"/>
    </row>
    <row r="182" spans="1:85" s="62" customFormat="1" ht="99.95" customHeight="1">
      <c r="A182" s="92" t="str">
        <f t="shared" si="14"/>
        <v/>
      </c>
      <c r="B182" s="58"/>
      <c r="C182" s="51" t="str">
        <f>IFERROR(VLOOKUP(FORMULACIÓN!B182,Lists!$A$2:$B$6,2,FALSE),"")</f>
        <v/>
      </c>
      <c r="D182" s="58"/>
      <c r="E182" s="58"/>
      <c r="F182" s="58"/>
      <c r="G182" s="58"/>
      <c r="H182" s="58"/>
      <c r="I182" s="58"/>
      <c r="J182" s="63"/>
      <c r="K182" s="58"/>
      <c r="L182" s="58"/>
      <c r="M182" s="58"/>
      <c r="N182" s="58"/>
      <c r="O182" s="58"/>
      <c r="P182" s="63" t="str">
        <f ca="1">IFERROR(IF($J182=Lists!$S$2,SUM(FORMULACIÓN!K182:O182),IF(FORMULACIÓN!$J182=Lists!$S$3,SUM(FORMULACIÓN!L182:O182),IF(FORMULACIÓN!$J182=Lists!$S$4,AVERAGE(FORMULACIÓN!L182:O182),IF(FORMULACIÓN!$J182=Lists!$S$5,OFFSET(K182,0,COUNTA(L182:O182)),IF(FORMULACIÓN!$J182=Lists!$S$6,AVERAGE(FORMULACIÓN!L182:O182),""))))),"")</f>
        <v/>
      </c>
      <c r="Q182" s="51" t="str">
        <f ca="1">IF($I182=Lists!$R$3,TEXT(FORMULACIÓN!P182,"00,00%"),IF(FORMULACIÓN!P182=0,0,TEXT(FORMULACIÓN!P182,"##.###")))</f>
        <v/>
      </c>
      <c r="R182" s="63"/>
      <c r="S182" s="59"/>
      <c r="T182" s="58"/>
      <c r="U182" s="66"/>
      <c r="V182" s="66"/>
      <c r="W182" s="66"/>
      <c r="X182" s="67" t="str">
        <f t="shared" si="10"/>
        <v/>
      </c>
      <c r="Y182" s="66"/>
      <c r="Z182" s="66"/>
      <c r="AA182" s="66"/>
      <c r="AB182" s="67" t="str">
        <f t="shared" si="11"/>
        <v/>
      </c>
      <c r="AC182" s="66"/>
      <c r="AD182" s="66"/>
      <c r="AE182" s="66"/>
      <c r="AF182" s="67" t="str">
        <f t="shared" si="12"/>
        <v/>
      </c>
      <c r="AG182" s="66"/>
      <c r="AH182" s="66"/>
      <c r="AI182" s="66"/>
      <c r="AJ182" s="65" t="str">
        <f t="shared" si="13"/>
        <v/>
      </c>
      <c r="AK182" s="65" t="str">
        <f>IF(SUM(AB182,AF182,X182,AJ182)=0,"",SUM((AB182,AF182,X182,AJ182)))</f>
        <v/>
      </c>
      <c r="AL182" s="20"/>
      <c r="AM182" s="20"/>
      <c r="AN182" s="20"/>
      <c r="AO182" s="20"/>
      <c r="AP182" s="20"/>
      <c r="AQ182" s="20"/>
      <c r="AR182" s="20"/>
      <c r="AS182" s="20"/>
      <c r="AT182" s="20"/>
      <c r="AU182" s="20"/>
      <c r="AV182" s="20"/>
      <c r="AW182" s="20"/>
      <c r="AX182" s="17"/>
      <c r="CG182" s="17"/>
    </row>
    <row r="183" spans="1:85" s="62" customFormat="1" ht="99.95" customHeight="1">
      <c r="A183" s="92" t="str">
        <f t="shared" si="14"/>
        <v/>
      </c>
      <c r="B183" s="58"/>
      <c r="C183" s="51" t="str">
        <f>IFERROR(VLOOKUP(FORMULACIÓN!B183,Lists!$A$2:$B$6,2,FALSE),"")</f>
        <v/>
      </c>
      <c r="D183" s="58"/>
      <c r="E183" s="58"/>
      <c r="F183" s="58"/>
      <c r="G183" s="58"/>
      <c r="H183" s="69"/>
      <c r="I183" s="58"/>
      <c r="J183" s="63"/>
      <c r="K183" s="69"/>
      <c r="L183" s="58"/>
      <c r="M183" s="58"/>
      <c r="N183" s="58"/>
      <c r="O183" s="58"/>
      <c r="P183" s="63" t="str">
        <f ca="1">IFERROR(IF($J183=Lists!$S$2,SUM(FORMULACIÓN!K183:O183),IF(FORMULACIÓN!$J183=Lists!$S$3,SUM(FORMULACIÓN!L183:O183),IF(FORMULACIÓN!$J183=Lists!$S$4,AVERAGE(FORMULACIÓN!L183:O183),IF(FORMULACIÓN!$J183=Lists!$S$5,OFFSET(K183,0,COUNTA(L183:O183)),IF(FORMULACIÓN!$J183=Lists!$S$6,AVERAGE(FORMULACIÓN!L183:O183),""))))),"")</f>
        <v/>
      </c>
      <c r="Q183" s="51" t="str">
        <f ca="1">IF($I183=Lists!$R$3,TEXT(FORMULACIÓN!P183,"00,00%"),IF(FORMULACIÓN!P183=0,0,TEXT(FORMULACIÓN!P183,"##.###")))</f>
        <v/>
      </c>
      <c r="R183" s="63"/>
      <c r="S183" s="59"/>
      <c r="T183" s="58"/>
      <c r="U183" s="66"/>
      <c r="V183" s="66"/>
      <c r="W183" s="66"/>
      <c r="X183" s="67" t="str">
        <f t="shared" si="10"/>
        <v/>
      </c>
      <c r="Y183" s="66"/>
      <c r="Z183" s="66"/>
      <c r="AA183" s="66"/>
      <c r="AB183" s="67" t="str">
        <f t="shared" si="11"/>
        <v/>
      </c>
      <c r="AC183" s="66"/>
      <c r="AD183" s="66"/>
      <c r="AE183" s="66"/>
      <c r="AF183" s="67" t="str">
        <f t="shared" si="12"/>
        <v/>
      </c>
      <c r="AG183" s="66"/>
      <c r="AH183" s="66"/>
      <c r="AI183" s="66"/>
      <c r="AJ183" s="65" t="str">
        <f t="shared" si="13"/>
        <v/>
      </c>
      <c r="AK183" s="65" t="str">
        <f>IF(SUM(AB183,AF183,X183,AJ183)=0,"",SUM((AB183,AF183,X183,AJ183)))</f>
        <v/>
      </c>
      <c r="AM183" s="74"/>
      <c r="AN183" s="74"/>
      <c r="AO183" s="74"/>
      <c r="AP183" s="74"/>
      <c r="AQ183" s="74"/>
      <c r="AR183" s="85"/>
      <c r="AS183" s="74"/>
      <c r="AT183" s="74"/>
      <c r="AU183" s="74"/>
      <c r="AV183" s="74"/>
      <c r="AX183" s="17"/>
      <c r="CG183" s="17"/>
    </row>
    <row r="184" spans="1:85" s="62" customFormat="1" ht="99.95" customHeight="1">
      <c r="A184" s="92" t="str">
        <f t="shared" si="14"/>
        <v/>
      </c>
      <c r="B184" s="58"/>
      <c r="C184" s="51" t="str">
        <f>IFERROR(VLOOKUP(FORMULACIÓN!B184,Lists!$A$2:$B$6,2,FALSE),"")</f>
        <v/>
      </c>
      <c r="D184" s="58"/>
      <c r="E184" s="58"/>
      <c r="F184" s="58"/>
      <c r="G184" s="58"/>
      <c r="H184" s="69"/>
      <c r="I184" s="58"/>
      <c r="J184" s="63"/>
      <c r="K184" s="69"/>
      <c r="L184" s="58"/>
      <c r="M184" s="58"/>
      <c r="N184" s="58"/>
      <c r="O184" s="58"/>
      <c r="P184" s="63" t="str">
        <f ca="1">IFERROR(IF($J184=Lists!$S$2,SUM(FORMULACIÓN!K184:O184),IF(FORMULACIÓN!$J184=Lists!$S$3,SUM(FORMULACIÓN!L184:O184),IF(FORMULACIÓN!$J184=Lists!$S$4,AVERAGE(FORMULACIÓN!L184:O184),IF(FORMULACIÓN!$J184=Lists!$S$5,OFFSET(K184,0,COUNTA(L184:O184)),IF(FORMULACIÓN!$J184=Lists!$S$6,AVERAGE(FORMULACIÓN!L184:O184),""))))),"")</f>
        <v/>
      </c>
      <c r="Q184" s="51" t="str">
        <f ca="1">IF($I184=Lists!$R$3,TEXT(FORMULACIÓN!P184,"00,00%"),IF(FORMULACIÓN!P184=0,0,TEXT(FORMULACIÓN!P184,"##.###")))</f>
        <v/>
      </c>
      <c r="R184" s="63"/>
      <c r="S184" s="59"/>
      <c r="T184" s="58"/>
      <c r="U184" s="66"/>
      <c r="V184" s="66"/>
      <c r="W184" s="66"/>
      <c r="X184" s="67" t="str">
        <f t="shared" si="10"/>
        <v/>
      </c>
      <c r="Y184" s="66"/>
      <c r="Z184" s="66"/>
      <c r="AA184" s="66"/>
      <c r="AB184" s="67" t="str">
        <f t="shared" si="11"/>
        <v/>
      </c>
      <c r="AC184" s="66"/>
      <c r="AD184" s="66"/>
      <c r="AE184" s="66"/>
      <c r="AF184" s="67" t="str">
        <f t="shared" si="12"/>
        <v/>
      </c>
      <c r="AG184" s="66"/>
      <c r="AH184" s="66"/>
      <c r="AI184" s="66"/>
      <c r="AJ184" s="65" t="str">
        <f t="shared" si="13"/>
        <v/>
      </c>
      <c r="AK184" s="65" t="str">
        <f>IF(SUM(AB184,AF184,X184,AJ184)=0,"",SUM((AB184,AF184,X184,AJ184)))</f>
        <v/>
      </c>
      <c r="AM184" s="74"/>
      <c r="AN184" s="74"/>
      <c r="AO184" s="74"/>
      <c r="AP184" s="74"/>
      <c r="AQ184" s="74"/>
      <c r="AR184" s="85"/>
      <c r="AS184" s="74"/>
      <c r="AT184" s="74"/>
      <c r="AU184" s="74"/>
      <c r="AV184" s="74"/>
      <c r="AX184" s="17"/>
      <c r="CG184" s="17"/>
    </row>
    <row r="185" spans="1:85" s="62" customFormat="1" ht="99.95" customHeight="1">
      <c r="A185" s="92" t="str">
        <f t="shared" si="14"/>
        <v/>
      </c>
      <c r="B185" s="58"/>
      <c r="C185" s="51" t="str">
        <f>IFERROR(VLOOKUP(FORMULACIÓN!B185,Lists!$A$2:$B$6,2,FALSE),"")</f>
        <v/>
      </c>
      <c r="D185" s="58"/>
      <c r="E185" s="58"/>
      <c r="F185" s="58"/>
      <c r="G185" s="58"/>
      <c r="H185" s="69"/>
      <c r="I185" s="58"/>
      <c r="J185" s="63"/>
      <c r="K185" s="69"/>
      <c r="L185" s="58"/>
      <c r="M185" s="58"/>
      <c r="N185" s="58"/>
      <c r="O185" s="58"/>
      <c r="P185" s="63" t="str">
        <f ca="1">IFERROR(IF($J185=Lists!$S$2,SUM(FORMULACIÓN!K185:O185),IF(FORMULACIÓN!$J185=Lists!$S$3,SUM(FORMULACIÓN!L185:O185),IF(FORMULACIÓN!$J185=Lists!$S$4,AVERAGE(FORMULACIÓN!L185:O185),IF(FORMULACIÓN!$J185=Lists!$S$5,OFFSET(K185,0,COUNTA(L185:O185)),IF(FORMULACIÓN!$J185=Lists!$S$6,AVERAGE(FORMULACIÓN!L185:O185),""))))),"")</f>
        <v/>
      </c>
      <c r="Q185" s="51" t="str">
        <f ca="1">IF($I185=Lists!$R$3,TEXT(FORMULACIÓN!P185,"00,00%"),IF(FORMULACIÓN!P185=0,0,TEXT(FORMULACIÓN!P185,"##.###")))</f>
        <v/>
      </c>
      <c r="R185" s="63"/>
      <c r="S185" s="59"/>
      <c r="T185" s="58"/>
      <c r="U185" s="66"/>
      <c r="V185" s="66"/>
      <c r="W185" s="66"/>
      <c r="X185" s="67" t="str">
        <f t="shared" si="10"/>
        <v/>
      </c>
      <c r="Y185" s="66"/>
      <c r="Z185" s="66"/>
      <c r="AA185" s="66"/>
      <c r="AB185" s="67" t="str">
        <f t="shared" si="11"/>
        <v/>
      </c>
      <c r="AC185" s="66"/>
      <c r="AD185" s="66"/>
      <c r="AE185" s="66"/>
      <c r="AF185" s="67" t="str">
        <f t="shared" si="12"/>
        <v/>
      </c>
      <c r="AG185" s="66"/>
      <c r="AH185" s="66"/>
      <c r="AI185" s="66"/>
      <c r="AJ185" s="65" t="str">
        <f t="shared" si="13"/>
        <v/>
      </c>
      <c r="AK185" s="65" t="str">
        <f>IF(SUM(AB185,AF185,X185,AJ185)=0,"",SUM((AB185,AF185,X185,AJ185)))</f>
        <v/>
      </c>
      <c r="AM185" s="74"/>
      <c r="AN185" s="74"/>
      <c r="AO185" s="74"/>
      <c r="AP185" s="74"/>
      <c r="AQ185" s="74"/>
      <c r="AR185" s="85"/>
      <c r="AS185" s="74"/>
      <c r="AT185" s="74"/>
      <c r="AU185" s="74"/>
      <c r="AV185" s="74"/>
      <c r="AX185" s="17"/>
      <c r="CG185" s="17"/>
    </row>
    <row r="186" spans="1:85" s="62" customFormat="1" ht="99.95" customHeight="1">
      <c r="A186" s="92" t="str">
        <f t="shared" si="14"/>
        <v/>
      </c>
      <c r="B186" s="58"/>
      <c r="C186" s="51" t="str">
        <f>IFERROR(VLOOKUP(FORMULACIÓN!B186,Lists!$A$2:$B$6,2,FALSE),"")</f>
        <v/>
      </c>
      <c r="D186" s="58"/>
      <c r="E186" s="58"/>
      <c r="F186" s="58"/>
      <c r="G186" s="58"/>
      <c r="H186" s="69"/>
      <c r="I186" s="58"/>
      <c r="J186" s="63"/>
      <c r="K186" s="69"/>
      <c r="L186" s="58"/>
      <c r="M186" s="58"/>
      <c r="N186" s="58"/>
      <c r="O186" s="58"/>
      <c r="P186" s="63" t="str">
        <f ca="1">IFERROR(IF($J186=Lists!$S$2,SUM(FORMULACIÓN!K186:O186),IF(FORMULACIÓN!$J186=Lists!$S$3,SUM(FORMULACIÓN!L186:O186),IF(FORMULACIÓN!$J186=Lists!$S$4,AVERAGE(FORMULACIÓN!L186:O186),IF(FORMULACIÓN!$J186=Lists!$S$5,OFFSET(K186,0,COUNTA(L186:O186)),IF(FORMULACIÓN!$J186=Lists!$S$6,AVERAGE(FORMULACIÓN!L186:O186),""))))),"")</f>
        <v/>
      </c>
      <c r="Q186" s="51" t="str">
        <f ca="1">IF($I186=Lists!$R$3,TEXT(FORMULACIÓN!P186,"00,00%"),IF(FORMULACIÓN!P186=0,0,TEXT(FORMULACIÓN!P186,"##.###")))</f>
        <v/>
      </c>
      <c r="R186" s="63"/>
      <c r="S186" s="59"/>
      <c r="T186" s="58"/>
      <c r="U186" s="66"/>
      <c r="V186" s="66"/>
      <c r="W186" s="66"/>
      <c r="X186" s="67" t="str">
        <f t="shared" si="10"/>
        <v/>
      </c>
      <c r="Y186" s="66"/>
      <c r="Z186" s="66"/>
      <c r="AA186" s="66"/>
      <c r="AB186" s="67" t="str">
        <f t="shared" si="11"/>
        <v/>
      </c>
      <c r="AC186" s="66"/>
      <c r="AD186" s="66"/>
      <c r="AE186" s="66"/>
      <c r="AF186" s="67" t="str">
        <f t="shared" si="12"/>
        <v/>
      </c>
      <c r="AG186" s="66"/>
      <c r="AH186" s="66"/>
      <c r="AI186" s="66"/>
      <c r="AJ186" s="65" t="str">
        <f t="shared" si="13"/>
        <v/>
      </c>
      <c r="AK186" s="65" t="str">
        <f>IF(SUM(AB186,AF186,X186,AJ186)=0,"",SUM((AB186,AF186,X186,AJ186)))</f>
        <v/>
      </c>
      <c r="AM186" s="74"/>
      <c r="AN186" s="74"/>
      <c r="AO186" s="74"/>
      <c r="AP186" s="74"/>
      <c r="AQ186" s="74"/>
      <c r="AR186" s="85"/>
      <c r="AS186" s="74"/>
      <c r="AT186" s="74"/>
      <c r="AU186" s="74"/>
      <c r="AV186" s="74"/>
      <c r="AX186" s="17"/>
      <c r="CG186" s="17"/>
    </row>
    <row r="187" spans="1:85" s="62" customFormat="1" ht="99.95" customHeight="1">
      <c r="A187" s="92" t="str">
        <f t="shared" si="14"/>
        <v/>
      </c>
      <c r="B187" s="58"/>
      <c r="C187" s="51" t="str">
        <f>IFERROR(VLOOKUP(FORMULACIÓN!B187,Lists!$A$2:$B$6,2,FALSE),"")</f>
        <v/>
      </c>
      <c r="D187" s="58"/>
      <c r="E187" s="58"/>
      <c r="F187" s="58"/>
      <c r="G187" s="58"/>
      <c r="H187" s="69"/>
      <c r="I187" s="58"/>
      <c r="J187" s="63"/>
      <c r="K187" s="69"/>
      <c r="L187" s="58"/>
      <c r="M187" s="58"/>
      <c r="N187" s="58"/>
      <c r="O187" s="58"/>
      <c r="P187" s="63" t="str">
        <f ca="1">IFERROR(IF($J187=Lists!$S$2,SUM(FORMULACIÓN!K187:O187),IF(FORMULACIÓN!$J187=Lists!$S$3,SUM(FORMULACIÓN!L187:O187),IF(FORMULACIÓN!$J187=Lists!$S$4,AVERAGE(FORMULACIÓN!L187:O187),IF(FORMULACIÓN!$J187=Lists!$S$5,OFFSET(K187,0,COUNTA(L187:O187)),IF(FORMULACIÓN!$J187=Lists!$S$6,AVERAGE(FORMULACIÓN!L187:O187),""))))),"")</f>
        <v/>
      </c>
      <c r="Q187" s="51" t="str">
        <f ca="1">IF($I187=Lists!$R$3,TEXT(FORMULACIÓN!P187,"00,00%"),IF(FORMULACIÓN!P187=0,0,TEXT(FORMULACIÓN!P187,"##.###")))</f>
        <v/>
      </c>
      <c r="R187" s="63"/>
      <c r="S187" s="59"/>
      <c r="T187" s="58"/>
      <c r="U187" s="66"/>
      <c r="V187" s="66"/>
      <c r="W187" s="66"/>
      <c r="X187" s="67" t="str">
        <f t="shared" si="10"/>
        <v/>
      </c>
      <c r="Y187" s="66"/>
      <c r="Z187" s="66"/>
      <c r="AA187" s="66"/>
      <c r="AB187" s="67" t="str">
        <f t="shared" si="11"/>
        <v/>
      </c>
      <c r="AC187" s="66"/>
      <c r="AD187" s="66"/>
      <c r="AE187" s="66"/>
      <c r="AF187" s="67" t="str">
        <f t="shared" si="12"/>
        <v/>
      </c>
      <c r="AG187" s="66"/>
      <c r="AH187" s="66"/>
      <c r="AI187" s="66"/>
      <c r="AJ187" s="65" t="str">
        <f t="shared" si="13"/>
        <v/>
      </c>
      <c r="AK187" s="65" t="str">
        <f>IF(SUM(AB187,AF187,X187,AJ187)=0,"",SUM((AB187,AF187,X187,AJ187)))</f>
        <v/>
      </c>
      <c r="AM187" s="74"/>
      <c r="AN187" s="74"/>
      <c r="AO187" s="74"/>
      <c r="AP187" s="74"/>
      <c r="AQ187" s="74"/>
      <c r="AR187" s="85"/>
      <c r="AS187" s="74"/>
      <c r="AT187" s="74"/>
      <c r="AU187" s="74"/>
      <c r="AV187" s="74"/>
      <c r="AX187" s="17"/>
      <c r="CG187" s="17"/>
    </row>
    <row r="188" spans="1:85" s="62" customFormat="1" ht="99.95" customHeight="1">
      <c r="A188" s="92" t="str">
        <f t="shared" si="14"/>
        <v/>
      </c>
      <c r="B188" s="58"/>
      <c r="C188" s="51" t="str">
        <f>IFERROR(VLOOKUP(FORMULACIÓN!B188,Lists!$A$2:$B$6,2,FALSE),"")</f>
        <v/>
      </c>
      <c r="D188" s="58"/>
      <c r="E188" s="58"/>
      <c r="F188" s="58"/>
      <c r="G188" s="58"/>
      <c r="H188" s="69"/>
      <c r="I188" s="58"/>
      <c r="J188" s="63"/>
      <c r="K188" s="69"/>
      <c r="L188" s="58"/>
      <c r="M188" s="58"/>
      <c r="N188" s="58"/>
      <c r="O188" s="58"/>
      <c r="P188" s="63" t="str">
        <f ca="1">IFERROR(IF($J188=Lists!$S$2,SUM(FORMULACIÓN!K188:O188),IF(FORMULACIÓN!$J188=Lists!$S$3,SUM(FORMULACIÓN!L188:O188),IF(FORMULACIÓN!$J188=Lists!$S$4,AVERAGE(FORMULACIÓN!L188:O188),IF(FORMULACIÓN!$J188=Lists!$S$5,OFFSET(K188,0,COUNTA(L188:O188)),IF(FORMULACIÓN!$J188=Lists!$S$6,AVERAGE(FORMULACIÓN!L188:O188),""))))),"")</f>
        <v/>
      </c>
      <c r="Q188" s="51" t="str">
        <f ca="1">IF($I188=Lists!$R$3,TEXT(FORMULACIÓN!P188,"00,00%"),IF(FORMULACIÓN!P188=0,0,TEXT(FORMULACIÓN!P188,"##.###")))</f>
        <v/>
      </c>
      <c r="R188" s="63"/>
      <c r="S188" s="59"/>
      <c r="T188" s="58"/>
      <c r="U188" s="66"/>
      <c r="V188" s="66"/>
      <c r="W188" s="66"/>
      <c r="X188" s="67" t="str">
        <f t="shared" si="10"/>
        <v/>
      </c>
      <c r="Y188" s="66"/>
      <c r="Z188" s="66"/>
      <c r="AA188" s="66"/>
      <c r="AB188" s="67" t="str">
        <f t="shared" si="11"/>
        <v/>
      </c>
      <c r="AC188" s="66"/>
      <c r="AD188" s="66"/>
      <c r="AE188" s="66"/>
      <c r="AF188" s="67" t="str">
        <f t="shared" si="12"/>
        <v/>
      </c>
      <c r="AG188" s="66"/>
      <c r="AH188" s="66"/>
      <c r="AI188" s="66"/>
      <c r="AJ188" s="65" t="str">
        <f t="shared" si="13"/>
        <v/>
      </c>
      <c r="AK188" s="65" t="str">
        <f>IF(SUM(AB188,AF188,X188,AJ188)=0,"",SUM((AB188,AF188,X188,AJ188)))</f>
        <v/>
      </c>
      <c r="AM188" s="74"/>
      <c r="AN188" s="74"/>
      <c r="AO188" s="74"/>
      <c r="AP188" s="74"/>
      <c r="AQ188" s="74"/>
      <c r="AR188" s="85"/>
      <c r="AS188" s="74"/>
      <c r="AT188" s="74"/>
      <c r="AU188" s="74"/>
      <c r="AV188" s="74"/>
      <c r="AX188" s="17"/>
      <c r="CG188" s="17"/>
    </row>
    <row r="189" spans="1:85" s="62" customFormat="1" ht="99.95" customHeight="1">
      <c r="A189" s="92" t="str">
        <f t="shared" si="14"/>
        <v/>
      </c>
      <c r="B189" s="58"/>
      <c r="C189" s="51" t="str">
        <f>IFERROR(VLOOKUP(FORMULACIÓN!B189,Lists!$A$2:$B$6,2,FALSE),"")</f>
        <v/>
      </c>
      <c r="D189" s="58"/>
      <c r="E189" s="58"/>
      <c r="F189" s="58"/>
      <c r="G189" s="58"/>
      <c r="H189" s="69"/>
      <c r="I189" s="58"/>
      <c r="J189" s="63"/>
      <c r="K189" s="69"/>
      <c r="L189" s="58"/>
      <c r="M189" s="58"/>
      <c r="N189" s="58"/>
      <c r="O189" s="58"/>
      <c r="P189" s="63" t="str">
        <f ca="1">IFERROR(IF($J189=Lists!$S$2,SUM(FORMULACIÓN!K189:O189),IF(FORMULACIÓN!$J189=Lists!$S$3,SUM(FORMULACIÓN!L189:O189),IF(FORMULACIÓN!$J189=Lists!$S$4,AVERAGE(FORMULACIÓN!L189:O189),IF(FORMULACIÓN!$J189=Lists!$S$5,OFFSET(K189,0,COUNTA(L189:O189)),IF(FORMULACIÓN!$J189=Lists!$S$6,AVERAGE(FORMULACIÓN!L189:O189),""))))),"")</f>
        <v/>
      </c>
      <c r="Q189" s="51" t="str">
        <f ca="1">IF($I189=Lists!$R$3,TEXT(FORMULACIÓN!P189,"00,00%"),IF(FORMULACIÓN!P189=0,0,TEXT(FORMULACIÓN!P189,"##.###")))</f>
        <v/>
      </c>
      <c r="R189" s="63"/>
      <c r="S189" s="59"/>
      <c r="T189" s="58"/>
      <c r="U189" s="66"/>
      <c r="V189" s="66"/>
      <c r="W189" s="66"/>
      <c r="X189" s="67" t="str">
        <f t="shared" si="10"/>
        <v/>
      </c>
      <c r="Y189" s="66"/>
      <c r="Z189" s="66"/>
      <c r="AA189" s="66"/>
      <c r="AB189" s="67" t="str">
        <f t="shared" si="11"/>
        <v/>
      </c>
      <c r="AC189" s="66"/>
      <c r="AD189" s="66"/>
      <c r="AE189" s="66"/>
      <c r="AF189" s="67" t="str">
        <f t="shared" si="12"/>
        <v/>
      </c>
      <c r="AG189" s="66"/>
      <c r="AH189" s="66"/>
      <c r="AI189" s="66"/>
      <c r="AJ189" s="65" t="str">
        <f t="shared" si="13"/>
        <v/>
      </c>
      <c r="AK189" s="65" t="str">
        <f>IF(SUM(AB189,AF189,X189,AJ189)=0,"",SUM((AB189,AF189,X189,AJ189)))</f>
        <v/>
      </c>
      <c r="AM189" s="74"/>
      <c r="AN189" s="74"/>
      <c r="AO189" s="74"/>
      <c r="AP189" s="74"/>
      <c r="AQ189" s="74"/>
      <c r="AR189" s="85"/>
      <c r="AS189" s="74"/>
      <c r="AT189" s="74"/>
      <c r="AU189" s="74"/>
      <c r="AV189" s="74"/>
      <c r="AX189" s="17"/>
      <c r="CG189" s="17"/>
    </row>
    <row r="190" spans="1:85" s="62" customFormat="1" ht="99.95" customHeight="1">
      <c r="A190" s="92" t="str">
        <f t="shared" si="14"/>
        <v/>
      </c>
      <c r="B190" s="58"/>
      <c r="C190" s="51" t="str">
        <f>IFERROR(VLOOKUP(FORMULACIÓN!B190,Lists!$A$2:$B$6,2,FALSE),"")</f>
        <v/>
      </c>
      <c r="D190" s="58"/>
      <c r="E190" s="58"/>
      <c r="F190" s="58"/>
      <c r="G190" s="58"/>
      <c r="H190" s="69"/>
      <c r="I190" s="58"/>
      <c r="J190" s="63"/>
      <c r="K190" s="69"/>
      <c r="L190" s="58"/>
      <c r="M190" s="58"/>
      <c r="N190" s="58"/>
      <c r="O190" s="58"/>
      <c r="P190" s="63" t="str">
        <f ca="1">IFERROR(IF($J190=Lists!$S$2,SUM(FORMULACIÓN!K190:O190),IF(FORMULACIÓN!$J190=Lists!$S$3,SUM(FORMULACIÓN!L190:O190),IF(FORMULACIÓN!$J190=Lists!$S$4,AVERAGE(FORMULACIÓN!L190:O190),IF(FORMULACIÓN!$J190=Lists!$S$5,OFFSET(K190,0,COUNTA(L190:O190)),IF(FORMULACIÓN!$J190=Lists!$S$6,AVERAGE(FORMULACIÓN!L190:O190),""))))),"")</f>
        <v/>
      </c>
      <c r="Q190" s="51" t="str">
        <f ca="1">IF($I190=Lists!$R$3,TEXT(FORMULACIÓN!P190,"00,00%"),IF(FORMULACIÓN!P190=0,0,TEXT(FORMULACIÓN!P190,"##.###")))</f>
        <v/>
      </c>
      <c r="R190" s="63"/>
      <c r="S190" s="59"/>
      <c r="T190" s="58"/>
      <c r="U190" s="66"/>
      <c r="V190" s="66"/>
      <c r="W190" s="66"/>
      <c r="X190" s="67" t="str">
        <f t="shared" si="10"/>
        <v/>
      </c>
      <c r="Y190" s="66"/>
      <c r="Z190" s="66"/>
      <c r="AA190" s="66"/>
      <c r="AB190" s="67" t="str">
        <f t="shared" si="11"/>
        <v/>
      </c>
      <c r="AC190" s="66"/>
      <c r="AD190" s="66"/>
      <c r="AE190" s="66"/>
      <c r="AF190" s="67" t="str">
        <f t="shared" si="12"/>
        <v/>
      </c>
      <c r="AG190" s="66"/>
      <c r="AH190" s="66"/>
      <c r="AI190" s="66"/>
      <c r="AJ190" s="65" t="str">
        <f t="shared" si="13"/>
        <v/>
      </c>
      <c r="AK190" s="65" t="str">
        <f>IF(SUM(AB190,AF190,X190,AJ190)=0,"",SUM((AB190,AF190,X190,AJ190)))</f>
        <v/>
      </c>
      <c r="AM190" s="74"/>
      <c r="AN190" s="74"/>
      <c r="AO190" s="74"/>
      <c r="AP190" s="74"/>
      <c r="AQ190" s="74"/>
      <c r="AR190" s="85"/>
      <c r="AS190" s="74"/>
      <c r="AT190" s="74"/>
      <c r="AU190" s="74"/>
      <c r="AV190" s="74"/>
      <c r="AX190" s="17"/>
      <c r="CG190" s="17"/>
    </row>
    <row r="191" spans="1:85" s="62" customFormat="1" ht="99.95" customHeight="1">
      <c r="A191" s="92" t="str">
        <f t="shared" si="14"/>
        <v/>
      </c>
      <c r="B191" s="58"/>
      <c r="C191" s="51" t="str">
        <f>IFERROR(VLOOKUP(FORMULACIÓN!B191,Lists!$A$2:$B$6,2,FALSE),"")</f>
        <v/>
      </c>
      <c r="D191" s="58"/>
      <c r="E191" s="58"/>
      <c r="F191" s="58"/>
      <c r="G191" s="58"/>
      <c r="H191" s="69"/>
      <c r="I191" s="58"/>
      <c r="J191" s="63"/>
      <c r="K191" s="69"/>
      <c r="L191" s="58"/>
      <c r="M191" s="58"/>
      <c r="N191" s="58"/>
      <c r="O191" s="58"/>
      <c r="P191" s="63" t="str">
        <f ca="1">IFERROR(IF($J191=Lists!$S$2,SUM(FORMULACIÓN!K191:O191),IF(FORMULACIÓN!$J191=Lists!$S$3,SUM(FORMULACIÓN!L191:O191),IF(FORMULACIÓN!$J191=Lists!$S$4,AVERAGE(FORMULACIÓN!L191:O191),IF(FORMULACIÓN!$J191=Lists!$S$5,OFFSET(K191,0,COUNTA(L191:O191)),IF(FORMULACIÓN!$J191=Lists!$S$6,AVERAGE(FORMULACIÓN!L191:O191),""))))),"")</f>
        <v/>
      </c>
      <c r="Q191" s="51" t="str">
        <f ca="1">IF($I191=Lists!$R$3,TEXT(FORMULACIÓN!P191,"00,00%"),IF(FORMULACIÓN!P191=0,0,TEXT(FORMULACIÓN!P191,"##.###")))</f>
        <v/>
      </c>
      <c r="R191" s="63"/>
      <c r="S191" s="59"/>
      <c r="T191" s="58"/>
      <c r="U191" s="66"/>
      <c r="V191" s="66"/>
      <c r="W191" s="66"/>
      <c r="X191" s="67" t="str">
        <f t="shared" si="10"/>
        <v/>
      </c>
      <c r="Y191" s="66"/>
      <c r="Z191" s="66"/>
      <c r="AA191" s="66"/>
      <c r="AB191" s="67" t="str">
        <f t="shared" si="11"/>
        <v/>
      </c>
      <c r="AC191" s="66"/>
      <c r="AD191" s="66"/>
      <c r="AE191" s="66"/>
      <c r="AF191" s="67" t="str">
        <f t="shared" si="12"/>
        <v/>
      </c>
      <c r="AG191" s="66"/>
      <c r="AH191" s="66"/>
      <c r="AI191" s="66"/>
      <c r="AJ191" s="65" t="str">
        <f t="shared" si="13"/>
        <v/>
      </c>
      <c r="AK191" s="65" t="str">
        <f>IF(SUM(AB191,AF191,X191,AJ191)=0,"",SUM((AB191,AF191,X191,AJ191)))</f>
        <v/>
      </c>
      <c r="AM191" s="74"/>
      <c r="AN191" s="74"/>
      <c r="AO191" s="74"/>
      <c r="AP191" s="74"/>
      <c r="AQ191" s="74"/>
      <c r="AR191" s="85"/>
      <c r="AS191" s="74"/>
      <c r="AT191" s="74"/>
      <c r="AU191" s="74"/>
      <c r="AV191" s="74"/>
      <c r="AX191" s="17"/>
      <c r="CG191" s="17"/>
    </row>
    <row r="192" spans="1:85" s="62" customFormat="1" ht="99.95" customHeight="1">
      <c r="A192" s="92" t="str">
        <f t="shared" si="14"/>
        <v/>
      </c>
      <c r="B192" s="58"/>
      <c r="C192" s="51" t="str">
        <f>IFERROR(VLOOKUP(FORMULACIÓN!B192,Lists!$A$2:$B$6,2,FALSE),"")</f>
        <v/>
      </c>
      <c r="D192" s="58"/>
      <c r="E192" s="58"/>
      <c r="F192" s="58"/>
      <c r="G192" s="58"/>
      <c r="H192" s="69"/>
      <c r="I192" s="58"/>
      <c r="J192" s="63"/>
      <c r="K192" s="69"/>
      <c r="L192" s="58"/>
      <c r="M192" s="58"/>
      <c r="N192" s="58"/>
      <c r="O192" s="58"/>
      <c r="P192" s="63" t="str">
        <f ca="1">IFERROR(IF($J192=Lists!$S$2,SUM(FORMULACIÓN!K192:O192),IF(FORMULACIÓN!$J192=Lists!$S$3,SUM(FORMULACIÓN!L192:O192),IF(FORMULACIÓN!$J192=Lists!$S$4,AVERAGE(FORMULACIÓN!L192:O192),IF(FORMULACIÓN!$J192=Lists!$S$5,OFFSET(K192,0,COUNTA(L192:O192)),IF(FORMULACIÓN!$J192=Lists!$S$6,AVERAGE(FORMULACIÓN!L192:O192),""))))),"")</f>
        <v/>
      </c>
      <c r="Q192" s="51" t="str">
        <f ca="1">IF($I192=Lists!$R$3,TEXT(FORMULACIÓN!P192,"00,00%"),IF(FORMULACIÓN!P192=0,0,TEXT(FORMULACIÓN!P192,"##.###")))</f>
        <v/>
      </c>
      <c r="R192" s="63"/>
      <c r="S192" s="59"/>
      <c r="T192" s="58"/>
      <c r="U192" s="66"/>
      <c r="V192" s="66"/>
      <c r="W192" s="66"/>
      <c r="X192" s="67" t="str">
        <f t="shared" si="10"/>
        <v/>
      </c>
      <c r="Y192" s="66"/>
      <c r="Z192" s="66"/>
      <c r="AA192" s="66"/>
      <c r="AB192" s="67" t="str">
        <f t="shared" si="11"/>
        <v/>
      </c>
      <c r="AC192" s="66"/>
      <c r="AD192" s="66"/>
      <c r="AE192" s="66"/>
      <c r="AF192" s="67" t="str">
        <f t="shared" si="12"/>
        <v/>
      </c>
      <c r="AG192" s="66"/>
      <c r="AH192" s="66"/>
      <c r="AI192" s="66"/>
      <c r="AJ192" s="65" t="str">
        <f t="shared" si="13"/>
        <v/>
      </c>
      <c r="AK192" s="65" t="str">
        <f>IF(SUM(AB192,AF192,X192,AJ192)=0,"",SUM((AB192,AF192,X192,AJ192)))</f>
        <v/>
      </c>
      <c r="AM192" s="74"/>
      <c r="AN192" s="74"/>
      <c r="AO192" s="74"/>
      <c r="AP192" s="74"/>
      <c r="AQ192" s="74"/>
      <c r="AR192" s="85"/>
      <c r="AS192" s="74"/>
      <c r="AT192" s="74"/>
      <c r="AU192" s="74"/>
      <c r="AV192" s="74"/>
      <c r="AX192" s="17"/>
      <c r="CG192" s="17"/>
    </row>
    <row r="193" spans="1:85" s="62" customFormat="1" ht="99.95" customHeight="1">
      <c r="A193" s="92" t="str">
        <f t="shared" si="14"/>
        <v/>
      </c>
      <c r="B193" s="58"/>
      <c r="C193" s="51" t="str">
        <f>IFERROR(VLOOKUP(FORMULACIÓN!B193,Lists!$A$2:$B$6,2,FALSE),"")</f>
        <v/>
      </c>
      <c r="D193" s="58"/>
      <c r="E193" s="58"/>
      <c r="F193" s="58"/>
      <c r="G193" s="58"/>
      <c r="H193" s="69"/>
      <c r="I193" s="58"/>
      <c r="J193" s="63"/>
      <c r="K193" s="69"/>
      <c r="L193" s="58"/>
      <c r="M193" s="58"/>
      <c r="N193" s="58"/>
      <c r="O193" s="58"/>
      <c r="P193" s="63" t="str">
        <f ca="1">IFERROR(IF($J193=Lists!$S$2,SUM(FORMULACIÓN!K193:O193),IF(FORMULACIÓN!$J193=Lists!$S$3,SUM(FORMULACIÓN!L193:O193),IF(FORMULACIÓN!$J193=Lists!$S$4,AVERAGE(FORMULACIÓN!L193:O193),IF(FORMULACIÓN!$J193=Lists!$S$5,OFFSET(K193,0,COUNTA(L193:O193)),IF(FORMULACIÓN!$J193=Lists!$S$6,AVERAGE(FORMULACIÓN!L193:O193),""))))),"")</f>
        <v/>
      </c>
      <c r="Q193" s="51" t="str">
        <f ca="1">IF($I193=Lists!$R$3,TEXT(FORMULACIÓN!P193,"00,00%"),IF(FORMULACIÓN!P193=0,0,TEXT(FORMULACIÓN!P193,"##.###")))</f>
        <v/>
      </c>
      <c r="R193" s="63"/>
      <c r="S193" s="59"/>
      <c r="T193" s="58"/>
      <c r="U193" s="66"/>
      <c r="V193" s="66"/>
      <c r="W193" s="66"/>
      <c r="X193" s="67" t="str">
        <f t="shared" si="10"/>
        <v/>
      </c>
      <c r="Y193" s="66"/>
      <c r="Z193" s="66"/>
      <c r="AA193" s="66"/>
      <c r="AB193" s="67" t="str">
        <f t="shared" si="11"/>
        <v/>
      </c>
      <c r="AC193" s="66"/>
      <c r="AD193" s="66"/>
      <c r="AE193" s="66"/>
      <c r="AF193" s="67" t="str">
        <f t="shared" si="12"/>
        <v/>
      </c>
      <c r="AG193" s="66"/>
      <c r="AH193" s="66"/>
      <c r="AI193" s="66"/>
      <c r="AJ193" s="65" t="str">
        <f t="shared" si="13"/>
        <v/>
      </c>
      <c r="AK193" s="65" t="str">
        <f>IF(SUM(AB193,AF193,X193,AJ193)=0,"",SUM((AB193,AF193,X193,AJ193)))</f>
        <v/>
      </c>
      <c r="AM193" s="74"/>
      <c r="AN193" s="74"/>
      <c r="AO193" s="74"/>
      <c r="AP193" s="74"/>
      <c r="AQ193" s="74"/>
      <c r="AR193" s="85"/>
      <c r="AS193" s="74"/>
      <c r="AT193" s="74"/>
      <c r="AU193" s="74"/>
      <c r="AV193" s="74"/>
      <c r="AX193" s="17"/>
      <c r="CG193" s="17"/>
    </row>
    <row r="194" spans="1:85" s="62" customFormat="1" ht="99.95" customHeight="1">
      <c r="A194" s="92" t="str">
        <f t="shared" si="14"/>
        <v/>
      </c>
      <c r="B194" s="58"/>
      <c r="C194" s="51" t="str">
        <f>IFERROR(VLOOKUP(FORMULACIÓN!B194,Lists!$A$2:$B$6,2,FALSE),"")</f>
        <v/>
      </c>
      <c r="D194" s="58"/>
      <c r="E194" s="58"/>
      <c r="F194" s="58"/>
      <c r="G194" s="58"/>
      <c r="H194" s="69"/>
      <c r="I194" s="58"/>
      <c r="J194" s="63"/>
      <c r="K194" s="69"/>
      <c r="L194" s="58"/>
      <c r="M194" s="58"/>
      <c r="N194" s="58"/>
      <c r="O194" s="58"/>
      <c r="P194" s="63" t="str">
        <f ca="1">IFERROR(IF($J194=Lists!$S$2,SUM(FORMULACIÓN!K194:O194),IF(FORMULACIÓN!$J194=Lists!$S$3,SUM(FORMULACIÓN!L194:O194),IF(FORMULACIÓN!$J194=Lists!$S$4,AVERAGE(FORMULACIÓN!L194:O194),IF(FORMULACIÓN!$J194=Lists!$S$5,OFFSET(K194,0,COUNTA(L194:O194)),IF(FORMULACIÓN!$J194=Lists!$S$6,AVERAGE(FORMULACIÓN!L194:O194),""))))),"")</f>
        <v/>
      </c>
      <c r="Q194" s="51" t="str">
        <f ca="1">IF($I194=Lists!$R$3,TEXT(FORMULACIÓN!P194,"00,00%"),IF(FORMULACIÓN!P194=0,0,TEXT(FORMULACIÓN!P194,"##.###")))</f>
        <v/>
      </c>
      <c r="R194" s="63"/>
      <c r="S194" s="59"/>
      <c r="T194" s="58"/>
      <c r="U194" s="66"/>
      <c r="V194" s="66"/>
      <c r="W194" s="66"/>
      <c r="X194" s="67" t="str">
        <f t="shared" si="10"/>
        <v/>
      </c>
      <c r="Y194" s="66"/>
      <c r="Z194" s="66"/>
      <c r="AA194" s="66"/>
      <c r="AB194" s="67" t="str">
        <f t="shared" si="11"/>
        <v/>
      </c>
      <c r="AC194" s="66"/>
      <c r="AD194" s="66"/>
      <c r="AE194" s="66"/>
      <c r="AF194" s="67" t="str">
        <f t="shared" si="12"/>
        <v/>
      </c>
      <c r="AG194" s="66"/>
      <c r="AH194" s="66"/>
      <c r="AI194" s="66"/>
      <c r="AJ194" s="65" t="str">
        <f t="shared" si="13"/>
        <v/>
      </c>
      <c r="AK194" s="65" t="str">
        <f>IF(SUM(AB194,AF194,X194,AJ194)=0,"",SUM((AB194,AF194,X194,AJ194)))</f>
        <v/>
      </c>
      <c r="AM194" s="74"/>
      <c r="AN194" s="74"/>
      <c r="AO194" s="74"/>
      <c r="AP194" s="74"/>
      <c r="AQ194" s="74"/>
      <c r="AR194" s="85"/>
      <c r="AS194" s="74"/>
      <c r="AT194" s="74"/>
      <c r="AU194" s="74"/>
      <c r="AV194" s="74"/>
      <c r="AX194" s="17"/>
      <c r="CG194" s="17"/>
    </row>
    <row r="195" spans="1:85" s="62" customFormat="1" ht="99.95" customHeight="1">
      <c r="A195" s="92" t="str">
        <f t="shared" si="14"/>
        <v/>
      </c>
      <c r="B195" s="58"/>
      <c r="C195" s="51" t="str">
        <f>IFERROR(VLOOKUP(FORMULACIÓN!B195,Lists!$A$2:$B$6,2,FALSE),"")</f>
        <v/>
      </c>
      <c r="D195" s="58"/>
      <c r="E195" s="58"/>
      <c r="F195" s="58"/>
      <c r="G195" s="58"/>
      <c r="H195" s="69"/>
      <c r="I195" s="58"/>
      <c r="J195" s="63"/>
      <c r="K195" s="69"/>
      <c r="L195" s="58"/>
      <c r="M195" s="58"/>
      <c r="N195" s="58"/>
      <c r="O195" s="58"/>
      <c r="P195" s="63" t="str">
        <f ca="1">IFERROR(IF($J195=Lists!$S$2,SUM(FORMULACIÓN!K195:O195),IF(FORMULACIÓN!$J195=Lists!$S$3,SUM(FORMULACIÓN!L195:O195),IF(FORMULACIÓN!$J195=Lists!$S$4,AVERAGE(FORMULACIÓN!L195:O195),IF(FORMULACIÓN!$J195=Lists!$S$5,OFFSET(K195,0,COUNTA(L195:O195)),IF(FORMULACIÓN!$J195=Lists!$S$6,AVERAGE(FORMULACIÓN!L195:O195),""))))),"")</f>
        <v/>
      </c>
      <c r="Q195" s="51" t="str">
        <f ca="1">IF($I195=Lists!$R$3,TEXT(FORMULACIÓN!P195,"00,00%"),IF(FORMULACIÓN!P195=0,0,TEXT(FORMULACIÓN!P195,"##.###")))</f>
        <v/>
      </c>
      <c r="R195" s="63"/>
      <c r="S195" s="59"/>
      <c r="T195" s="58"/>
      <c r="U195" s="66"/>
      <c r="V195" s="66"/>
      <c r="W195" s="66"/>
      <c r="X195" s="67" t="str">
        <f t="shared" si="10"/>
        <v/>
      </c>
      <c r="Y195" s="66"/>
      <c r="Z195" s="66"/>
      <c r="AA195" s="66"/>
      <c r="AB195" s="67" t="str">
        <f t="shared" si="11"/>
        <v/>
      </c>
      <c r="AC195" s="66"/>
      <c r="AD195" s="66"/>
      <c r="AE195" s="66"/>
      <c r="AF195" s="67" t="str">
        <f t="shared" si="12"/>
        <v/>
      </c>
      <c r="AG195" s="66"/>
      <c r="AH195" s="66"/>
      <c r="AI195" s="66"/>
      <c r="AJ195" s="65" t="str">
        <f t="shared" si="13"/>
        <v/>
      </c>
      <c r="AK195" s="65" t="str">
        <f>IF(SUM(AB195,AF195,X195,AJ195)=0,"",SUM((AB195,AF195,X195,AJ195)))</f>
        <v/>
      </c>
      <c r="AM195" s="74"/>
      <c r="AN195" s="74"/>
      <c r="AO195" s="74"/>
      <c r="AP195" s="74"/>
      <c r="AQ195" s="74"/>
      <c r="AR195" s="85"/>
      <c r="AS195" s="74"/>
      <c r="AT195" s="74"/>
      <c r="AU195" s="74"/>
      <c r="AV195" s="74"/>
      <c r="AX195" s="17"/>
      <c r="CG195" s="17"/>
    </row>
    <row r="196" spans="1:85" s="62" customFormat="1" ht="99.95" customHeight="1">
      <c r="A196" s="92" t="str">
        <f t="shared" si="14"/>
        <v/>
      </c>
      <c r="B196" s="58"/>
      <c r="C196" s="51" t="str">
        <f>IFERROR(VLOOKUP(FORMULACIÓN!B196,Lists!$A$2:$B$6,2,FALSE),"")</f>
        <v/>
      </c>
      <c r="D196" s="58"/>
      <c r="E196" s="58"/>
      <c r="F196" s="58"/>
      <c r="G196" s="58"/>
      <c r="H196" s="69"/>
      <c r="I196" s="58"/>
      <c r="J196" s="63"/>
      <c r="K196" s="69"/>
      <c r="L196" s="58"/>
      <c r="M196" s="58"/>
      <c r="N196" s="58"/>
      <c r="O196" s="58"/>
      <c r="P196" s="63" t="str">
        <f ca="1">IFERROR(IF($J196=Lists!$S$2,SUM(FORMULACIÓN!K196:O196),IF(FORMULACIÓN!$J196=Lists!$S$3,SUM(FORMULACIÓN!L196:O196),IF(FORMULACIÓN!$J196=Lists!$S$4,AVERAGE(FORMULACIÓN!L196:O196),IF(FORMULACIÓN!$J196=Lists!$S$5,OFFSET(K196,0,COUNTA(L196:O196)),IF(FORMULACIÓN!$J196=Lists!$S$6,AVERAGE(FORMULACIÓN!L196:O196),""))))),"")</f>
        <v/>
      </c>
      <c r="Q196" s="51" t="str">
        <f ca="1">IF($I196=Lists!$R$3,TEXT(FORMULACIÓN!P196,"00,00%"),IF(FORMULACIÓN!P196=0,0,TEXT(FORMULACIÓN!P196,"##.###")))</f>
        <v/>
      </c>
      <c r="R196" s="63"/>
      <c r="S196" s="59"/>
      <c r="T196" s="58"/>
      <c r="U196" s="66"/>
      <c r="V196" s="66"/>
      <c r="W196" s="66"/>
      <c r="X196" s="67" t="str">
        <f t="shared" si="10"/>
        <v/>
      </c>
      <c r="Y196" s="66"/>
      <c r="Z196" s="66"/>
      <c r="AA196" s="66"/>
      <c r="AB196" s="67" t="str">
        <f t="shared" si="11"/>
        <v/>
      </c>
      <c r="AC196" s="66"/>
      <c r="AD196" s="66"/>
      <c r="AE196" s="66"/>
      <c r="AF196" s="67" t="str">
        <f t="shared" si="12"/>
        <v/>
      </c>
      <c r="AG196" s="66"/>
      <c r="AH196" s="66"/>
      <c r="AI196" s="66"/>
      <c r="AJ196" s="65" t="str">
        <f t="shared" si="13"/>
        <v/>
      </c>
      <c r="AK196" s="65" t="str">
        <f>IF(SUM(AB196,AF196,X196,AJ196)=0,"",SUM((AB196,AF196,X196,AJ196)))</f>
        <v/>
      </c>
      <c r="AM196" s="74"/>
      <c r="AN196" s="74"/>
      <c r="AO196" s="74"/>
      <c r="AP196" s="74"/>
      <c r="AQ196" s="74"/>
      <c r="AR196" s="85"/>
      <c r="AS196" s="74"/>
      <c r="AT196" s="74"/>
      <c r="AU196" s="74"/>
      <c r="AV196" s="74"/>
      <c r="AX196" s="17"/>
      <c r="CG196" s="17"/>
    </row>
    <row r="197" spans="1:85" s="62" customFormat="1" ht="99.95" customHeight="1">
      <c r="A197" s="92" t="str">
        <f t="shared" si="14"/>
        <v/>
      </c>
      <c r="B197" s="58"/>
      <c r="C197" s="51" t="str">
        <f>IFERROR(VLOOKUP(FORMULACIÓN!B197,Lists!$A$2:$B$6,2,FALSE),"")</f>
        <v/>
      </c>
      <c r="D197" s="58"/>
      <c r="E197" s="58"/>
      <c r="F197" s="58"/>
      <c r="G197" s="58"/>
      <c r="H197" s="69"/>
      <c r="I197" s="58"/>
      <c r="J197" s="63"/>
      <c r="K197" s="69"/>
      <c r="L197" s="58"/>
      <c r="M197" s="58"/>
      <c r="N197" s="58"/>
      <c r="O197" s="58"/>
      <c r="P197" s="63" t="str">
        <f ca="1">IFERROR(IF($J197=Lists!$S$2,SUM(FORMULACIÓN!K197:O197),IF(FORMULACIÓN!$J197=Lists!$S$3,SUM(FORMULACIÓN!L197:O197),IF(FORMULACIÓN!$J197=Lists!$S$4,AVERAGE(FORMULACIÓN!L197:O197),IF(FORMULACIÓN!$J197=Lists!$S$5,OFFSET(K197,0,COUNTA(L197:O197)),IF(FORMULACIÓN!$J197=Lists!$S$6,AVERAGE(FORMULACIÓN!L197:O197),""))))),"")</f>
        <v/>
      </c>
      <c r="Q197" s="51" t="str">
        <f ca="1">IF($I197=Lists!$R$3,TEXT(FORMULACIÓN!P197,"00,00%"),IF(FORMULACIÓN!P197=0,0,TEXT(FORMULACIÓN!P197,"##.###")))</f>
        <v/>
      </c>
      <c r="R197" s="63"/>
      <c r="S197" s="59"/>
      <c r="T197" s="58"/>
      <c r="U197" s="66"/>
      <c r="V197" s="66"/>
      <c r="W197" s="66"/>
      <c r="X197" s="67" t="str">
        <f t="shared" si="10"/>
        <v/>
      </c>
      <c r="Y197" s="66"/>
      <c r="Z197" s="66"/>
      <c r="AA197" s="66"/>
      <c r="AB197" s="67" t="str">
        <f t="shared" si="11"/>
        <v/>
      </c>
      <c r="AC197" s="66"/>
      <c r="AD197" s="66"/>
      <c r="AE197" s="66"/>
      <c r="AF197" s="67" t="str">
        <f t="shared" si="12"/>
        <v/>
      </c>
      <c r="AG197" s="66"/>
      <c r="AH197" s="66"/>
      <c r="AI197" s="66"/>
      <c r="AJ197" s="65" t="str">
        <f t="shared" si="13"/>
        <v/>
      </c>
      <c r="AK197" s="65" t="str">
        <f>IF(SUM(AB197,AF197,X197,AJ197)=0,"",SUM((AB197,AF197,X197,AJ197)))</f>
        <v/>
      </c>
      <c r="AM197" s="74"/>
      <c r="AN197" s="74"/>
      <c r="AO197" s="74"/>
      <c r="AP197" s="74"/>
      <c r="AQ197" s="74"/>
      <c r="AR197" s="85"/>
      <c r="AS197" s="74"/>
      <c r="AT197" s="74"/>
      <c r="AU197" s="74"/>
      <c r="AV197" s="74"/>
      <c r="AX197" s="17"/>
      <c r="CG197" s="17"/>
    </row>
    <row r="198" spans="1:85" s="62" customFormat="1" ht="99.95" customHeight="1">
      <c r="A198" s="92" t="str">
        <f t="shared" si="14"/>
        <v/>
      </c>
      <c r="B198" s="58"/>
      <c r="C198" s="51" t="str">
        <f>IFERROR(VLOOKUP(FORMULACIÓN!B198,Lists!$A$2:$B$6,2,FALSE),"")</f>
        <v/>
      </c>
      <c r="D198" s="58"/>
      <c r="E198" s="58"/>
      <c r="F198" s="58"/>
      <c r="G198" s="58"/>
      <c r="H198" s="69"/>
      <c r="I198" s="58"/>
      <c r="J198" s="63"/>
      <c r="K198" s="69"/>
      <c r="L198" s="58"/>
      <c r="M198" s="58"/>
      <c r="N198" s="58"/>
      <c r="O198" s="58"/>
      <c r="P198" s="63" t="str">
        <f ca="1">IFERROR(IF($J198=Lists!$S$2,SUM(FORMULACIÓN!K198:O198),IF(FORMULACIÓN!$J198=Lists!$S$3,SUM(FORMULACIÓN!L198:O198),IF(FORMULACIÓN!$J198=Lists!$S$4,AVERAGE(FORMULACIÓN!L198:O198),IF(FORMULACIÓN!$J198=Lists!$S$5,OFFSET(K198,0,COUNTA(L198:O198)),IF(FORMULACIÓN!$J198=Lists!$S$6,AVERAGE(FORMULACIÓN!L198:O198),""))))),"")</f>
        <v/>
      </c>
      <c r="Q198" s="51" t="str">
        <f ca="1">IF($I198=Lists!$R$3,TEXT(FORMULACIÓN!P198,"00,00%"),IF(FORMULACIÓN!P198=0,0,TEXT(FORMULACIÓN!P198,"##.###")))</f>
        <v/>
      </c>
      <c r="R198" s="63"/>
      <c r="S198" s="59"/>
      <c r="T198" s="58"/>
      <c r="U198" s="66"/>
      <c r="V198" s="66"/>
      <c r="W198" s="66"/>
      <c r="X198" s="67" t="str">
        <f t="shared" si="10"/>
        <v/>
      </c>
      <c r="Y198" s="66"/>
      <c r="Z198" s="66"/>
      <c r="AA198" s="66"/>
      <c r="AB198" s="67" t="str">
        <f t="shared" si="11"/>
        <v/>
      </c>
      <c r="AC198" s="66"/>
      <c r="AD198" s="66"/>
      <c r="AE198" s="66"/>
      <c r="AF198" s="67" t="str">
        <f t="shared" si="12"/>
        <v/>
      </c>
      <c r="AG198" s="66"/>
      <c r="AH198" s="66"/>
      <c r="AI198" s="66"/>
      <c r="AJ198" s="65" t="str">
        <f t="shared" si="13"/>
        <v/>
      </c>
      <c r="AK198" s="65" t="str">
        <f>IF(SUM(AB198,AF198,X198,AJ198)=0,"",SUM((AB198,AF198,X198,AJ198)))</f>
        <v/>
      </c>
      <c r="AM198" s="74"/>
      <c r="AN198" s="74"/>
      <c r="AO198" s="74"/>
      <c r="AP198" s="74"/>
      <c r="AQ198" s="74"/>
      <c r="AR198" s="85"/>
      <c r="AS198" s="74"/>
      <c r="AT198" s="74"/>
      <c r="AU198" s="74"/>
      <c r="AV198" s="74"/>
      <c r="AX198" s="17"/>
      <c r="CG198" s="17"/>
    </row>
    <row r="199" spans="1:85" s="62" customFormat="1" ht="99.95" customHeight="1">
      <c r="A199" s="92" t="str">
        <f t="shared" si="14"/>
        <v/>
      </c>
      <c r="B199" s="58"/>
      <c r="C199" s="51" t="str">
        <f>IFERROR(VLOOKUP(FORMULACIÓN!B199,Lists!$A$2:$B$6,2,FALSE),"")</f>
        <v/>
      </c>
      <c r="D199" s="58"/>
      <c r="E199" s="58"/>
      <c r="F199" s="58"/>
      <c r="G199" s="58"/>
      <c r="H199" s="69"/>
      <c r="I199" s="58"/>
      <c r="J199" s="63"/>
      <c r="K199" s="69"/>
      <c r="L199" s="58"/>
      <c r="M199" s="58"/>
      <c r="N199" s="58"/>
      <c r="O199" s="58"/>
      <c r="P199" s="63" t="str">
        <f ca="1">IFERROR(IF($J199=Lists!$S$2,SUM(FORMULACIÓN!K199:O199),IF(FORMULACIÓN!$J199=Lists!$S$3,SUM(FORMULACIÓN!L199:O199),IF(FORMULACIÓN!$J199=Lists!$S$4,AVERAGE(FORMULACIÓN!L199:O199),IF(FORMULACIÓN!$J199=Lists!$S$5,OFFSET(K199,0,COUNTA(L199:O199)),IF(FORMULACIÓN!$J199=Lists!$S$6,AVERAGE(FORMULACIÓN!L199:O199),""))))),"")</f>
        <v/>
      </c>
      <c r="Q199" s="51" t="str">
        <f ca="1">IF($I199=Lists!$R$3,TEXT(FORMULACIÓN!P199,"00,00%"),IF(FORMULACIÓN!P199=0,0,TEXT(FORMULACIÓN!P199,"##.###")))</f>
        <v/>
      </c>
      <c r="R199" s="63"/>
      <c r="S199" s="59"/>
      <c r="T199" s="58"/>
      <c r="U199" s="66"/>
      <c r="V199" s="66"/>
      <c r="W199" s="66"/>
      <c r="X199" s="67" t="str">
        <f t="shared" si="10"/>
        <v/>
      </c>
      <c r="Y199" s="66"/>
      <c r="Z199" s="66"/>
      <c r="AA199" s="66"/>
      <c r="AB199" s="67" t="str">
        <f t="shared" si="11"/>
        <v/>
      </c>
      <c r="AC199" s="66"/>
      <c r="AD199" s="66"/>
      <c r="AE199" s="66"/>
      <c r="AF199" s="67" t="str">
        <f t="shared" si="12"/>
        <v/>
      </c>
      <c r="AG199" s="66"/>
      <c r="AH199" s="66"/>
      <c r="AI199" s="66"/>
      <c r="AJ199" s="65" t="str">
        <f t="shared" si="13"/>
        <v/>
      </c>
      <c r="AK199" s="65" t="str">
        <f>IF(SUM(AB199,AF199,X199,AJ199)=0,"",SUM((AB199,AF199,X199,AJ199)))</f>
        <v/>
      </c>
      <c r="AM199" s="74"/>
      <c r="AN199" s="74"/>
      <c r="AO199" s="74"/>
      <c r="AP199" s="74"/>
      <c r="AQ199" s="74"/>
      <c r="AR199" s="85"/>
      <c r="AS199" s="74"/>
      <c r="AT199" s="74"/>
      <c r="AU199" s="74"/>
      <c r="AV199" s="74"/>
      <c r="AX199" s="17"/>
      <c r="CG199" s="17"/>
    </row>
    <row r="200" spans="1:85" s="62" customFormat="1" ht="99.95" customHeight="1">
      <c r="A200" s="92" t="str">
        <f t="shared" si="14"/>
        <v/>
      </c>
      <c r="B200" s="58"/>
      <c r="C200" s="51" t="str">
        <f>IFERROR(VLOOKUP(FORMULACIÓN!B200,Lists!$A$2:$B$6,2,FALSE),"")</f>
        <v/>
      </c>
      <c r="D200" s="58"/>
      <c r="E200" s="58"/>
      <c r="F200" s="58"/>
      <c r="G200" s="58"/>
      <c r="H200" s="69"/>
      <c r="I200" s="58"/>
      <c r="J200" s="63"/>
      <c r="K200" s="69"/>
      <c r="L200" s="58"/>
      <c r="M200" s="58"/>
      <c r="N200" s="58"/>
      <c r="O200" s="58"/>
      <c r="P200" s="63" t="str">
        <f ca="1">IFERROR(IF($J200=Lists!$S$2,SUM(FORMULACIÓN!K200:O200),IF(FORMULACIÓN!$J200=Lists!$S$3,SUM(FORMULACIÓN!L200:O200),IF(FORMULACIÓN!$J200=Lists!$S$4,AVERAGE(FORMULACIÓN!L200:O200),IF(FORMULACIÓN!$J200=Lists!$S$5,OFFSET(K200,0,COUNTA(L200:O200)),IF(FORMULACIÓN!$J200=Lists!$S$6,AVERAGE(FORMULACIÓN!L200:O200),""))))),"")</f>
        <v/>
      </c>
      <c r="Q200" s="51" t="str">
        <f ca="1">IF($I200=Lists!$R$3,TEXT(FORMULACIÓN!P200,"00,00%"),IF(FORMULACIÓN!P200=0,0,TEXT(FORMULACIÓN!P200,"##.###")))</f>
        <v/>
      </c>
      <c r="R200" s="63"/>
      <c r="S200" s="59"/>
      <c r="T200" s="58"/>
      <c r="U200" s="66"/>
      <c r="V200" s="66"/>
      <c r="W200" s="66"/>
      <c r="X200" s="67" t="str">
        <f t="shared" si="10"/>
        <v/>
      </c>
      <c r="Y200" s="66"/>
      <c r="Z200" s="66"/>
      <c r="AA200" s="66"/>
      <c r="AB200" s="67" t="str">
        <f t="shared" si="11"/>
        <v/>
      </c>
      <c r="AC200" s="66"/>
      <c r="AD200" s="66"/>
      <c r="AE200" s="66"/>
      <c r="AF200" s="67" t="str">
        <f t="shared" si="12"/>
        <v/>
      </c>
      <c r="AG200" s="66"/>
      <c r="AH200" s="66"/>
      <c r="AI200" s="66"/>
      <c r="AJ200" s="65" t="str">
        <f t="shared" si="13"/>
        <v/>
      </c>
      <c r="AK200" s="65" t="str">
        <f>IF(SUM(AB200,AF200,X200,AJ200)=0,"",SUM((AB200,AF200,X200,AJ200)))</f>
        <v/>
      </c>
      <c r="AM200" s="74"/>
      <c r="AN200" s="74"/>
      <c r="AO200" s="74"/>
      <c r="AP200" s="74"/>
      <c r="AQ200" s="74"/>
      <c r="AR200" s="85"/>
      <c r="AS200" s="74"/>
      <c r="AT200" s="74"/>
      <c r="AU200" s="74"/>
      <c r="AV200" s="74"/>
      <c r="AX200" s="17"/>
      <c r="CG200" s="17"/>
    </row>
    <row r="201" spans="1:85" s="62" customFormat="1" ht="99.95" customHeight="1">
      <c r="A201" s="92" t="str">
        <f t="shared" si="14"/>
        <v/>
      </c>
      <c r="B201" s="58"/>
      <c r="C201" s="51" t="str">
        <f>IFERROR(VLOOKUP(FORMULACIÓN!B201,Lists!$A$2:$B$6,2,FALSE),"")</f>
        <v/>
      </c>
      <c r="D201" s="58"/>
      <c r="E201" s="58"/>
      <c r="F201" s="58"/>
      <c r="G201" s="58"/>
      <c r="H201" s="69"/>
      <c r="I201" s="58"/>
      <c r="J201" s="63"/>
      <c r="K201" s="69"/>
      <c r="L201" s="58"/>
      <c r="M201" s="58"/>
      <c r="N201" s="58"/>
      <c r="O201" s="58"/>
      <c r="P201" s="63" t="str">
        <f ca="1">IFERROR(IF($J201=Lists!$S$2,SUM(FORMULACIÓN!K201:O201),IF(FORMULACIÓN!$J201=Lists!$S$3,SUM(FORMULACIÓN!L201:O201),IF(FORMULACIÓN!$J201=Lists!$S$4,AVERAGE(FORMULACIÓN!L201:O201),IF(FORMULACIÓN!$J201=Lists!$S$5,OFFSET(K201,0,COUNTA(L201:O201)),IF(FORMULACIÓN!$J201=Lists!$S$6,AVERAGE(FORMULACIÓN!L201:O201),""))))),"")</f>
        <v/>
      </c>
      <c r="Q201" s="51" t="str">
        <f ca="1">IF($I201=Lists!$R$3,TEXT(FORMULACIÓN!P201,"00,00%"),IF(FORMULACIÓN!P201=0,0,TEXT(FORMULACIÓN!P201,"##.###")))</f>
        <v/>
      </c>
      <c r="R201" s="63"/>
      <c r="S201" s="59"/>
      <c r="T201" s="58"/>
      <c r="U201" s="66"/>
      <c r="V201" s="66"/>
      <c r="W201" s="66"/>
      <c r="X201" s="67" t="str">
        <f t="shared" si="10"/>
        <v/>
      </c>
      <c r="Y201" s="66"/>
      <c r="Z201" s="66"/>
      <c r="AA201" s="66"/>
      <c r="AB201" s="67" t="str">
        <f t="shared" si="11"/>
        <v/>
      </c>
      <c r="AC201" s="66"/>
      <c r="AD201" s="66"/>
      <c r="AE201" s="66"/>
      <c r="AF201" s="67" t="str">
        <f t="shared" si="12"/>
        <v/>
      </c>
      <c r="AG201" s="66"/>
      <c r="AH201" s="66"/>
      <c r="AI201" s="66"/>
      <c r="AJ201" s="65" t="str">
        <f t="shared" si="13"/>
        <v/>
      </c>
      <c r="AK201" s="65" t="str">
        <f>IF(SUM(AB201,AF201,X201,AJ201)=0,"",SUM((AB201,AF201,X201,AJ201)))</f>
        <v/>
      </c>
      <c r="AM201" s="74"/>
      <c r="AN201" s="74"/>
      <c r="AO201" s="74"/>
      <c r="AP201" s="74"/>
      <c r="AQ201" s="74"/>
      <c r="AR201" s="85"/>
      <c r="AS201" s="74"/>
      <c r="AT201" s="74"/>
      <c r="AU201" s="74"/>
      <c r="AV201" s="74"/>
      <c r="AX201" s="17"/>
      <c r="CG201" s="17"/>
    </row>
    <row r="202" spans="1:85" s="62" customFormat="1" ht="99.95" customHeight="1">
      <c r="A202" s="92" t="str">
        <f t="shared" si="14"/>
        <v/>
      </c>
      <c r="B202" s="58"/>
      <c r="C202" s="51" t="str">
        <f>IFERROR(VLOOKUP(FORMULACIÓN!B202,Lists!$A$2:$B$6,2,FALSE),"")</f>
        <v/>
      </c>
      <c r="D202" s="58"/>
      <c r="E202" s="58"/>
      <c r="F202" s="58"/>
      <c r="G202" s="58"/>
      <c r="H202" s="69"/>
      <c r="I202" s="58"/>
      <c r="J202" s="63"/>
      <c r="K202" s="69"/>
      <c r="L202" s="58"/>
      <c r="M202" s="58"/>
      <c r="N202" s="58"/>
      <c r="O202" s="58"/>
      <c r="P202" s="63" t="str">
        <f ca="1">IFERROR(IF($J202=Lists!$S$2,SUM(FORMULACIÓN!K202:O202),IF(FORMULACIÓN!$J202=Lists!$S$3,SUM(FORMULACIÓN!L202:O202),IF(FORMULACIÓN!$J202=Lists!$S$4,AVERAGE(FORMULACIÓN!L202:O202),IF(FORMULACIÓN!$J202=Lists!$S$5,OFFSET(K202,0,COUNTA(L202:O202)),IF(FORMULACIÓN!$J202=Lists!$S$6,AVERAGE(FORMULACIÓN!L202:O202),""))))),"")</f>
        <v/>
      </c>
      <c r="Q202" s="51" t="str">
        <f ca="1">IF($I202=Lists!$R$3,TEXT(FORMULACIÓN!P202,"00,00%"),IF(FORMULACIÓN!P202=0,0,TEXT(FORMULACIÓN!P202,"##.###")))</f>
        <v/>
      </c>
      <c r="R202" s="63"/>
      <c r="S202" s="59"/>
      <c r="T202" s="58"/>
      <c r="U202" s="66"/>
      <c r="V202" s="66"/>
      <c r="W202" s="66"/>
      <c r="X202" s="67" t="str">
        <f t="shared" si="10"/>
        <v/>
      </c>
      <c r="Y202" s="66"/>
      <c r="Z202" s="66"/>
      <c r="AA202" s="66"/>
      <c r="AB202" s="67" t="str">
        <f t="shared" si="11"/>
        <v/>
      </c>
      <c r="AC202" s="66"/>
      <c r="AD202" s="66"/>
      <c r="AE202" s="66"/>
      <c r="AF202" s="67" t="str">
        <f t="shared" si="12"/>
        <v/>
      </c>
      <c r="AG202" s="66"/>
      <c r="AH202" s="66"/>
      <c r="AI202" s="66"/>
      <c r="AJ202" s="65" t="str">
        <f t="shared" si="13"/>
        <v/>
      </c>
      <c r="AK202" s="65" t="str">
        <f>IF(SUM(AB202,AF202,X202,AJ202)=0,"",SUM((AB202,AF202,X202,AJ202)))</f>
        <v/>
      </c>
      <c r="AM202" s="74"/>
      <c r="AN202" s="74"/>
      <c r="AO202" s="74"/>
      <c r="AP202" s="74"/>
      <c r="AQ202" s="74"/>
      <c r="AR202" s="85"/>
      <c r="AS202" s="74"/>
      <c r="AT202" s="74"/>
      <c r="AU202" s="74"/>
      <c r="AV202" s="74"/>
      <c r="AX202" s="17"/>
      <c r="CG202" s="17"/>
    </row>
    <row r="203" spans="1:85" s="62" customFormat="1" ht="99.95" customHeight="1">
      <c r="A203" s="92" t="str">
        <f t="shared" si="14"/>
        <v/>
      </c>
      <c r="B203" s="58"/>
      <c r="C203" s="51" t="str">
        <f>IFERROR(VLOOKUP(FORMULACIÓN!B203,Lists!$A$2:$B$6,2,FALSE),"")</f>
        <v/>
      </c>
      <c r="D203" s="58"/>
      <c r="E203" s="58"/>
      <c r="F203" s="58"/>
      <c r="G203" s="58"/>
      <c r="H203" s="69"/>
      <c r="I203" s="58"/>
      <c r="J203" s="63"/>
      <c r="K203" s="69"/>
      <c r="L203" s="58"/>
      <c r="M203" s="58"/>
      <c r="N203" s="58"/>
      <c r="O203" s="58"/>
      <c r="P203" s="63" t="str">
        <f ca="1">IFERROR(IF($J203=Lists!$S$2,SUM(FORMULACIÓN!K203:O203),IF(FORMULACIÓN!$J203=Lists!$S$3,SUM(FORMULACIÓN!L203:O203),IF(FORMULACIÓN!$J203=Lists!$S$4,AVERAGE(FORMULACIÓN!L203:O203),IF(FORMULACIÓN!$J203=Lists!$S$5,OFFSET(K203,0,COUNTA(L203:O203)),IF(FORMULACIÓN!$J203=Lists!$S$6,AVERAGE(FORMULACIÓN!L203:O203),""))))),"")</f>
        <v/>
      </c>
      <c r="Q203" s="51" t="str">
        <f ca="1">IF($I203=Lists!$R$3,TEXT(FORMULACIÓN!P203,"00,00%"),IF(FORMULACIÓN!P203=0,0,TEXT(FORMULACIÓN!P203,"##.###")))</f>
        <v/>
      </c>
      <c r="R203" s="63"/>
      <c r="S203" s="59"/>
      <c r="T203" s="58"/>
      <c r="U203" s="66"/>
      <c r="V203" s="66"/>
      <c r="W203" s="66"/>
      <c r="X203" s="67" t="str">
        <f t="shared" si="10"/>
        <v/>
      </c>
      <c r="Y203" s="66"/>
      <c r="Z203" s="66"/>
      <c r="AA203" s="66"/>
      <c r="AB203" s="67" t="str">
        <f t="shared" si="11"/>
        <v/>
      </c>
      <c r="AC203" s="66"/>
      <c r="AD203" s="66"/>
      <c r="AE203" s="66"/>
      <c r="AF203" s="67" t="str">
        <f t="shared" si="12"/>
        <v/>
      </c>
      <c r="AG203" s="66"/>
      <c r="AH203" s="66"/>
      <c r="AI203" s="66"/>
      <c r="AJ203" s="65" t="str">
        <f t="shared" si="13"/>
        <v/>
      </c>
      <c r="AK203" s="65" t="str">
        <f>IF(SUM(AB203,AF203,X203,AJ203)=0,"",SUM((AB203,AF203,X203,AJ203)))</f>
        <v/>
      </c>
      <c r="AM203" s="74"/>
      <c r="AN203" s="74"/>
      <c r="AO203" s="74"/>
      <c r="AP203" s="74"/>
      <c r="AQ203" s="74"/>
      <c r="AR203" s="85"/>
      <c r="AS203" s="74"/>
      <c r="AT203" s="74"/>
      <c r="AU203" s="74"/>
      <c r="AV203" s="74"/>
      <c r="AX203" s="17"/>
      <c r="CG203" s="17"/>
    </row>
    <row r="204" spans="1:85" s="62" customFormat="1" ht="99.95" customHeight="1">
      <c r="A204" s="92" t="str">
        <f t="shared" si="14"/>
        <v/>
      </c>
      <c r="B204" s="58"/>
      <c r="C204" s="51" t="str">
        <f>IFERROR(VLOOKUP(FORMULACIÓN!B204,Lists!$A$2:$B$6,2,FALSE),"")</f>
        <v/>
      </c>
      <c r="D204" s="58"/>
      <c r="E204" s="58"/>
      <c r="F204" s="58"/>
      <c r="G204" s="58"/>
      <c r="H204" s="69"/>
      <c r="I204" s="58"/>
      <c r="J204" s="63"/>
      <c r="K204" s="69"/>
      <c r="L204" s="58"/>
      <c r="M204" s="58"/>
      <c r="N204" s="58"/>
      <c r="O204" s="58"/>
      <c r="P204" s="63" t="str">
        <f ca="1">IFERROR(IF($J204=Lists!$S$2,SUM(FORMULACIÓN!K204:O204),IF(FORMULACIÓN!$J204=Lists!$S$3,SUM(FORMULACIÓN!L204:O204),IF(FORMULACIÓN!$J204=Lists!$S$4,AVERAGE(FORMULACIÓN!L204:O204),IF(FORMULACIÓN!$J204=Lists!$S$5,OFFSET(K204,0,COUNTA(L204:O204)),IF(FORMULACIÓN!$J204=Lists!$S$6,AVERAGE(FORMULACIÓN!L204:O204),""))))),"")</f>
        <v/>
      </c>
      <c r="Q204" s="51" t="str">
        <f ca="1">IF($I204=Lists!$R$3,TEXT(FORMULACIÓN!P204,"00,00%"),IF(FORMULACIÓN!P204=0,0,TEXT(FORMULACIÓN!P204,"##.###")))</f>
        <v/>
      </c>
      <c r="R204" s="63"/>
      <c r="S204" s="59"/>
      <c r="T204" s="58"/>
      <c r="U204" s="66"/>
      <c r="V204" s="66"/>
      <c r="W204" s="66"/>
      <c r="X204" s="67" t="str">
        <f t="shared" ref="X204:X261" si="15">IF(SUM(U204:W204)=0,"",SUM(U204:W204))</f>
        <v/>
      </c>
      <c r="Y204" s="66"/>
      <c r="Z204" s="66"/>
      <c r="AA204" s="66"/>
      <c r="AB204" s="67" t="str">
        <f t="shared" ref="AB204:AB260" si="16">IF(SUM(Y204:AA204)=0,"",SUM(Y204:AA204))</f>
        <v/>
      </c>
      <c r="AC204" s="66"/>
      <c r="AD204" s="66"/>
      <c r="AE204" s="66"/>
      <c r="AF204" s="67" t="str">
        <f t="shared" ref="AF204:AF260" si="17">IF(SUM(AC204:AE204)=0,"",SUM(AC204:AE204))</f>
        <v/>
      </c>
      <c r="AG204" s="66"/>
      <c r="AH204" s="66"/>
      <c r="AI204" s="66"/>
      <c r="AJ204" s="65" t="str">
        <f t="shared" ref="AJ204:AJ261" si="18">IF(SUM(AG204:AI204)=0,"",SUM(AG204:AI204))</f>
        <v/>
      </c>
      <c r="AK204" s="65" t="str">
        <f>IF(SUM(AB204,AF204,X204,AJ204)=0,"",SUM((AB204,AF204,X204,AJ204)))</f>
        <v/>
      </c>
      <c r="AM204" s="74"/>
      <c r="AN204" s="74"/>
      <c r="AO204" s="74"/>
      <c r="AP204" s="74"/>
      <c r="AQ204" s="74"/>
      <c r="AR204" s="85"/>
      <c r="AS204" s="74"/>
      <c r="AT204" s="74"/>
      <c r="AU204" s="74"/>
      <c r="AV204" s="74"/>
      <c r="AX204" s="17"/>
      <c r="CG204" s="17"/>
    </row>
    <row r="205" spans="1:85" s="62" customFormat="1" ht="99.95" customHeight="1">
      <c r="A205" s="92" t="str">
        <f t="shared" si="14"/>
        <v/>
      </c>
      <c r="B205" s="58"/>
      <c r="C205" s="51" t="str">
        <f>IFERROR(VLOOKUP(FORMULACIÓN!B205,Lists!$A$2:$B$6,2,FALSE),"")</f>
        <v/>
      </c>
      <c r="D205" s="58"/>
      <c r="E205" s="58"/>
      <c r="F205" s="58"/>
      <c r="G205" s="58"/>
      <c r="H205" s="69"/>
      <c r="I205" s="58"/>
      <c r="J205" s="63"/>
      <c r="K205" s="69"/>
      <c r="L205" s="58"/>
      <c r="M205" s="58"/>
      <c r="N205" s="58"/>
      <c r="O205" s="58"/>
      <c r="P205" s="63" t="str">
        <f ca="1">IFERROR(IF($J205=Lists!$S$2,SUM(FORMULACIÓN!K205:O205),IF(FORMULACIÓN!$J205=Lists!$S$3,SUM(FORMULACIÓN!L205:O205),IF(FORMULACIÓN!$J205=Lists!$S$4,AVERAGE(FORMULACIÓN!L205:O205),IF(FORMULACIÓN!$J205=Lists!$S$5,OFFSET(K205,0,COUNTA(L205:O205)),IF(FORMULACIÓN!$J205=Lists!$S$6,AVERAGE(FORMULACIÓN!L205:O205),""))))),"")</f>
        <v/>
      </c>
      <c r="Q205" s="51" t="str">
        <f ca="1">IF($I205=Lists!$R$3,TEXT(FORMULACIÓN!P205,"00,00%"),IF(FORMULACIÓN!P205=0,0,TEXT(FORMULACIÓN!P205,"##.###")))</f>
        <v/>
      </c>
      <c r="R205" s="63"/>
      <c r="S205" s="59"/>
      <c r="T205" s="58"/>
      <c r="U205" s="66"/>
      <c r="V205" s="66"/>
      <c r="W205" s="66"/>
      <c r="X205" s="67" t="str">
        <f t="shared" si="15"/>
        <v/>
      </c>
      <c r="Y205" s="66"/>
      <c r="Z205" s="66"/>
      <c r="AA205" s="66"/>
      <c r="AB205" s="67" t="str">
        <f t="shared" si="16"/>
        <v/>
      </c>
      <c r="AC205" s="66"/>
      <c r="AD205" s="66"/>
      <c r="AE205" s="66"/>
      <c r="AF205" s="67" t="str">
        <f t="shared" si="17"/>
        <v/>
      </c>
      <c r="AG205" s="66"/>
      <c r="AH205" s="66"/>
      <c r="AI205" s="66"/>
      <c r="AJ205" s="65" t="str">
        <f t="shared" si="18"/>
        <v/>
      </c>
      <c r="AK205" s="65" t="str">
        <f>IF(SUM(AB205,AF205,X205,AJ205)=0,"",SUM((AB205,AF205,X205,AJ205)))</f>
        <v/>
      </c>
      <c r="AM205" s="74"/>
      <c r="AN205" s="74"/>
      <c r="AO205" s="74"/>
      <c r="AP205" s="74"/>
      <c r="AQ205" s="74"/>
      <c r="AR205" s="85"/>
      <c r="AS205" s="74"/>
      <c r="AT205" s="74"/>
      <c r="AU205" s="74"/>
      <c r="AV205" s="74"/>
      <c r="AX205" s="17"/>
      <c r="CG205" s="17"/>
    </row>
    <row r="206" spans="1:85" s="62" customFormat="1" ht="99.95" customHeight="1">
      <c r="A206" s="92" t="str">
        <f t="shared" ref="A206:A261" si="19">IF(B206&lt;&gt;"",A205+1,"")</f>
        <v/>
      </c>
      <c r="B206" s="58"/>
      <c r="C206" s="51" t="str">
        <f>IFERROR(VLOOKUP(FORMULACIÓN!B206,Lists!$A$2:$B$6,2,FALSE),"")</f>
        <v/>
      </c>
      <c r="D206" s="58"/>
      <c r="E206" s="58"/>
      <c r="F206" s="58"/>
      <c r="G206" s="58"/>
      <c r="H206" s="69"/>
      <c r="I206" s="58"/>
      <c r="J206" s="63"/>
      <c r="K206" s="69"/>
      <c r="L206" s="58"/>
      <c r="M206" s="58"/>
      <c r="N206" s="58"/>
      <c r="O206" s="58"/>
      <c r="P206" s="63" t="str">
        <f ca="1">IFERROR(IF($J206=Lists!$S$2,SUM(FORMULACIÓN!K206:O206),IF(FORMULACIÓN!$J206=Lists!$S$3,SUM(FORMULACIÓN!L206:O206),IF(FORMULACIÓN!$J206=Lists!$S$4,AVERAGE(FORMULACIÓN!L206:O206),IF(FORMULACIÓN!$J206=Lists!$S$5,OFFSET(K206,0,COUNTA(L206:O206)),IF(FORMULACIÓN!$J206=Lists!$S$6,AVERAGE(FORMULACIÓN!L206:O206),""))))),"")</f>
        <v/>
      </c>
      <c r="Q206" s="51" t="str">
        <f ca="1">IF($I206=Lists!$R$3,TEXT(FORMULACIÓN!P206,"00,00%"),IF(FORMULACIÓN!P206=0,0,TEXT(FORMULACIÓN!P206,"##.###")))</f>
        <v/>
      </c>
      <c r="R206" s="63"/>
      <c r="S206" s="59"/>
      <c r="T206" s="58"/>
      <c r="U206" s="66"/>
      <c r="V206" s="66"/>
      <c r="W206" s="66"/>
      <c r="X206" s="67" t="str">
        <f t="shared" si="15"/>
        <v/>
      </c>
      <c r="Y206" s="66"/>
      <c r="Z206" s="66"/>
      <c r="AA206" s="66"/>
      <c r="AB206" s="67" t="str">
        <f t="shared" si="16"/>
        <v/>
      </c>
      <c r="AC206" s="66"/>
      <c r="AD206" s="66"/>
      <c r="AE206" s="66"/>
      <c r="AF206" s="67" t="str">
        <f t="shared" si="17"/>
        <v/>
      </c>
      <c r="AG206" s="66"/>
      <c r="AH206" s="66"/>
      <c r="AI206" s="66"/>
      <c r="AJ206" s="65" t="str">
        <f t="shared" si="18"/>
        <v/>
      </c>
      <c r="AK206" s="65" t="str">
        <f>IF(SUM(AB206,AF206,X206,AJ206)=0,"",SUM((AB206,AF206,X206,AJ206)))</f>
        <v/>
      </c>
      <c r="AM206" s="74"/>
      <c r="AN206" s="74"/>
      <c r="AO206" s="74"/>
      <c r="AP206" s="74"/>
      <c r="AQ206" s="74"/>
      <c r="AR206" s="85"/>
      <c r="AS206" s="74"/>
      <c r="AT206" s="74"/>
      <c r="AU206" s="74"/>
      <c r="AV206" s="74"/>
      <c r="AX206" s="17"/>
      <c r="CG206" s="17"/>
    </row>
    <row r="207" spans="1:85" s="62" customFormat="1" ht="99.95" customHeight="1">
      <c r="A207" s="92" t="str">
        <f t="shared" si="19"/>
        <v/>
      </c>
      <c r="B207" s="58"/>
      <c r="C207" s="51" t="str">
        <f>IFERROR(VLOOKUP(FORMULACIÓN!B207,Lists!$A$2:$B$6,2,FALSE),"")</f>
        <v/>
      </c>
      <c r="D207" s="58"/>
      <c r="E207" s="58"/>
      <c r="F207" s="58"/>
      <c r="G207" s="58"/>
      <c r="H207" s="69"/>
      <c r="I207" s="58"/>
      <c r="J207" s="63"/>
      <c r="K207" s="69"/>
      <c r="L207" s="58"/>
      <c r="M207" s="58"/>
      <c r="N207" s="58"/>
      <c r="O207" s="58"/>
      <c r="P207" s="63" t="str">
        <f ca="1">IFERROR(IF($J207=Lists!$S$2,SUM(FORMULACIÓN!K207:O207),IF(FORMULACIÓN!$J207=Lists!$S$3,SUM(FORMULACIÓN!L207:O207),IF(FORMULACIÓN!$J207=Lists!$S$4,AVERAGE(FORMULACIÓN!L207:O207),IF(FORMULACIÓN!$J207=Lists!$S$5,OFFSET(K207,0,COUNTA(L207:O207)),IF(FORMULACIÓN!$J207=Lists!$S$6,AVERAGE(FORMULACIÓN!L207:O207),""))))),"")</f>
        <v/>
      </c>
      <c r="Q207" s="51" t="str">
        <f ca="1">IF($I207=Lists!$R$3,TEXT(FORMULACIÓN!P207,"00,00%"),IF(FORMULACIÓN!P207=0,0,TEXT(FORMULACIÓN!P207,"##.###")))</f>
        <v/>
      </c>
      <c r="R207" s="63"/>
      <c r="S207" s="59"/>
      <c r="T207" s="58"/>
      <c r="U207" s="66"/>
      <c r="V207" s="66"/>
      <c r="W207" s="66"/>
      <c r="X207" s="67" t="str">
        <f t="shared" si="15"/>
        <v/>
      </c>
      <c r="Y207" s="66"/>
      <c r="Z207" s="66"/>
      <c r="AA207" s="66"/>
      <c r="AB207" s="67" t="str">
        <f t="shared" si="16"/>
        <v/>
      </c>
      <c r="AC207" s="66"/>
      <c r="AD207" s="66"/>
      <c r="AE207" s="66"/>
      <c r="AF207" s="67" t="str">
        <f t="shared" si="17"/>
        <v/>
      </c>
      <c r="AG207" s="66"/>
      <c r="AH207" s="66"/>
      <c r="AI207" s="66"/>
      <c r="AJ207" s="65" t="str">
        <f t="shared" si="18"/>
        <v/>
      </c>
      <c r="AK207" s="65" t="str">
        <f>IF(SUM(AB207,AF207,X207,AJ207)=0,"",SUM((AB207,AF207,X207,AJ207)))</f>
        <v/>
      </c>
      <c r="AM207" s="74"/>
      <c r="AN207" s="74"/>
      <c r="AO207" s="74"/>
      <c r="AP207" s="74"/>
      <c r="AQ207" s="74"/>
      <c r="AR207" s="85"/>
      <c r="AS207" s="74"/>
      <c r="AT207" s="74"/>
      <c r="AU207" s="74"/>
      <c r="AV207" s="74"/>
      <c r="AX207" s="17"/>
      <c r="CG207" s="17"/>
    </row>
    <row r="208" spans="1:85" s="62" customFormat="1" ht="99.95" customHeight="1">
      <c r="A208" s="92" t="str">
        <f t="shared" si="19"/>
        <v/>
      </c>
      <c r="B208" s="58"/>
      <c r="C208" s="51" t="str">
        <f>IFERROR(VLOOKUP(FORMULACIÓN!B208,Lists!$A$2:$B$6,2,FALSE),"")</f>
        <v/>
      </c>
      <c r="D208" s="58"/>
      <c r="E208" s="58"/>
      <c r="F208" s="58"/>
      <c r="G208" s="58"/>
      <c r="H208" s="69"/>
      <c r="I208" s="58"/>
      <c r="J208" s="63"/>
      <c r="K208" s="69"/>
      <c r="L208" s="58"/>
      <c r="M208" s="58"/>
      <c r="N208" s="58"/>
      <c r="O208" s="58"/>
      <c r="P208" s="63" t="str">
        <f ca="1">IFERROR(IF($J208=Lists!$S$2,SUM(FORMULACIÓN!K208:O208),IF(FORMULACIÓN!$J208=Lists!$S$3,SUM(FORMULACIÓN!L208:O208),IF(FORMULACIÓN!$J208=Lists!$S$4,AVERAGE(FORMULACIÓN!L208:O208),IF(FORMULACIÓN!$J208=Lists!$S$5,OFFSET(K208,0,COUNTA(L208:O208)),IF(FORMULACIÓN!$J208=Lists!$S$6,AVERAGE(FORMULACIÓN!L208:O208),""))))),"")</f>
        <v/>
      </c>
      <c r="Q208" s="51" t="str">
        <f ca="1">IF($I208=Lists!$R$3,TEXT(FORMULACIÓN!P208,"00,00%"),IF(FORMULACIÓN!P208=0,0,TEXT(FORMULACIÓN!P208,"##.###")))</f>
        <v/>
      </c>
      <c r="R208" s="63"/>
      <c r="S208" s="59"/>
      <c r="T208" s="58"/>
      <c r="U208" s="66"/>
      <c r="V208" s="66"/>
      <c r="W208" s="66"/>
      <c r="X208" s="67" t="str">
        <f t="shared" si="15"/>
        <v/>
      </c>
      <c r="Y208" s="66"/>
      <c r="Z208" s="66"/>
      <c r="AA208" s="66"/>
      <c r="AB208" s="67" t="str">
        <f t="shared" si="16"/>
        <v/>
      </c>
      <c r="AC208" s="66"/>
      <c r="AD208" s="66"/>
      <c r="AE208" s="66"/>
      <c r="AF208" s="67" t="str">
        <f t="shared" si="17"/>
        <v/>
      </c>
      <c r="AG208" s="66"/>
      <c r="AH208" s="66"/>
      <c r="AI208" s="66"/>
      <c r="AJ208" s="65" t="str">
        <f t="shared" si="18"/>
        <v/>
      </c>
      <c r="AK208" s="65" t="str">
        <f>IF(SUM(AB208,AF208,X208,AJ208)=0,"",SUM((AB208,AF208,X208,AJ208)))</f>
        <v/>
      </c>
      <c r="AM208" s="74"/>
      <c r="AN208" s="74"/>
      <c r="AO208" s="74"/>
      <c r="AP208" s="74"/>
      <c r="AQ208" s="74"/>
      <c r="AR208" s="85"/>
      <c r="AS208" s="74"/>
      <c r="AT208" s="74"/>
      <c r="AU208" s="74"/>
      <c r="AV208" s="74"/>
      <c r="AX208" s="17"/>
      <c r="CG208" s="17"/>
    </row>
    <row r="209" spans="1:85" s="62" customFormat="1" ht="99.95" customHeight="1">
      <c r="A209" s="92" t="str">
        <f t="shared" si="19"/>
        <v/>
      </c>
      <c r="B209" s="58"/>
      <c r="C209" s="51" t="str">
        <f>IFERROR(VLOOKUP(FORMULACIÓN!B209,Lists!$A$2:$B$6,2,FALSE),"")</f>
        <v/>
      </c>
      <c r="D209" s="58"/>
      <c r="E209" s="58"/>
      <c r="F209" s="58"/>
      <c r="G209" s="58"/>
      <c r="H209" s="69"/>
      <c r="I209" s="58"/>
      <c r="J209" s="63"/>
      <c r="K209" s="69"/>
      <c r="L209" s="58"/>
      <c r="M209" s="58"/>
      <c r="N209" s="58"/>
      <c r="O209" s="58"/>
      <c r="P209" s="63" t="str">
        <f ca="1">IFERROR(IF($J209=Lists!$S$2,SUM(FORMULACIÓN!K209:O209),IF(FORMULACIÓN!$J209=Lists!$S$3,SUM(FORMULACIÓN!L209:O209),IF(FORMULACIÓN!$J209=Lists!$S$4,AVERAGE(FORMULACIÓN!L209:O209),IF(FORMULACIÓN!$J209=Lists!$S$5,OFFSET(K209,0,COUNTA(L209:O209)),IF(FORMULACIÓN!$J209=Lists!$S$6,AVERAGE(FORMULACIÓN!L209:O209),""))))),"")</f>
        <v/>
      </c>
      <c r="Q209" s="51" t="str">
        <f ca="1">IF($I209=Lists!$R$3,TEXT(FORMULACIÓN!P209,"00,00%"),IF(FORMULACIÓN!P209=0,0,TEXT(FORMULACIÓN!P209,"##.###")))</f>
        <v/>
      </c>
      <c r="R209" s="63"/>
      <c r="S209" s="59"/>
      <c r="T209" s="58"/>
      <c r="U209" s="66"/>
      <c r="V209" s="66"/>
      <c r="W209" s="66"/>
      <c r="X209" s="67" t="str">
        <f t="shared" si="15"/>
        <v/>
      </c>
      <c r="Y209" s="66"/>
      <c r="Z209" s="66"/>
      <c r="AA209" s="66"/>
      <c r="AB209" s="67" t="str">
        <f t="shared" si="16"/>
        <v/>
      </c>
      <c r="AC209" s="66"/>
      <c r="AD209" s="66"/>
      <c r="AE209" s="66"/>
      <c r="AF209" s="67" t="str">
        <f t="shared" si="17"/>
        <v/>
      </c>
      <c r="AG209" s="66"/>
      <c r="AH209" s="66"/>
      <c r="AI209" s="66"/>
      <c r="AJ209" s="65" t="str">
        <f t="shared" si="18"/>
        <v/>
      </c>
      <c r="AK209" s="65" t="str">
        <f>IF(SUM(AB209,AF209,X209,AJ209)=0,"",SUM((AB209,AF209,X209,AJ209)))</f>
        <v/>
      </c>
      <c r="AM209" s="74"/>
      <c r="AN209" s="74"/>
      <c r="AO209" s="74"/>
      <c r="AP209" s="74"/>
      <c r="AQ209" s="74"/>
      <c r="AR209" s="85"/>
      <c r="AS209" s="74"/>
      <c r="AT209" s="74"/>
      <c r="AU209" s="74"/>
      <c r="AV209" s="74"/>
      <c r="AX209" s="17"/>
      <c r="CG209" s="17"/>
    </row>
    <row r="210" spans="1:85" s="62" customFormat="1" ht="99.95" customHeight="1">
      <c r="A210" s="92" t="str">
        <f t="shared" si="19"/>
        <v/>
      </c>
      <c r="B210" s="58"/>
      <c r="C210" s="51" t="str">
        <f>IFERROR(VLOOKUP(FORMULACIÓN!B210,Lists!$A$2:$B$6,2,FALSE),"")</f>
        <v/>
      </c>
      <c r="D210" s="58"/>
      <c r="E210" s="58"/>
      <c r="F210" s="58"/>
      <c r="G210" s="58"/>
      <c r="H210" s="69"/>
      <c r="I210" s="58"/>
      <c r="J210" s="63"/>
      <c r="K210" s="69"/>
      <c r="L210" s="58"/>
      <c r="M210" s="58"/>
      <c r="N210" s="58"/>
      <c r="O210" s="58"/>
      <c r="P210" s="63" t="str">
        <f ca="1">IFERROR(IF($J210=Lists!$S$2,SUM(FORMULACIÓN!K210:O210),IF(FORMULACIÓN!$J210=Lists!$S$3,SUM(FORMULACIÓN!L210:O210),IF(FORMULACIÓN!$J210=Lists!$S$4,AVERAGE(FORMULACIÓN!L210:O210),IF(FORMULACIÓN!$J210=Lists!$S$5,OFFSET(K210,0,COUNTA(L210:O210)),IF(FORMULACIÓN!$J210=Lists!$S$6,AVERAGE(FORMULACIÓN!L210:O210),""))))),"")</f>
        <v/>
      </c>
      <c r="Q210" s="51" t="str">
        <f ca="1">IF($I210=Lists!$R$3,TEXT(FORMULACIÓN!P210,"00,00%"),IF(FORMULACIÓN!P210=0,0,TEXT(FORMULACIÓN!P210,"##.###")))</f>
        <v/>
      </c>
      <c r="R210" s="63"/>
      <c r="S210" s="59"/>
      <c r="T210" s="58"/>
      <c r="U210" s="66"/>
      <c r="V210" s="66"/>
      <c r="W210" s="66"/>
      <c r="X210" s="67" t="str">
        <f t="shared" si="15"/>
        <v/>
      </c>
      <c r="Y210" s="66"/>
      <c r="Z210" s="66"/>
      <c r="AA210" s="66"/>
      <c r="AB210" s="67" t="str">
        <f t="shared" si="16"/>
        <v/>
      </c>
      <c r="AC210" s="66"/>
      <c r="AD210" s="66"/>
      <c r="AE210" s="66"/>
      <c r="AF210" s="67" t="str">
        <f t="shared" si="17"/>
        <v/>
      </c>
      <c r="AG210" s="66"/>
      <c r="AH210" s="66"/>
      <c r="AI210" s="66"/>
      <c r="AJ210" s="65" t="str">
        <f t="shared" si="18"/>
        <v/>
      </c>
      <c r="AK210" s="65" t="str">
        <f>IF(SUM(AB210,AF210,X210,AJ210)=0,"",SUM((AB210,AF210,X210,AJ210)))</f>
        <v/>
      </c>
      <c r="AM210" s="74"/>
      <c r="AN210" s="74"/>
      <c r="AO210" s="74"/>
      <c r="AP210" s="74"/>
      <c r="AQ210" s="74"/>
      <c r="AR210" s="85"/>
      <c r="AS210" s="74"/>
      <c r="AT210" s="74"/>
      <c r="AU210" s="74"/>
      <c r="AV210" s="74"/>
      <c r="AX210" s="17"/>
      <c r="CG210" s="17"/>
    </row>
    <row r="211" spans="1:85" s="62" customFormat="1" ht="99.95" customHeight="1">
      <c r="A211" s="92" t="str">
        <f t="shared" si="19"/>
        <v/>
      </c>
      <c r="B211" s="58"/>
      <c r="C211" s="51" t="str">
        <f>IFERROR(VLOOKUP(FORMULACIÓN!B211,Lists!$A$2:$B$6,2,FALSE),"")</f>
        <v/>
      </c>
      <c r="D211" s="58"/>
      <c r="E211" s="58"/>
      <c r="F211" s="58"/>
      <c r="G211" s="58"/>
      <c r="H211" s="69"/>
      <c r="I211" s="58"/>
      <c r="J211" s="63"/>
      <c r="K211" s="69"/>
      <c r="L211" s="58"/>
      <c r="M211" s="58"/>
      <c r="N211" s="58"/>
      <c r="O211" s="58"/>
      <c r="P211" s="63" t="str">
        <f ca="1">IFERROR(IF($J211=Lists!$S$2,SUM(FORMULACIÓN!K211:O211),IF(FORMULACIÓN!$J211=Lists!$S$3,SUM(FORMULACIÓN!L211:O211),IF(FORMULACIÓN!$J211=Lists!$S$4,AVERAGE(FORMULACIÓN!L211:O211),IF(FORMULACIÓN!$J211=Lists!$S$5,OFFSET(K211,0,COUNTA(L211:O211)),IF(FORMULACIÓN!$J211=Lists!$S$6,AVERAGE(FORMULACIÓN!L211:O211),""))))),"")</f>
        <v/>
      </c>
      <c r="Q211" s="51" t="str">
        <f ca="1">IF($I211=Lists!$R$3,TEXT(FORMULACIÓN!P211,"00,00%"),IF(FORMULACIÓN!P211=0,0,TEXT(FORMULACIÓN!P211,"##.###")))</f>
        <v/>
      </c>
      <c r="R211" s="63"/>
      <c r="S211" s="59"/>
      <c r="T211" s="58"/>
      <c r="U211" s="66"/>
      <c r="V211" s="66"/>
      <c r="W211" s="66"/>
      <c r="X211" s="67" t="str">
        <f t="shared" si="15"/>
        <v/>
      </c>
      <c r="Y211" s="66"/>
      <c r="Z211" s="66"/>
      <c r="AA211" s="66"/>
      <c r="AB211" s="67" t="str">
        <f t="shared" si="16"/>
        <v/>
      </c>
      <c r="AC211" s="66"/>
      <c r="AD211" s="66"/>
      <c r="AE211" s="66"/>
      <c r="AF211" s="67" t="str">
        <f t="shared" si="17"/>
        <v/>
      </c>
      <c r="AG211" s="66"/>
      <c r="AH211" s="66"/>
      <c r="AI211" s="66"/>
      <c r="AJ211" s="65" t="str">
        <f t="shared" si="18"/>
        <v/>
      </c>
      <c r="AK211" s="65" t="str">
        <f>IF(SUM(AB211,AF211,X211,AJ211)=0,"",SUM((AB211,AF211,X211,AJ211)))</f>
        <v/>
      </c>
      <c r="AM211" s="74"/>
      <c r="AN211" s="74"/>
      <c r="AO211" s="74"/>
      <c r="AP211" s="74"/>
      <c r="AQ211" s="74"/>
      <c r="AR211" s="85"/>
      <c r="AS211" s="74"/>
      <c r="AT211" s="74"/>
      <c r="AU211" s="74"/>
      <c r="AV211" s="74"/>
      <c r="AX211" s="17"/>
      <c r="CG211" s="17"/>
    </row>
    <row r="212" spans="1:85" s="62" customFormat="1" ht="99.95" customHeight="1">
      <c r="A212" s="92" t="str">
        <f t="shared" si="19"/>
        <v/>
      </c>
      <c r="B212" s="58"/>
      <c r="C212" s="51" t="str">
        <f>IFERROR(VLOOKUP(FORMULACIÓN!B212,Lists!$A$2:$B$6,2,FALSE),"")</f>
        <v/>
      </c>
      <c r="D212" s="58"/>
      <c r="E212" s="58"/>
      <c r="F212" s="58"/>
      <c r="G212" s="58"/>
      <c r="H212" s="69"/>
      <c r="I212" s="58"/>
      <c r="J212" s="63"/>
      <c r="K212" s="69"/>
      <c r="L212" s="58"/>
      <c r="M212" s="58"/>
      <c r="N212" s="58"/>
      <c r="O212" s="58"/>
      <c r="P212" s="63" t="str">
        <f ca="1">IFERROR(IF($J212=Lists!$S$2,SUM(FORMULACIÓN!K212:O212),IF(FORMULACIÓN!$J212=Lists!$S$3,SUM(FORMULACIÓN!L212:O212),IF(FORMULACIÓN!$J212=Lists!$S$4,AVERAGE(FORMULACIÓN!L212:O212),IF(FORMULACIÓN!$J212=Lists!$S$5,OFFSET(K212,0,COUNTA(L212:O212)),IF(FORMULACIÓN!$J212=Lists!$S$6,AVERAGE(FORMULACIÓN!L212:O212),""))))),"")</f>
        <v/>
      </c>
      <c r="Q212" s="51" t="str">
        <f ca="1">IF($I212=Lists!$R$3,TEXT(FORMULACIÓN!P212,"00,00%"),IF(FORMULACIÓN!P212=0,0,TEXT(FORMULACIÓN!P212,"##.###")))</f>
        <v/>
      </c>
      <c r="R212" s="63"/>
      <c r="S212" s="59"/>
      <c r="T212" s="58"/>
      <c r="U212" s="66"/>
      <c r="V212" s="66"/>
      <c r="W212" s="66"/>
      <c r="X212" s="67" t="str">
        <f t="shared" si="15"/>
        <v/>
      </c>
      <c r="Y212" s="66"/>
      <c r="Z212" s="66"/>
      <c r="AA212" s="66"/>
      <c r="AB212" s="67" t="str">
        <f t="shared" si="16"/>
        <v/>
      </c>
      <c r="AC212" s="66"/>
      <c r="AD212" s="66"/>
      <c r="AE212" s="66"/>
      <c r="AF212" s="67" t="str">
        <f t="shared" si="17"/>
        <v/>
      </c>
      <c r="AG212" s="66"/>
      <c r="AH212" s="66"/>
      <c r="AI212" s="66"/>
      <c r="AJ212" s="65" t="str">
        <f t="shared" si="18"/>
        <v/>
      </c>
      <c r="AK212" s="65" t="str">
        <f>IF(SUM(AB212,AF212,X212,AJ212)=0,"",SUM((AB212,AF212,X212,AJ212)))</f>
        <v/>
      </c>
      <c r="AM212" s="74"/>
      <c r="AN212" s="74"/>
      <c r="AO212" s="74"/>
      <c r="AP212" s="74"/>
      <c r="AQ212" s="74"/>
      <c r="AR212" s="85"/>
      <c r="AS212" s="74"/>
      <c r="AT212" s="74"/>
      <c r="AU212" s="74"/>
      <c r="AV212" s="74"/>
      <c r="AX212" s="17"/>
      <c r="CG212" s="17"/>
    </row>
    <row r="213" spans="1:85" s="62" customFormat="1" ht="99.95" customHeight="1">
      <c r="A213" s="92" t="str">
        <f t="shared" si="19"/>
        <v/>
      </c>
      <c r="B213" s="58"/>
      <c r="C213" s="51" t="str">
        <f>IFERROR(VLOOKUP(FORMULACIÓN!B213,Lists!$A$2:$B$6,2,FALSE),"")</f>
        <v/>
      </c>
      <c r="D213" s="58"/>
      <c r="E213" s="58"/>
      <c r="F213" s="58"/>
      <c r="G213" s="58"/>
      <c r="H213" s="69"/>
      <c r="I213" s="58"/>
      <c r="J213" s="63"/>
      <c r="K213" s="69"/>
      <c r="L213" s="58"/>
      <c r="M213" s="58"/>
      <c r="N213" s="58"/>
      <c r="O213" s="58"/>
      <c r="P213" s="63" t="str">
        <f ca="1">IFERROR(IF($J213=Lists!$S$2,SUM(FORMULACIÓN!K213:O213),IF(FORMULACIÓN!$J213=Lists!$S$3,SUM(FORMULACIÓN!L213:O213),IF(FORMULACIÓN!$J213=Lists!$S$4,AVERAGE(FORMULACIÓN!L213:O213),IF(FORMULACIÓN!$J213=Lists!$S$5,OFFSET(K213,0,COUNTA(L213:O213)),IF(FORMULACIÓN!$J213=Lists!$S$6,AVERAGE(FORMULACIÓN!L213:O213),""))))),"")</f>
        <v/>
      </c>
      <c r="Q213" s="51" t="str">
        <f ca="1">IF($I213=Lists!$R$3,TEXT(FORMULACIÓN!P213,"00,00%"),IF(FORMULACIÓN!P213=0,0,TEXT(FORMULACIÓN!P213,"##.###")))</f>
        <v/>
      </c>
      <c r="R213" s="63"/>
      <c r="S213" s="59"/>
      <c r="T213" s="58"/>
      <c r="U213" s="66"/>
      <c r="V213" s="66"/>
      <c r="W213" s="66"/>
      <c r="X213" s="67" t="str">
        <f t="shared" si="15"/>
        <v/>
      </c>
      <c r="Y213" s="66"/>
      <c r="Z213" s="66"/>
      <c r="AA213" s="66"/>
      <c r="AB213" s="67" t="str">
        <f t="shared" si="16"/>
        <v/>
      </c>
      <c r="AC213" s="66"/>
      <c r="AD213" s="66"/>
      <c r="AE213" s="66"/>
      <c r="AF213" s="67" t="str">
        <f t="shared" si="17"/>
        <v/>
      </c>
      <c r="AG213" s="66"/>
      <c r="AH213" s="66"/>
      <c r="AI213" s="66"/>
      <c r="AJ213" s="65" t="str">
        <f t="shared" si="18"/>
        <v/>
      </c>
      <c r="AK213" s="65" t="str">
        <f>IF(SUM(AB213,AF213,X213,AJ213)=0,"",SUM((AB213,AF213,X213,AJ213)))</f>
        <v/>
      </c>
      <c r="AM213" s="74"/>
      <c r="AN213" s="74"/>
      <c r="AO213" s="74"/>
      <c r="AP213" s="74"/>
      <c r="AQ213" s="74"/>
      <c r="AR213" s="85"/>
      <c r="AS213" s="74"/>
      <c r="AT213" s="74"/>
      <c r="AU213" s="74"/>
      <c r="AV213" s="74"/>
      <c r="AX213" s="17"/>
      <c r="CG213" s="17"/>
    </row>
    <row r="214" spans="1:85" s="62" customFormat="1" ht="99.95" customHeight="1">
      <c r="A214" s="92" t="str">
        <f t="shared" si="19"/>
        <v/>
      </c>
      <c r="B214" s="58"/>
      <c r="C214" s="51" t="str">
        <f>IFERROR(VLOOKUP(FORMULACIÓN!B214,Lists!$A$2:$B$6,2,FALSE),"")</f>
        <v/>
      </c>
      <c r="D214" s="58"/>
      <c r="E214" s="58"/>
      <c r="F214" s="58"/>
      <c r="G214" s="58"/>
      <c r="H214" s="69"/>
      <c r="I214" s="58"/>
      <c r="J214" s="63"/>
      <c r="K214" s="69"/>
      <c r="L214" s="58"/>
      <c r="M214" s="58"/>
      <c r="N214" s="58"/>
      <c r="O214" s="58"/>
      <c r="P214" s="63" t="str">
        <f ca="1">IFERROR(IF($J214=Lists!$S$2,SUM(FORMULACIÓN!K214:O214),IF(FORMULACIÓN!$J214=Lists!$S$3,SUM(FORMULACIÓN!L214:O214),IF(FORMULACIÓN!$J214=Lists!$S$4,AVERAGE(FORMULACIÓN!L214:O214),IF(FORMULACIÓN!$J214=Lists!$S$5,OFFSET(K214,0,COUNTA(L214:O214)),IF(FORMULACIÓN!$J214=Lists!$S$6,AVERAGE(FORMULACIÓN!L214:O214),""))))),"")</f>
        <v/>
      </c>
      <c r="Q214" s="51" t="str">
        <f ca="1">IF($I214=Lists!$R$3,TEXT(FORMULACIÓN!P214,"00,00%"),IF(FORMULACIÓN!P214=0,0,TEXT(FORMULACIÓN!P214,"##.###")))</f>
        <v/>
      </c>
      <c r="R214" s="63"/>
      <c r="S214" s="59"/>
      <c r="T214" s="58"/>
      <c r="U214" s="66"/>
      <c r="V214" s="66"/>
      <c r="W214" s="66"/>
      <c r="X214" s="67" t="str">
        <f t="shared" si="15"/>
        <v/>
      </c>
      <c r="Y214" s="66"/>
      <c r="Z214" s="66"/>
      <c r="AA214" s="66"/>
      <c r="AB214" s="67" t="str">
        <f t="shared" si="16"/>
        <v/>
      </c>
      <c r="AC214" s="66"/>
      <c r="AD214" s="66"/>
      <c r="AE214" s="66"/>
      <c r="AF214" s="67" t="str">
        <f t="shared" si="17"/>
        <v/>
      </c>
      <c r="AG214" s="66"/>
      <c r="AH214" s="66"/>
      <c r="AI214" s="66"/>
      <c r="AJ214" s="65" t="str">
        <f t="shared" si="18"/>
        <v/>
      </c>
      <c r="AK214" s="65" t="str">
        <f>IF(SUM(AB214,AF214,X214,AJ214)=0,"",SUM((AB214,AF214,X214,AJ214)))</f>
        <v/>
      </c>
      <c r="AM214" s="74"/>
      <c r="AN214" s="74"/>
      <c r="AO214" s="74"/>
      <c r="AP214" s="74"/>
      <c r="AQ214" s="74"/>
      <c r="AR214" s="85"/>
      <c r="AS214" s="74"/>
      <c r="AT214" s="74"/>
      <c r="AU214" s="74"/>
      <c r="AV214" s="74"/>
      <c r="AX214" s="17"/>
      <c r="CG214" s="17"/>
    </row>
    <row r="215" spans="1:85" s="62" customFormat="1" ht="99.95" customHeight="1">
      <c r="A215" s="92" t="str">
        <f t="shared" si="19"/>
        <v/>
      </c>
      <c r="B215" s="58"/>
      <c r="C215" s="51" t="str">
        <f>IFERROR(VLOOKUP(FORMULACIÓN!B215,Lists!$A$2:$B$6,2,FALSE),"")</f>
        <v/>
      </c>
      <c r="D215" s="58"/>
      <c r="E215" s="58"/>
      <c r="F215" s="58"/>
      <c r="G215" s="58"/>
      <c r="H215" s="69"/>
      <c r="I215" s="58"/>
      <c r="J215" s="63"/>
      <c r="K215" s="69"/>
      <c r="L215" s="58"/>
      <c r="M215" s="58"/>
      <c r="N215" s="58"/>
      <c r="O215" s="58"/>
      <c r="P215" s="63" t="str">
        <f ca="1">IFERROR(IF($J215=Lists!$S$2,SUM(FORMULACIÓN!K215:O215),IF(FORMULACIÓN!$J215=Lists!$S$3,SUM(FORMULACIÓN!L215:O215),IF(FORMULACIÓN!$J215=Lists!$S$4,AVERAGE(FORMULACIÓN!L215:O215),IF(FORMULACIÓN!$J215=Lists!$S$5,OFFSET(K215,0,COUNTA(L215:O215)),IF(FORMULACIÓN!$J215=Lists!$S$6,AVERAGE(FORMULACIÓN!L215:O215),""))))),"")</f>
        <v/>
      </c>
      <c r="Q215" s="51" t="str">
        <f ca="1">IF($I215=Lists!$R$3,TEXT(FORMULACIÓN!P215,"00,00%"),IF(FORMULACIÓN!P215=0,0,TEXT(FORMULACIÓN!P215,"##.###")))</f>
        <v/>
      </c>
      <c r="R215" s="63"/>
      <c r="S215" s="59"/>
      <c r="T215" s="58"/>
      <c r="U215" s="66"/>
      <c r="V215" s="66"/>
      <c r="W215" s="66"/>
      <c r="X215" s="67" t="str">
        <f t="shared" si="15"/>
        <v/>
      </c>
      <c r="Y215" s="66"/>
      <c r="Z215" s="66"/>
      <c r="AA215" s="66"/>
      <c r="AB215" s="67" t="str">
        <f t="shared" si="16"/>
        <v/>
      </c>
      <c r="AC215" s="66"/>
      <c r="AD215" s="66"/>
      <c r="AE215" s="66"/>
      <c r="AF215" s="67" t="str">
        <f t="shared" si="17"/>
        <v/>
      </c>
      <c r="AG215" s="66"/>
      <c r="AH215" s="66"/>
      <c r="AI215" s="66"/>
      <c r="AJ215" s="65" t="str">
        <f t="shared" si="18"/>
        <v/>
      </c>
      <c r="AK215" s="65" t="str">
        <f>IF(SUM(AB215,AF215,X215,AJ215)=0,"",SUM((AB215,AF215,X215,AJ215)))</f>
        <v/>
      </c>
      <c r="AM215" s="74"/>
      <c r="AN215" s="74"/>
      <c r="AO215" s="74"/>
      <c r="AP215" s="74"/>
      <c r="AQ215" s="74"/>
      <c r="AR215" s="85"/>
      <c r="AS215" s="74"/>
      <c r="AT215" s="74"/>
      <c r="AU215" s="74"/>
      <c r="AV215" s="74"/>
      <c r="AX215" s="17"/>
      <c r="CG215" s="17"/>
    </row>
    <row r="216" spans="1:85" s="62" customFormat="1" ht="99.95" customHeight="1">
      <c r="A216" s="92" t="str">
        <f t="shared" si="19"/>
        <v/>
      </c>
      <c r="B216" s="58"/>
      <c r="C216" s="51" t="str">
        <f>IFERROR(VLOOKUP(FORMULACIÓN!B216,Lists!$A$2:$B$6,2,FALSE),"")</f>
        <v/>
      </c>
      <c r="D216" s="58"/>
      <c r="E216" s="58"/>
      <c r="F216" s="58"/>
      <c r="G216" s="58"/>
      <c r="H216" s="69"/>
      <c r="I216" s="58"/>
      <c r="J216" s="63"/>
      <c r="K216" s="69"/>
      <c r="L216" s="58"/>
      <c r="M216" s="58"/>
      <c r="N216" s="58"/>
      <c r="O216" s="58"/>
      <c r="P216" s="63" t="str">
        <f ca="1">IFERROR(IF($J216=Lists!$S$2,SUM(FORMULACIÓN!K216:O216),IF(FORMULACIÓN!$J216=Lists!$S$3,SUM(FORMULACIÓN!L216:O216),IF(FORMULACIÓN!$J216=Lists!$S$4,AVERAGE(FORMULACIÓN!L216:O216),IF(FORMULACIÓN!$J216=Lists!$S$5,OFFSET(K216,0,COUNTA(L216:O216)),IF(FORMULACIÓN!$J216=Lists!$S$6,AVERAGE(FORMULACIÓN!L216:O216),""))))),"")</f>
        <v/>
      </c>
      <c r="Q216" s="51" t="str">
        <f ca="1">IF($I216=Lists!$R$3,TEXT(FORMULACIÓN!P216,"00,00%"),IF(FORMULACIÓN!P216=0,0,TEXT(FORMULACIÓN!P216,"##.###")))</f>
        <v/>
      </c>
      <c r="R216" s="63"/>
      <c r="S216" s="59"/>
      <c r="T216" s="58"/>
      <c r="U216" s="66"/>
      <c r="V216" s="66"/>
      <c r="W216" s="66"/>
      <c r="X216" s="67" t="str">
        <f t="shared" si="15"/>
        <v/>
      </c>
      <c r="Y216" s="66"/>
      <c r="Z216" s="66"/>
      <c r="AA216" s="66"/>
      <c r="AB216" s="67" t="str">
        <f t="shared" si="16"/>
        <v/>
      </c>
      <c r="AC216" s="66"/>
      <c r="AD216" s="66"/>
      <c r="AE216" s="66"/>
      <c r="AF216" s="67" t="str">
        <f t="shared" si="17"/>
        <v/>
      </c>
      <c r="AG216" s="66"/>
      <c r="AH216" s="66"/>
      <c r="AI216" s="66"/>
      <c r="AJ216" s="65" t="str">
        <f t="shared" si="18"/>
        <v/>
      </c>
      <c r="AK216" s="65" t="str">
        <f>IF(SUM(AB216,AF216,X216,AJ216)=0,"",SUM((AB216,AF216,X216,AJ216)))</f>
        <v/>
      </c>
      <c r="AM216" s="74"/>
      <c r="AN216" s="74"/>
      <c r="AO216" s="74"/>
      <c r="AP216" s="74"/>
      <c r="AQ216" s="74"/>
      <c r="AR216" s="85"/>
      <c r="AS216" s="74"/>
      <c r="AT216" s="74"/>
      <c r="AU216" s="74"/>
      <c r="AV216" s="74"/>
      <c r="AX216" s="17"/>
      <c r="CG216" s="17"/>
    </row>
    <row r="217" spans="1:85" s="62" customFormat="1" ht="99.95" customHeight="1">
      <c r="A217" s="92" t="str">
        <f t="shared" si="19"/>
        <v/>
      </c>
      <c r="B217" s="58"/>
      <c r="C217" s="51" t="str">
        <f>IFERROR(VLOOKUP(FORMULACIÓN!B217,Lists!$A$2:$B$6,2,FALSE),"")</f>
        <v/>
      </c>
      <c r="D217" s="58"/>
      <c r="E217" s="58"/>
      <c r="F217" s="58"/>
      <c r="G217" s="58"/>
      <c r="H217" s="69"/>
      <c r="I217" s="58"/>
      <c r="J217" s="63"/>
      <c r="K217" s="69"/>
      <c r="L217" s="58"/>
      <c r="M217" s="58"/>
      <c r="N217" s="58"/>
      <c r="O217" s="58"/>
      <c r="P217" s="63" t="str">
        <f ca="1">IFERROR(IF($J217=Lists!$S$2,SUM(FORMULACIÓN!K217:O217),IF(FORMULACIÓN!$J217=Lists!$S$3,SUM(FORMULACIÓN!L217:O217),IF(FORMULACIÓN!$J217=Lists!$S$4,AVERAGE(FORMULACIÓN!L217:O217),IF(FORMULACIÓN!$J217=Lists!$S$5,OFFSET(K217,0,COUNTA(L217:O217)),IF(FORMULACIÓN!$J217=Lists!$S$6,AVERAGE(FORMULACIÓN!L217:O217),""))))),"")</f>
        <v/>
      </c>
      <c r="Q217" s="51" t="str">
        <f ca="1">IF($I217=Lists!$R$3,TEXT(FORMULACIÓN!P217,"00,00%"),IF(FORMULACIÓN!P217=0,0,TEXT(FORMULACIÓN!P217,"##.###")))</f>
        <v/>
      </c>
      <c r="R217" s="63"/>
      <c r="S217" s="59"/>
      <c r="T217" s="58"/>
      <c r="U217" s="66"/>
      <c r="V217" s="66"/>
      <c r="W217" s="66"/>
      <c r="X217" s="67" t="str">
        <f t="shared" si="15"/>
        <v/>
      </c>
      <c r="Y217" s="66"/>
      <c r="Z217" s="66"/>
      <c r="AA217" s="66"/>
      <c r="AB217" s="67" t="str">
        <f t="shared" si="16"/>
        <v/>
      </c>
      <c r="AC217" s="66"/>
      <c r="AD217" s="66"/>
      <c r="AE217" s="66"/>
      <c r="AF217" s="67" t="str">
        <f t="shared" si="17"/>
        <v/>
      </c>
      <c r="AG217" s="66"/>
      <c r="AH217" s="66"/>
      <c r="AI217" s="66"/>
      <c r="AJ217" s="65" t="str">
        <f t="shared" si="18"/>
        <v/>
      </c>
      <c r="AK217" s="65" t="str">
        <f>IF(SUM(AB217,AF217,X217,AJ217)=0,"",SUM((AB217,AF217,X217,AJ217)))</f>
        <v/>
      </c>
      <c r="AM217" s="74"/>
      <c r="AN217" s="74"/>
      <c r="AO217" s="74"/>
      <c r="AP217" s="74"/>
      <c r="AQ217" s="74"/>
      <c r="AR217" s="85"/>
      <c r="AS217" s="74"/>
      <c r="AT217" s="74"/>
      <c r="AU217" s="74"/>
      <c r="AV217" s="74"/>
      <c r="AX217" s="17"/>
      <c r="CG217" s="17"/>
    </row>
    <row r="218" spans="1:85" s="62" customFormat="1" ht="99.95" customHeight="1">
      <c r="A218" s="92" t="str">
        <f t="shared" si="19"/>
        <v/>
      </c>
      <c r="B218" s="58"/>
      <c r="C218" s="51" t="str">
        <f>IFERROR(VLOOKUP(FORMULACIÓN!B218,Lists!$A$2:$B$6,2,FALSE),"")</f>
        <v/>
      </c>
      <c r="D218" s="58"/>
      <c r="E218" s="58"/>
      <c r="F218" s="58"/>
      <c r="G218" s="58"/>
      <c r="H218" s="69"/>
      <c r="I218" s="58"/>
      <c r="J218" s="63"/>
      <c r="K218" s="69"/>
      <c r="L218" s="58"/>
      <c r="M218" s="58"/>
      <c r="N218" s="58"/>
      <c r="O218" s="58"/>
      <c r="P218" s="63" t="str">
        <f ca="1">IFERROR(IF($J218=Lists!$S$2,SUM(FORMULACIÓN!K218:O218),IF(FORMULACIÓN!$J218=Lists!$S$3,SUM(FORMULACIÓN!L218:O218),IF(FORMULACIÓN!$J218=Lists!$S$4,AVERAGE(FORMULACIÓN!L218:O218),IF(FORMULACIÓN!$J218=Lists!$S$5,OFFSET(K218,0,COUNTA(L218:O218)),IF(FORMULACIÓN!$J218=Lists!$S$6,AVERAGE(FORMULACIÓN!L218:O218),""))))),"")</f>
        <v/>
      </c>
      <c r="Q218" s="51" t="str">
        <f ca="1">IF($I218=Lists!$R$3,TEXT(FORMULACIÓN!P218,"00,00%"),IF(FORMULACIÓN!P218=0,0,TEXT(FORMULACIÓN!P218,"##.###")))</f>
        <v/>
      </c>
      <c r="R218" s="63"/>
      <c r="S218" s="59"/>
      <c r="T218" s="58"/>
      <c r="U218" s="66"/>
      <c r="V218" s="66"/>
      <c r="W218" s="66"/>
      <c r="X218" s="67" t="str">
        <f t="shared" si="15"/>
        <v/>
      </c>
      <c r="Y218" s="66"/>
      <c r="Z218" s="66"/>
      <c r="AA218" s="66"/>
      <c r="AB218" s="67" t="str">
        <f t="shared" si="16"/>
        <v/>
      </c>
      <c r="AC218" s="66"/>
      <c r="AD218" s="66"/>
      <c r="AE218" s="66"/>
      <c r="AF218" s="67" t="str">
        <f t="shared" si="17"/>
        <v/>
      </c>
      <c r="AG218" s="66"/>
      <c r="AH218" s="66"/>
      <c r="AI218" s="66"/>
      <c r="AJ218" s="65" t="str">
        <f t="shared" si="18"/>
        <v/>
      </c>
      <c r="AK218" s="65" t="str">
        <f>IF(SUM(AB218,AF218,X218,AJ218)=0,"",SUM((AB218,AF218,X218,AJ218)))</f>
        <v/>
      </c>
      <c r="AM218" s="74"/>
      <c r="AN218" s="74"/>
      <c r="AO218" s="74"/>
      <c r="AP218" s="74"/>
      <c r="AQ218" s="74"/>
      <c r="AR218" s="85"/>
      <c r="AS218" s="74"/>
      <c r="AT218" s="74"/>
      <c r="AU218" s="74"/>
      <c r="AV218" s="74"/>
      <c r="AX218" s="17"/>
      <c r="CG218" s="17"/>
    </row>
    <row r="219" spans="1:85" s="62" customFormat="1" ht="99.95" customHeight="1">
      <c r="A219" s="92" t="str">
        <f t="shared" si="19"/>
        <v/>
      </c>
      <c r="B219" s="58"/>
      <c r="C219" s="51" t="str">
        <f>IFERROR(VLOOKUP(FORMULACIÓN!B219,Lists!$A$2:$B$6,2,FALSE),"")</f>
        <v/>
      </c>
      <c r="D219" s="58"/>
      <c r="E219" s="58"/>
      <c r="F219" s="58"/>
      <c r="G219" s="58"/>
      <c r="H219" s="69"/>
      <c r="I219" s="58"/>
      <c r="J219" s="63"/>
      <c r="K219" s="69"/>
      <c r="L219" s="58"/>
      <c r="M219" s="58"/>
      <c r="N219" s="58"/>
      <c r="O219" s="58"/>
      <c r="P219" s="63" t="str">
        <f ca="1">IFERROR(IF($J219=Lists!$S$2,SUM(FORMULACIÓN!K219:O219),IF(FORMULACIÓN!$J219=Lists!$S$3,SUM(FORMULACIÓN!L219:O219),IF(FORMULACIÓN!$J219=Lists!$S$4,AVERAGE(FORMULACIÓN!L219:O219),IF(FORMULACIÓN!$J219=Lists!$S$5,OFFSET(K219,0,COUNTA(L219:O219)),IF(FORMULACIÓN!$J219=Lists!$S$6,AVERAGE(FORMULACIÓN!L219:O219),""))))),"")</f>
        <v/>
      </c>
      <c r="Q219" s="51" t="str">
        <f ca="1">IF($I219=Lists!$R$3,TEXT(FORMULACIÓN!P219,"00,00%"),IF(FORMULACIÓN!P219=0,0,TEXT(FORMULACIÓN!P219,"##.###")))</f>
        <v/>
      </c>
      <c r="R219" s="63"/>
      <c r="S219" s="59"/>
      <c r="T219" s="58"/>
      <c r="U219" s="66"/>
      <c r="V219" s="66"/>
      <c r="W219" s="66"/>
      <c r="X219" s="67" t="str">
        <f t="shared" si="15"/>
        <v/>
      </c>
      <c r="Y219" s="66"/>
      <c r="Z219" s="66"/>
      <c r="AA219" s="66"/>
      <c r="AB219" s="67" t="str">
        <f t="shared" si="16"/>
        <v/>
      </c>
      <c r="AC219" s="66"/>
      <c r="AD219" s="66"/>
      <c r="AE219" s="66"/>
      <c r="AF219" s="67" t="str">
        <f t="shared" si="17"/>
        <v/>
      </c>
      <c r="AG219" s="66"/>
      <c r="AH219" s="66"/>
      <c r="AI219" s="66"/>
      <c r="AJ219" s="65" t="str">
        <f t="shared" si="18"/>
        <v/>
      </c>
      <c r="AK219" s="65" t="str">
        <f>IF(SUM(AB219,AF219,X219,AJ219)=0,"",SUM((AB219,AF219,X219,AJ219)))</f>
        <v/>
      </c>
      <c r="AM219" s="74"/>
      <c r="AN219" s="74"/>
      <c r="AO219" s="74"/>
      <c r="AP219" s="74"/>
      <c r="AQ219" s="74"/>
      <c r="AR219" s="85"/>
      <c r="AS219" s="74"/>
      <c r="AT219" s="74"/>
      <c r="AU219" s="74"/>
      <c r="AV219" s="74"/>
      <c r="AX219" s="17"/>
      <c r="CG219" s="17"/>
    </row>
    <row r="220" spans="1:85" s="62" customFormat="1" ht="99.95" customHeight="1">
      <c r="A220" s="92" t="str">
        <f t="shared" si="19"/>
        <v/>
      </c>
      <c r="B220" s="58"/>
      <c r="C220" s="51" t="str">
        <f>IFERROR(VLOOKUP(FORMULACIÓN!B220,Lists!$A$2:$B$6,2,FALSE),"")</f>
        <v/>
      </c>
      <c r="D220" s="58"/>
      <c r="E220" s="58"/>
      <c r="F220" s="58"/>
      <c r="G220" s="58"/>
      <c r="H220" s="69"/>
      <c r="I220" s="58"/>
      <c r="J220" s="63"/>
      <c r="K220" s="69"/>
      <c r="L220" s="58"/>
      <c r="M220" s="58"/>
      <c r="N220" s="58"/>
      <c r="O220" s="58"/>
      <c r="P220" s="63" t="str">
        <f ca="1">IFERROR(IF($J220=Lists!$S$2,SUM(FORMULACIÓN!K220:O220),IF(FORMULACIÓN!$J220=Lists!$S$3,SUM(FORMULACIÓN!L220:O220),IF(FORMULACIÓN!$J220=Lists!$S$4,AVERAGE(FORMULACIÓN!L220:O220),IF(FORMULACIÓN!$J220=Lists!$S$5,OFFSET(K220,0,COUNTA(L220:O220)),IF(FORMULACIÓN!$J220=Lists!$S$6,AVERAGE(FORMULACIÓN!L220:O220),""))))),"")</f>
        <v/>
      </c>
      <c r="Q220" s="51" t="str">
        <f ca="1">IF($I220=Lists!$R$3,TEXT(FORMULACIÓN!P220,"00,00%"),IF(FORMULACIÓN!P220=0,0,TEXT(FORMULACIÓN!P220,"##.###")))</f>
        <v/>
      </c>
      <c r="R220" s="63"/>
      <c r="S220" s="59"/>
      <c r="T220" s="58"/>
      <c r="U220" s="66"/>
      <c r="V220" s="66"/>
      <c r="W220" s="66"/>
      <c r="X220" s="67" t="str">
        <f t="shared" si="15"/>
        <v/>
      </c>
      <c r="Y220" s="66"/>
      <c r="Z220" s="66"/>
      <c r="AA220" s="66"/>
      <c r="AB220" s="67" t="str">
        <f t="shared" si="16"/>
        <v/>
      </c>
      <c r="AC220" s="66"/>
      <c r="AD220" s="66"/>
      <c r="AE220" s="66"/>
      <c r="AF220" s="67" t="str">
        <f t="shared" si="17"/>
        <v/>
      </c>
      <c r="AG220" s="66"/>
      <c r="AH220" s="66"/>
      <c r="AI220" s="66"/>
      <c r="AJ220" s="65" t="str">
        <f t="shared" si="18"/>
        <v/>
      </c>
      <c r="AK220" s="65" t="str">
        <f>IF(SUM(AB220,AF220,X220,AJ220)=0,"",SUM((AB220,AF220,X220,AJ220)))</f>
        <v/>
      </c>
      <c r="AM220" s="74"/>
      <c r="AN220" s="74"/>
      <c r="AO220" s="74"/>
      <c r="AP220" s="74"/>
      <c r="AQ220" s="74"/>
      <c r="AR220" s="85"/>
      <c r="AS220" s="74"/>
      <c r="AT220" s="74"/>
      <c r="AU220" s="74"/>
      <c r="AV220" s="74"/>
      <c r="AX220" s="17"/>
      <c r="CG220" s="17"/>
    </row>
    <row r="221" spans="1:85" s="62" customFormat="1" ht="99.95" customHeight="1">
      <c r="A221" s="92" t="str">
        <f t="shared" si="19"/>
        <v/>
      </c>
      <c r="B221" s="58"/>
      <c r="C221" s="51" t="str">
        <f>IFERROR(VLOOKUP(FORMULACIÓN!B221,Lists!$A$2:$B$6,2,FALSE),"")</f>
        <v/>
      </c>
      <c r="D221" s="58"/>
      <c r="E221" s="58"/>
      <c r="F221" s="58"/>
      <c r="G221" s="58"/>
      <c r="H221" s="69"/>
      <c r="I221" s="58"/>
      <c r="J221" s="63"/>
      <c r="K221" s="69"/>
      <c r="L221" s="58"/>
      <c r="M221" s="58"/>
      <c r="N221" s="58"/>
      <c r="O221" s="58"/>
      <c r="P221" s="63" t="str">
        <f ca="1">IFERROR(IF($J221=Lists!$S$2,SUM(FORMULACIÓN!K221:O221),IF(FORMULACIÓN!$J221=Lists!$S$3,SUM(FORMULACIÓN!L221:O221),IF(FORMULACIÓN!$J221=Lists!$S$4,AVERAGE(FORMULACIÓN!L221:O221),IF(FORMULACIÓN!$J221=Lists!$S$5,OFFSET(K221,0,COUNTA(L221:O221)),IF(FORMULACIÓN!$J221=Lists!$S$6,AVERAGE(FORMULACIÓN!L221:O221),""))))),"")</f>
        <v/>
      </c>
      <c r="Q221" s="51" t="str">
        <f ca="1">IF($I221=Lists!$R$3,TEXT(FORMULACIÓN!P221,"00,00%"),IF(FORMULACIÓN!P221=0,0,TEXT(FORMULACIÓN!P221,"##.###")))</f>
        <v/>
      </c>
      <c r="R221" s="63"/>
      <c r="S221" s="59"/>
      <c r="T221" s="58"/>
      <c r="U221" s="66"/>
      <c r="V221" s="66"/>
      <c r="W221" s="66"/>
      <c r="X221" s="67" t="str">
        <f t="shared" si="15"/>
        <v/>
      </c>
      <c r="Y221" s="66"/>
      <c r="Z221" s="66"/>
      <c r="AA221" s="66"/>
      <c r="AB221" s="67" t="str">
        <f t="shared" si="16"/>
        <v/>
      </c>
      <c r="AC221" s="66"/>
      <c r="AD221" s="66"/>
      <c r="AE221" s="66"/>
      <c r="AF221" s="67" t="str">
        <f t="shared" si="17"/>
        <v/>
      </c>
      <c r="AG221" s="66"/>
      <c r="AH221" s="66"/>
      <c r="AI221" s="66"/>
      <c r="AJ221" s="65" t="str">
        <f t="shared" si="18"/>
        <v/>
      </c>
      <c r="AK221" s="65" t="str">
        <f>IF(SUM(AB221,AF221,X221,AJ221)=0,"",SUM((AB221,AF221,X221,AJ221)))</f>
        <v/>
      </c>
      <c r="AM221" s="74"/>
      <c r="AN221" s="74"/>
      <c r="AO221" s="74"/>
      <c r="AP221" s="74"/>
      <c r="AQ221" s="74"/>
      <c r="AR221" s="85"/>
      <c r="AS221" s="74"/>
      <c r="AT221" s="74"/>
      <c r="AU221" s="74"/>
      <c r="AV221" s="74"/>
      <c r="AX221" s="17"/>
      <c r="CG221" s="17"/>
    </row>
    <row r="222" spans="1:85" s="62" customFormat="1" ht="99.95" customHeight="1">
      <c r="A222" s="92" t="str">
        <f t="shared" si="19"/>
        <v/>
      </c>
      <c r="B222" s="58"/>
      <c r="C222" s="51" t="str">
        <f>IFERROR(VLOOKUP(FORMULACIÓN!B222,Lists!$A$2:$B$6,2,FALSE),"")</f>
        <v/>
      </c>
      <c r="D222" s="58"/>
      <c r="E222" s="58"/>
      <c r="F222" s="58"/>
      <c r="G222" s="58"/>
      <c r="H222" s="69"/>
      <c r="I222" s="58"/>
      <c r="J222" s="63"/>
      <c r="K222" s="69"/>
      <c r="L222" s="58"/>
      <c r="M222" s="58"/>
      <c r="N222" s="58"/>
      <c r="O222" s="58"/>
      <c r="P222" s="63" t="str">
        <f ca="1">IFERROR(IF($J222=Lists!$S$2,SUM(FORMULACIÓN!K222:O222),IF(FORMULACIÓN!$J222=Lists!$S$3,SUM(FORMULACIÓN!L222:O222),IF(FORMULACIÓN!$J222=Lists!$S$4,AVERAGE(FORMULACIÓN!L222:O222),IF(FORMULACIÓN!$J222=Lists!$S$5,OFFSET(K222,0,COUNTA(L222:O222)),IF(FORMULACIÓN!$J222=Lists!$S$6,AVERAGE(FORMULACIÓN!L222:O222),""))))),"")</f>
        <v/>
      </c>
      <c r="Q222" s="51" t="str">
        <f ca="1">IF($I222=Lists!$R$3,TEXT(FORMULACIÓN!P222,"00,00%"),IF(FORMULACIÓN!P222=0,0,TEXT(FORMULACIÓN!P222,"##.###")))</f>
        <v/>
      </c>
      <c r="R222" s="63"/>
      <c r="S222" s="59"/>
      <c r="T222" s="58"/>
      <c r="U222" s="66"/>
      <c r="V222" s="66"/>
      <c r="W222" s="66"/>
      <c r="X222" s="67" t="str">
        <f t="shared" si="15"/>
        <v/>
      </c>
      <c r="Y222" s="66"/>
      <c r="Z222" s="66"/>
      <c r="AA222" s="66"/>
      <c r="AB222" s="67" t="str">
        <f t="shared" si="16"/>
        <v/>
      </c>
      <c r="AC222" s="66"/>
      <c r="AD222" s="66"/>
      <c r="AE222" s="66"/>
      <c r="AF222" s="67" t="str">
        <f t="shared" si="17"/>
        <v/>
      </c>
      <c r="AG222" s="66"/>
      <c r="AH222" s="66"/>
      <c r="AI222" s="66"/>
      <c r="AJ222" s="65" t="str">
        <f t="shared" si="18"/>
        <v/>
      </c>
      <c r="AK222" s="65" t="str">
        <f>IF(SUM(AB222,AF222,X222,AJ222)=0,"",SUM((AB222,AF222,X222,AJ222)))</f>
        <v/>
      </c>
      <c r="AM222" s="74"/>
      <c r="AN222" s="74"/>
      <c r="AO222" s="74"/>
      <c r="AP222" s="74"/>
      <c r="AQ222" s="74"/>
      <c r="AR222" s="85"/>
      <c r="AS222" s="74"/>
      <c r="AT222" s="74"/>
      <c r="AU222" s="74"/>
      <c r="AV222" s="74"/>
      <c r="AX222" s="17"/>
      <c r="CG222" s="17"/>
    </row>
    <row r="223" spans="1:85" s="62" customFormat="1" ht="99.95" customHeight="1">
      <c r="A223" s="92" t="str">
        <f t="shared" si="19"/>
        <v/>
      </c>
      <c r="B223" s="58"/>
      <c r="C223" s="51" t="str">
        <f>IFERROR(VLOOKUP(FORMULACIÓN!B223,Lists!$A$2:$B$6,2,FALSE),"")</f>
        <v/>
      </c>
      <c r="D223" s="58"/>
      <c r="E223" s="58"/>
      <c r="F223" s="58"/>
      <c r="G223" s="58"/>
      <c r="H223" s="69"/>
      <c r="I223" s="58"/>
      <c r="J223" s="63"/>
      <c r="K223" s="69"/>
      <c r="L223" s="58"/>
      <c r="M223" s="58"/>
      <c r="N223" s="58"/>
      <c r="O223" s="58"/>
      <c r="P223" s="63" t="str">
        <f ca="1">IFERROR(IF($J223=Lists!$S$2,SUM(FORMULACIÓN!K223:O223),IF(FORMULACIÓN!$J223=Lists!$S$3,SUM(FORMULACIÓN!L223:O223),IF(FORMULACIÓN!$J223=Lists!$S$4,AVERAGE(FORMULACIÓN!L223:O223),IF(FORMULACIÓN!$J223=Lists!$S$5,OFFSET(K223,0,COUNTA(L223:O223)),IF(FORMULACIÓN!$J223=Lists!$S$6,AVERAGE(FORMULACIÓN!L223:O223),""))))),"")</f>
        <v/>
      </c>
      <c r="Q223" s="51" t="str">
        <f ca="1">IF($I223=Lists!$R$3,TEXT(FORMULACIÓN!P223,"00,00%"),IF(FORMULACIÓN!P223=0,0,TEXT(FORMULACIÓN!P223,"##.###")))</f>
        <v/>
      </c>
      <c r="R223" s="63"/>
      <c r="S223" s="59"/>
      <c r="T223" s="58"/>
      <c r="U223" s="66"/>
      <c r="V223" s="66"/>
      <c r="W223" s="66"/>
      <c r="X223" s="67" t="str">
        <f t="shared" si="15"/>
        <v/>
      </c>
      <c r="Y223" s="66"/>
      <c r="Z223" s="66"/>
      <c r="AA223" s="66"/>
      <c r="AB223" s="67" t="str">
        <f t="shared" si="16"/>
        <v/>
      </c>
      <c r="AC223" s="66"/>
      <c r="AD223" s="66"/>
      <c r="AE223" s="66"/>
      <c r="AF223" s="67" t="str">
        <f t="shared" si="17"/>
        <v/>
      </c>
      <c r="AG223" s="66"/>
      <c r="AH223" s="66"/>
      <c r="AI223" s="66"/>
      <c r="AJ223" s="65" t="str">
        <f t="shared" si="18"/>
        <v/>
      </c>
      <c r="AK223" s="65" t="str">
        <f>IF(SUM(AB223,AF223,X223,AJ223)=0,"",SUM((AB223,AF223,X223,AJ223)))</f>
        <v/>
      </c>
      <c r="AM223" s="74"/>
      <c r="AN223" s="74"/>
      <c r="AO223" s="74"/>
      <c r="AP223" s="74"/>
      <c r="AQ223" s="74"/>
      <c r="AR223" s="85"/>
      <c r="AS223" s="74"/>
      <c r="AT223" s="74"/>
      <c r="AU223" s="74"/>
      <c r="AV223" s="74"/>
      <c r="AX223" s="17"/>
      <c r="CG223" s="17"/>
    </row>
    <row r="224" spans="1:85" s="62" customFormat="1" ht="99.95" customHeight="1">
      <c r="A224" s="92" t="str">
        <f t="shared" si="19"/>
        <v/>
      </c>
      <c r="B224" s="58"/>
      <c r="C224" s="51" t="str">
        <f>IFERROR(VLOOKUP(FORMULACIÓN!B224,Lists!$A$2:$B$6,2,FALSE),"")</f>
        <v/>
      </c>
      <c r="D224" s="58"/>
      <c r="E224" s="58"/>
      <c r="F224" s="58"/>
      <c r="G224" s="58"/>
      <c r="H224" s="69"/>
      <c r="I224" s="58"/>
      <c r="J224" s="63"/>
      <c r="K224" s="69"/>
      <c r="L224" s="58"/>
      <c r="M224" s="58"/>
      <c r="N224" s="58"/>
      <c r="O224" s="58"/>
      <c r="P224" s="63" t="str">
        <f ca="1">IFERROR(IF($J224=Lists!$S$2,SUM(FORMULACIÓN!K224:O224),IF(FORMULACIÓN!$J224=Lists!$S$3,SUM(FORMULACIÓN!L224:O224),IF(FORMULACIÓN!$J224=Lists!$S$4,AVERAGE(FORMULACIÓN!L224:O224),IF(FORMULACIÓN!$J224=Lists!$S$5,OFFSET(K224,0,COUNTA(L224:O224)),IF(FORMULACIÓN!$J224=Lists!$S$6,AVERAGE(FORMULACIÓN!L224:O224),""))))),"")</f>
        <v/>
      </c>
      <c r="Q224" s="51" t="str">
        <f ca="1">IF($I224=Lists!$R$3,TEXT(FORMULACIÓN!P224,"00,00%"),IF(FORMULACIÓN!P224=0,0,TEXT(FORMULACIÓN!P224,"##.###")))</f>
        <v/>
      </c>
      <c r="R224" s="63"/>
      <c r="S224" s="59"/>
      <c r="T224" s="58"/>
      <c r="U224" s="66"/>
      <c r="V224" s="66"/>
      <c r="W224" s="66"/>
      <c r="X224" s="67" t="str">
        <f t="shared" si="15"/>
        <v/>
      </c>
      <c r="Y224" s="66"/>
      <c r="Z224" s="66"/>
      <c r="AA224" s="66"/>
      <c r="AB224" s="67" t="str">
        <f t="shared" si="16"/>
        <v/>
      </c>
      <c r="AC224" s="66"/>
      <c r="AD224" s="66"/>
      <c r="AE224" s="66"/>
      <c r="AF224" s="67" t="str">
        <f t="shared" si="17"/>
        <v/>
      </c>
      <c r="AG224" s="66"/>
      <c r="AH224" s="66"/>
      <c r="AI224" s="66"/>
      <c r="AJ224" s="65" t="str">
        <f t="shared" si="18"/>
        <v/>
      </c>
      <c r="AK224" s="65" t="str">
        <f>IF(SUM(AB224,AF224,X224,AJ224)=0,"",SUM((AB224,AF224,X224,AJ224)))</f>
        <v/>
      </c>
      <c r="AM224" s="74"/>
      <c r="AN224" s="74"/>
      <c r="AO224" s="74"/>
      <c r="AP224" s="74"/>
      <c r="AQ224" s="74"/>
      <c r="AR224" s="85"/>
      <c r="AS224" s="74"/>
      <c r="AT224" s="74"/>
      <c r="AU224" s="74"/>
      <c r="AV224" s="74"/>
      <c r="AX224" s="17"/>
      <c r="CG224" s="17"/>
    </row>
    <row r="225" spans="1:85" s="62" customFormat="1" ht="99.95" customHeight="1">
      <c r="A225" s="92" t="str">
        <f t="shared" si="19"/>
        <v/>
      </c>
      <c r="B225" s="58"/>
      <c r="C225" s="51" t="str">
        <f>IFERROR(VLOOKUP(FORMULACIÓN!B225,Lists!$A$2:$B$6,2,FALSE),"")</f>
        <v/>
      </c>
      <c r="D225" s="58"/>
      <c r="E225" s="58"/>
      <c r="F225" s="58"/>
      <c r="G225" s="58"/>
      <c r="H225" s="69"/>
      <c r="I225" s="58"/>
      <c r="J225" s="63"/>
      <c r="K225" s="69"/>
      <c r="L225" s="58"/>
      <c r="M225" s="58"/>
      <c r="N225" s="58"/>
      <c r="O225" s="58"/>
      <c r="P225" s="63" t="str">
        <f ca="1">IFERROR(IF($J225=Lists!$S$2,SUM(FORMULACIÓN!K225:O225),IF(FORMULACIÓN!$J225=Lists!$S$3,SUM(FORMULACIÓN!L225:O225),IF(FORMULACIÓN!$J225=Lists!$S$4,AVERAGE(FORMULACIÓN!L225:O225),IF(FORMULACIÓN!$J225=Lists!$S$5,OFFSET(K225,0,COUNTA(L225:O225)),IF(FORMULACIÓN!$J225=Lists!$S$6,AVERAGE(FORMULACIÓN!L225:O225),""))))),"")</f>
        <v/>
      </c>
      <c r="Q225" s="51" t="str">
        <f ca="1">IF($I225=Lists!$R$3,TEXT(FORMULACIÓN!P225,"00,00%"),IF(FORMULACIÓN!P225=0,0,TEXT(FORMULACIÓN!P225,"##.###")))</f>
        <v/>
      </c>
      <c r="R225" s="63"/>
      <c r="S225" s="59"/>
      <c r="T225" s="58"/>
      <c r="U225" s="66"/>
      <c r="V225" s="66"/>
      <c r="W225" s="66"/>
      <c r="X225" s="67" t="str">
        <f t="shared" si="15"/>
        <v/>
      </c>
      <c r="Y225" s="66"/>
      <c r="Z225" s="66"/>
      <c r="AA225" s="66"/>
      <c r="AB225" s="67" t="str">
        <f t="shared" si="16"/>
        <v/>
      </c>
      <c r="AC225" s="66"/>
      <c r="AD225" s="66"/>
      <c r="AE225" s="66"/>
      <c r="AF225" s="67" t="str">
        <f t="shared" si="17"/>
        <v/>
      </c>
      <c r="AG225" s="66"/>
      <c r="AH225" s="66"/>
      <c r="AI225" s="66"/>
      <c r="AJ225" s="65" t="str">
        <f t="shared" si="18"/>
        <v/>
      </c>
      <c r="AK225" s="65" t="str">
        <f>IF(SUM(AB225,AF225,X225,AJ225)=0,"",SUM((AB225,AF225,X225,AJ225)))</f>
        <v/>
      </c>
      <c r="AM225" s="74"/>
      <c r="AN225" s="74"/>
      <c r="AO225" s="74"/>
      <c r="AP225" s="74"/>
      <c r="AQ225" s="74"/>
      <c r="AR225" s="85"/>
      <c r="AS225" s="74"/>
      <c r="AT225" s="74"/>
      <c r="AU225" s="74"/>
      <c r="AV225" s="74"/>
      <c r="AX225" s="17"/>
      <c r="CG225" s="17"/>
    </row>
    <row r="226" spans="1:85" s="62" customFormat="1" ht="99.95" customHeight="1">
      <c r="A226" s="92" t="str">
        <f t="shared" si="19"/>
        <v/>
      </c>
      <c r="B226" s="58"/>
      <c r="C226" s="51" t="str">
        <f>IFERROR(VLOOKUP(FORMULACIÓN!B226,Lists!$A$2:$B$6,2,FALSE),"")</f>
        <v/>
      </c>
      <c r="D226" s="58"/>
      <c r="E226" s="58"/>
      <c r="F226" s="58"/>
      <c r="G226" s="58"/>
      <c r="H226" s="69"/>
      <c r="I226" s="58"/>
      <c r="J226" s="63"/>
      <c r="K226" s="69"/>
      <c r="L226" s="58"/>
      <c r="M226" s="58"/>
      <c r="N226" s="58"/>
      <c r="O226" s="58"/>
      <c r="P226" s="63" t="str">
        <f ca="1">IFERROR(IF($J226=Lists!$S$2,SUM(FORMULACIÓN!K226:O226),IF(FORMULACIÓN!$J226=Lists!$S$3,SUM(FORMULACIÓN!L226:O226),IF(FORMULACIÓN!$J226=Lists!$S$4,AVERAGE(FORMULACIÓN!L226:O226),IF(FORMULACIÓN!$J226=Lists!$S$5,OFFSET(K226,0,COUNTA(L226:O226)),IF(FORMULACIÓN!$J226=Lists!$S$6,AVERAGE(FORMULACIÓN!L226:O226),""))))),"")</f>
        <v/>
      </c>
      <c r="Q226" s="51" t="str">
        <f ca="1">IF($I226=Lists!$R$3,TEXT(FORMULACIÓN!P226,"00,00%"),IF(FORMULACIÓN!P226=0,0,TEXT(FORMULACIÓN!P226,"##.###")))</f>
        <v/>
      </c>
      <c r="R226" s="63"/>
      <c r="S226" s="59"/>
      <c r="T226" s="58"/>
      <c r="U226" s="66"/>
      <c r="V226" s="66"/>
      <c r="W226" s="66"/>
      <c r="X226" s="67" t="str">
        <f t="shared" si="15"/>
        <v/>
      </c>
      <c r="Y226" s="66"/>
      <c r="Z226" s="66"/>
      <c r="AA226" s="66"/>
      <c r="AB226" s="67" t="str">
        <f t="shared" si="16"/>
        <v/>
      </c>
      <c r="AC226" s="66"/>
      <c r="AD226" s="66"/>
      <c r="AE226" s="66"/>
      <c r="AF226" s="67" t="str">
        <f t="shared" si="17"/>
        <v/>
      </c>
      <c r="AG226" s="66"/>
      <c r="AH226" s="66"/>
      <c r="AI226" s="66"/>
      <c r="AJ226" s="65" t="str">
        <f t="shared" si="18"/>
        <v/>
      </c>
      <c r="AK226" s="65" t="str">
        <f>IF(SUM(AB226,AF226,X226,AJ226)=0,"",SUM((AB226,AF226,X226,AJ226)))</f>
        <v/>
      </c>
      <c r="AM226" s="74"/>
      <c r="AN226" s="74"/>
      <c r="AO226" s="74"/>
      <c r="AP226" s="74"/>
      <c r="AQ226" s="74"/>
      <c r="AR226" s="85"/>
      <c r="AS226" s="74"/>
      <c r="AT226" s="74"/>
      <c r="AU226" s="74"/>
      <c r="AV226" s="74"/>
      <c r="AX226" s="17"/>
      <c r="CG226" s="17"/>
    </row>
    <row r="227" spans="1:85" s="62" customFormat="1" ht="99.95" customHeight="1">
      <c r="A227" s="92" t="str">
        <f t="shared" si="19"/>
        <v/>
      </c>
      <c r="B227" s="58"/>
      <c r="C227" s="51" t="str">
        <f>IFERROR(VLOOKUP(FORMULACIÓN!B227,Lists!$A$2:$B$6,2,FALSE),"")</f>
        <v/>
      </c>
      <c r="D227" s="58"/>
      <c r="E227" s="58"/>
      <c r="F227" s="58"/>
      <c r="G227" s="58"/>
      <c r="H227" s="69"/>
      <c r="I227" s="58"/>
      <c r="J227" s="63"/>
      <c r="K227" s="69"/>
      <c r="L227" s="58"/>
      <c r="M227" s="58"/>
      <c r="N227" s="58"/>
      <c r="O227" s="58"/>
      <c r="P227" s="63" t="str">
        <f ca="1">IFERROR(IF($J227=Lists!$S$2,SUM(FORMULACIÓN!K227:O227),IF(FORMULACIÓN!$J227=Lists!$S$3,SUM(FORMULACIÓN!L227:O227),IF(FORMULACIÓN!$J227=Lists!$S$4,AVERAGE(FORMULACIÓN!L227:O227),IF(FORMULACIÓN!$J227=Lists!$S$5,OFFSET(K227,0,COUNTA(L227:O227)),IF(FORMULACIÓN!$J227=Lists!$S$6,AVERAGE(FORMULACIÓN!L227:O227),""))))),"")</f>
        <v/>
      </c>
      <c r="Q227" s="51" t="str">
        <f ca="1">IF($I227=Lists!$R$3,TEXT(FORMULACIÓN!P227,"00,00%"),IF(FORMULACIÓN!P227=0,0,TEXT(FORMULACIÓN!P227,"##.###")))</f>
        <v/>
      </c>
      <c r="R227" s="63"/>
      <c r="S227" s="59"/>
      <c r="T227" s="58"/>
      <c r="U227" s="66"/>
      <c r="V227" s="66"/>
      <c r="W227" s="66"/>
      <c r="X227" s="67" t="str">
        <f t="shared" si="15"/>
        <v/>
      </c>
      <c r="Y227" s="66"/>
      <c r="Z227" s="66"/>
      <c r="AA227" s="66"/>
      <c r="AB227" s="67" t="str">
        <f t="shared" si="16"/>
        <v/>
      </c>
      <c r="AC227" s="66"/>
      <c r="AD227" s="66"/>
      <c r="AE227" s="66"/>
      <c r="AF227" s="67" t="str">
        <f t="shared" si="17"/>
        <v/>
      </c>
      <c r="AG227" s="66"/>
      <c r="AH227" s="66"/>
      <c r="AI227" s="66"/>
      <c r="AJ227" s="65" t="str">
        <f t="shared" si="18"/>
        <v/>
      </c>
      <c r="AK227" s="65" t="str">
        <f>IF(SUM(AB227,AF227,X227,AJ227)=0,"",SUM((AB227,AF227,X227,AJ227)))</f>
        <v/>
      </c>
      <c r="AM227" s="74"/>
      <c r="AN227" s="74"/>
      <c r="AO227" s="74"/>
      <c r="AP227" s="74"/>
      <c r="AQ227" s="74"/>
      <c r="AR227" s="85"/>
      <c r="AS227" s="74"/>
      <c r="AT227" s="74"/>
      <c r="AU227" s="74"/>
      <c r="AV227" s="74"/>
      <c r="AX227" s="17"/>
      <c r="CG227" s="17"/>
    </row>
    <row r="228" spans="1:85" s="62" customFormat="1" ht="99.95" customHeight="1">
      <c r="A228" s="92" t="str">
        <f t="shared" si="19"/>
        <v/>
      </c>
      <c r="B228" s="58"/>
      <c r="C228" s="51" t="str">
        <f>IFERROR(VLOOKUP(FORMULACIÓN!B228,Lists!$A$2:$B$6,2,FALSE),"")</f>
        <v/>
      </c>
      <c r="D228" s="58"/>
      <c r="E228" s="58"/>
      <c r="F228" s="58"/>
      <c r="G228" s="58"/>
      <c r="H228" s="69"/>
      <c r="I228" s="58"/>
      <c r="J228" s="63"/>
      <c r="K228" s="69"/>
      <c r="L228" s="58"/>
      <c r="M228" s="58"/>
      <c r="N228" s="58"/>
      <c r="O228" s="58"/>
      <c r="P228" s="63" t="str">
        <f ca="1">IFERROR(IF($J228=Lists!$S$2,SUM(FORMULACIÓN!K228:O228),IF(FORMULACIÓN!$J228=Lists!$S$3,SUM(FORMULACIÓN!L228:O228),IF(FORMULACIÓN!$J228=Lists!$S$4,AVERAGE(FORMULACIÓN!L228:O228),IF(FORMULACIÓN!$J228=Lists!$S$5,OFFSET(K228,0,COUNTA(L228:O228)),IF(FORMULACIÓN!$J228=Lists!$S$6,AVERAGE(FORMULACIÓN!L228:O228),""))))),"")</f>
        <v/>
      </c>
      <c r="Q228" s="51" t="str">
        <f ca="1">IF($I228=Lists!$R$3,TEXT(FORMULACIÓN!P228,"00,00%"),IF(FORMULACIÓN!P228=0,0,TEXT(FORMULACIÓN!P228,"##.###")))</f>
        <v/>
      </c>
      <c r="R228" s="63"/>
      <c r="S228" s="59"/>
      <c r="T228" s="58"/>
      <c r="U228" s="66"/>
      <c r="V228" s="66"/>
      <c r="W228" s="66"/>
      <c r="X228" s="67" t="str">
        <f t="shared" si="15"/>
        <v/>
      </c>
      <c r="Y228" s="66"/>
      <c r="Z228" s="66"/>
      <c r="AA228" s="66"/>
      <c r="AB228" s="67" t="str">
        <f t="shared" si="16"/>
        <v/>
      </c>
      <c r="AC228" s="66"/>
      <c r="AD228" s="66"/>
      <c r="AE228" s="66"/>
      <c r="AF228" s="67" t="str">
        <f t="shared" si="17"/>
        <v/>
      </c>
      <c r="AG228" s="66"/>
      <c r="AH228" s="66"/>
      <c r="AI228" s="66"/>
      <c r="AJ228" s="65" t="str">
        <f t="shared" si="18"/>
        <v/>
      </c>
      <c r="AK228" s="65" t="str">
        <f>IF(SUM(AB228,AF228,X228,AJ228)=0,"",SUM((AB228,AF228,X228,AJ228)))</f>
        <v/>
      </c>
      <c r="AM228" s="74"/>
      <c r="AN228" s="74"/>
      <c r="AO228" s="74"/>
      <c r="AP228" s="74"/>
      <c r="AQ228" s="74"/>
      <c r="AR228" s="85"/>
      <c r="AS228" s="74"/>
      <c r="AT228" s="74"/>
      <c r="AU228" s="74"/>
      <c r="AV228" s="74"/>
      <c r="AX228" s="17"/>
      <c r="CG228" s="17"/>
    </row>
    <row r="229" spans="1:85" s="62" customFormat="1" ht="99.95" customHeight="1">
      <c r="A229" s="92" t="str">
        <f t="shared" si="19"/>
        <v/>
      </c>
      <c r="B229" s="58"/>
      <c r="C229" s="51" t="str">
        <f>IFERROR(VLOOKUP(FORMULACIÓN!B229,Lists!$A$2:$B$6,2,FALSE),"")</f>
        <v/>
      </c>
      <c r="D229" s="58"/>
      <c r="E229" s="58"/>
      <c r="F229" s="58"/>
      <c r="G229" s="58"/>
      <c r="H229" s="69"/>
      <c r="I229" s="58"/>
      <c r="J229" s="63"/>
      <c r="K229" s="69"/>
      <c r="L229" s="58"/>
      <c r="M229" s="58"/>
      <c r="N229" s="58"/>
      <c r="O229" s="58"/>
      <c r="P229" s="63" t="str">
        <f ca="1">IFERROR(IF($J229=Lists!$S$2,SUM(FORMULACIÓN!K229:O229),IF(FORMULACIÓN!$J229=Lists!$S$3,SUM(FORMULACIÓN!L229:O229),IF(FORMULACIÓN!$J229=Lists!$S$4,AVERAGE(FORMULACIÓN!L229:O229),IF(FORMULACIÓN!$J229=Lists!$S$5,OFFSET(K229,0,COUNTA(L229:O229)),IF(FORMULACIÓN!$J229=Lists!$S$6,AVERAGE(FORMULACIÓN!L229:O229),""))))),"")</f>
        <v/>
      </c>
      <c r="Q229" s="51" t="str">
        <f ca="1">IF($I229=Lists!$R$3,TEXT(FORMULACIÓN!P229,"00,00%"),IF(FORMULACIÓN!P229=0,0,TEXT(FORMULACIÓN!P229,"##.###")))</f>
        <v/>
      </c>
      <c r="R229" s="63"/>
      <c r="S229" s="59"/>
      <c r="T229" s="58"/>
      <c r="U229" s="66"/>
      <c r="V229" s="66"/>
      <c r="W229" s="66"/>
      <c r="X229" s="67" t="str">
        <f t="shared" si="15"/>
        <v/>
      </c>
      <c r="Y229" s="66"/>
      <c r="Z229" s="66"/>
      <c r="AA229" s="66"/>
      <c r="AB229" s="67" t="str">
        <f t="shared" si="16"/>
        <v/>
      </c>
      <c r="AC229" s="66"/>
      <c r="AD229" s="66"/>
      <c r="AE229" s="66"/>
      <c r="AF229" s="67" t="str">
        <f t="shared" si="17"/>
        <v/>
      </c>
      <c r="AG229" s="66"/>
      <c r="AH229" s="66"/>
      <c r="AI229" s="66"/>
      <c r="AJ229" s="65" t="str">
        <f t="shared" si="18"/>
        <v/>
      </c>
      <c r="AK229" s="65" t="str">
        <f>IF(SUM(AB229,AF229,X229,AJ229)=0,"",SUM((AB229,AF229,X229,AJ229)))</f>
        <v/>
      </c>
      <c r="AM229" s="74"/>
      <c r="AN229" s="74"/>
      <c r="AO229" s="74"/>
      <c r="AP229" s="74"/>
      <c r="AQ229" s="74"/>
      <c r="AR229" s="85"/>
      <c r="AS229" s="74"/>
      <c r="AT229" s="74"/>
      <c r="AU229" s="74"/>
      <c r="AV229" s="74"/>
      <c r="AX229" s="17"/>
      <c r="CG229" s="17"/>
    </row>
    <row r="230" spans="1:85" s="62" customFormat="1" ht="99.95" customHeight="1">
      <c r="A230" s="92" t="str">
        <f t="shared" si="19"/>
        <v/>
      </c>
      <c r="B230" s="58"/>
      <c r="C230" s="51" t="str">
        <f>IFERROR(VLOOKUP(FORMULACIÓN!B230,Lists!$A$2:$B$6,2,FALSE),"")</f>
        <v/>
      </c>
      <c r="D230" s="58"/>
      <c r="E230" s="58"/>
      <c r="F230" s="58"/>
      <c r="G230" s="58"/>
      <c r="H230" s="69"/>
      <c r="I230" s="58"/>
      <c r="J230" s="63"/>
      <c r="K230" s="69"/>
      <c r="L230" s="58"/>
      <c r="M230" s="58"/>
      <c r="N230" s="58"/>
      <c r="O230" s="58"/>
      <c r="P230" s="63" t="str">
        <f ca="1">IFERROR(IF($J230=Lists!$S$2,SUM(FORMULACIÓN!K230:O230),IF(FORMULACIÓN!$J230=Lists!$S$3,SUM(FORMULACIÓN!L230:O230),IF(FORMULACIÓN!$J230=Lists!$S$4,AVERAGE(FORMULACIÓN!L230:O230),IF(FORMULACIÓN!$J230=Lists!$S$5,OFFSET(K230,0,COUNTA(L230:O230)),IF(FORMULACIÓN!$J230=Lists!$S$6,AVERAGE(FORMULACIÓN!L230:O230),""))))),"")</f>
        <v/>
      </c>
      <c r="Q230" s="51" t="str">
        <f ca="1">IF($I230=Lists!$R$3,TEXT(FORMULACIÓN!P230,"00,00%"),IF(FORMULACIÓN!P230=0,0,TEXT(FORMULACIÓN!P230,"##.###")))</f>
        <v/>
      </c>
      <c r="R230" s="63"/>
      <c r="S230" s="59"/>
      <c r="T230" s="58"/>
      <c r="U230" s="66"/>
      <c r="V230" s="66"/>
      <c r="W230" s="66"/>
      <c r="X230" s="67" t="str">
        <f t="shared" si="15"/>
        <v/>
      </c>
      <c r="Y230" s="66"/>
      <c r="Z230" s="66"/>
      <c r="AA230" s="66"/>
      <c r="AB230" s="67" t="str">
        <f t="shared" si="16"/>
        <v/>
      </c>
      <c r="AC230" s="66"/>
      <c r="AD230" s="66"/>
      <c r="AE230" s="66"/>
      <c r="AF230" s="67" t="str">
        <f t="shared" si="17"/>
        <v/>
      </c>
      <c r="AG230" s="66"/>
      <c r="AH230" s="66"/>
      <c r="AI230" s="66"/>
      <c r="AJ230" s="65" t="str">
        <f t="shared" si="18"/>
        <v/>
      </c>
      <c r="AK230" s="65" t="str">
        <f>IF(SUM(AB230,AF230,X230,AJ230)=0,"",SUM((AB230,AF230,X230,AJ230)))</f>
        <v/>
      </c>
      <c r="AM230" s="74"/>
      <c r="AN230" s="74"/>
      <c r="AO230" s="74"/>
      <c r="AP230" s="74"/>
      <c r="AQ230" s="74"/>
      <c r="AR230" s="85"/>
      <c r="AS230" s="74"/>
      <c r="AT230" s="74"/>
      <c r="AU230" s="74"/>
      <c r="AV230" s="74"/>
      <c r="AX230" s="17"/>
      <c r="CG230" s="17"/>
    </row>
    <row r="231" spans="1:85" s="62" customFormat="1" ht="99.95" customHeight="1">
      <c r="A231" s="92" t="str">
        <f t="shared" si="19"/>
        <v/>
      </c>
      <c r="B231" s="58"/>
      <c r="C231" s="51" t="str">
        <f>IFERROR(VLOOKUP(FORMULACIÓN!B231,Lists!$A$2:$B$6,2,FALSE),"")</f>
        <v/>
      </c>
      <c r="D231" s="58"/>
      <c r="E231" s="58"/>
      <c r="F231" s="58"/>
      <c r="G231" s="58"/>
      <c r="H231" s="69"/>
      <c r="I231" s="58"/>
      <c r="J231" s="63"/>
      <c r="K231" s="69"/>
      <c r="L231" s="58"/>
      <c r="M231" s="58"/>
      <c r="N231" s="58"/>
      <c r="O231" s="58"/>
      <c r="P231" s="63" t="str">
        <f ca="1">IFERROR(IF($J231=Lists!$S$2,SUM(FORMULACIÓN!K231:O231),IF(FORMULACIÓN!$J231=Lists!$S$3,SUM(FORMULACIÓN!L231:O231),IF(FORMULACIÓN!$J231=Lists!$S$4,AVERAGE(FORMULACIÓN!L231:O231),IF(FORMULACIÓN!$J231=Lists!$S$5,OFFSET(K231,0,COUNTA(L231:O231)),IF(FORMULACIÓN!$J231=Lists!$S$6,AVERAGE(FORMULACIÓN!L231:O231),""))))),"")</f>
        <v/>
      </c>
      <c r="Q231" s="51" t="str">
        <f ca="1">IF($I231=Lists!$R$3,TEXT(FORMULACIÓN!P231,"00,00%"),IF(FORMULACIÓN!P231=0,0,TEXT(FORMULACIÓN!P231,"##.###")))</f>
        <v/>
      </c>
      <c r="R231" s="63"/>
      <c r="S231" s="59"/>
      <c r="T231" s="58"/>
      <c r="U231" s="66"/>
      <c r="V231" s="66"/>
      <c r="W231" s="66"/>
      <c r="X231" s="67" t="str">
        <f t="shared" si="15"/>
        <v/>
      </c>
      <c r="Y231" s="66"/>
      <c r="Z231" s="66"/>
      <c r="AA231" s="66"/>
      <c r="AB231" s="67" t="str">
        <f t="shared" si="16"/>
        <v/>
      </c>
      <c r="AC231" s="66"/>
      <c r="AD231" s="66"/>
      <c r="AE231" s="66"/>
      <c r="AF231" s="67" t="str">
        <f t="shared" si="17"/>
        <v/>
      </c>
      <c r="AG231" s="66"/>
      <c r="AH231" s="66"/>
      <c r="AI231" s="66"/>
      <c r="AJ231" s="65" t="str">
        <f t="shared" si="18"/>
        <v/>
      </c>
      <c r="AK231" s="65" t="str">
        <f>IF(SUM(AB231,AF231,X231,AJ231)=0,"",SUM((AB231,AF231,X231,AJ231)))</f>
        <v/>
      </c>
      <c r="AM231" s="74"/>
      <c r="AN231" s="74"/>
      <c r="AO231" s="74"/>
      <c r="AP231" s="74"/>
      <c r="AQ231" s="74"/>
      <c r="AR231" s="85"/>
      <c r="AS231" s="74"/>
      <c r="AT231" s="74"/>
      <c r="AU231" s="74"/>
      <c r="AV231" s="74"/>
      <c r="AX231" s="17"/>
      <c r="CG231" s="17"/>
    </row>
    <row r="232" spans="1:85" s="62" customFormat="1" ht="99.95" customHeight="1">
      <c r="A232" s="92" t="str">
        <f t="shared" si="19"/>
        <v/>
      </c>
      <c r="B232" s="58"/>
      <c r="C232" s="51" t="str">
        <f>IFERROR(VLOOKUP(FORMULACIÓN!B232,Lists!$A$2:$B$6,2,FALSE),"")</f>
        <v/>
      </c>
      <c r="D232" s="58"/>
      <c r="E232" s="58"/>
      <c r="F232" s="58"/>
      <c r="G232" s="58"/>
      <c r="H232" s="69"/>
      <c r="I232" s="58"/>
      <c r="J232" s="63"/>
      <c r="K232" s="69"/>
      <c r="L232" s="58"/>
      <c r="M232" s="58"/>
      <c r="N232" s="58"/>
      <c r="O232" s="58"/>
      <c r="P232" s="63" t="str">
        <f ca="1">IFERROR(IF($J232=Lists!$S$2,SUM(FORMULACIÓN!K232:O232),IF(FORMULACIÓN!$J232=Lists!$S$3,SUM(FORMULACIÓN!L232:O232),IF(FORMULACIÓN!$J232=Lists!$S$4,AVERAGE(FORMULACIÓN!L232:O232),IF(FORMULACIÓN!$J232=Lists!$S$5,OFFSET(K232,0,COUNTA(L232:O232)),IF(FORMULACIÓN!$J232=Lists!$S$6,AVERAGE(FORMULACIÓN!L232:O232),""))))),"")</f>
        <v/>
      </c>
      <c r="Q232" s="51" t="str">
        <f ca="1">IF($I232=Lists!$R$3,TEXT(FORMULACIÓN!P232,"00,00%"),IF(FORMULACIÓN!P232=0,0,TEXT(FORMULACIÓN!P232,"##.###")))</f>
        <v/>
      </c>
      <c r="R232" s="63"/>
      <c r="S232" s="59"/>
      <c r="T232" s="58"/>
      <c r="U232" s="66"/>
      <c r="V232" s="66"/>
      <c r="W232" s="66"/>
      <c r="X232" s="67" t="str">
        <f t="shared" si="15"/>
        <v/>
      </c>
      <c r="Y232" s="66"/>
      <c r="Z232" s="66"/>
      <c r="AA232" s="66"/>
      <c r="AB232" s="67" t="str">
        <f t="shared" si="16"/>
        <v/>
      </c>
      <c r="AC232" s="66"/>
      <c r="AD232" s="66"/>
      <c r="AE232" s="66"/>
      <c r="AF232" s="67" t="str">
        <f t="shared" si="17"/>
        <v/>
      </c>
      <c r="AG232" s="66"/>
      <c r="AH232" s="66"/>
      <c r="AI232" s="66"/>
      <c r="AJ232" s="65" t="str">
        <f t="shared" si="18"/>
        <v/>
      </c>
      <c r="AK232" s="65" t="str">
        <f>IF(SUM(AB232,AF232,X232,AJ232)=0,"",SUM((AB232,AF232,X232,AJ232)))</f>
        <v/>
      </c>
      <c r="AM232" s="74"/>
      <c r="AN232" s="74"/>
      <c r="AO232" s="74"/>
      <c r="AP232" s="74"/>
      <c r="AQ232" s="74"/>
      <c r="AR232" s="85"/>
      <c r="AS232" s="74"/>
      <c r="AT232" s="74"/>
      <c r="AU232" s="74"/>
      <c r="AV232" s="74"/>
      <c r="AX232" s="17"/>
      <c r="CG232" s="17"/>
    </row>
    <row r="233" spans="1:85" s="62" customFormat="1" ht="99.95" customHeight="1">
      <c r="A233" s="92" t="str">
        <f t="shared" si="19"/>
        <v/>
      </c>
      <c r="B233" s="58"/>
      <c r="C233" s="51" t="str">
        <f>IFERROR(VLOOKUP(FORMULACIÓN!B233,Lists!$A$2:$B$6,2,FALSE),"")</f>
        <v/>
      </c>
      <c r="D233" s="58"/>
      <c r="E233" s="58"/>
      <c r="F233" s="58"/>
      <c r="G233" s="58"/>
      <c r="H233" s="69"/>
      <c r="I233" s="58"/>
      <c r="J233" s="63"/>
      <c r="K233" s="69"/>
      <c r="L233" s="58"/>
      <c r="M233" s="58"/>
      <c r="N233" s="58"/>
      <c r="O233" s="58"/>
      <c r="P233" s="63" t="str">
        <f ca="1">IFERROR(IF($J233=Lists!$S$2,SUM(FORMULACIÓN!K233:O233),IF(FORMULACIÓN!$J233=Lists!$S$3,SUM(FORMULACIÓN!L233:O233),IF(FORMULACIÓN!$J233=Lists!$S$4,AVERAGE(FORMULACIÓN!L233:O233),IF(FORMULACIÓN!$J233=Lists!$S$5,OFFSET(K233,0,COUNTA(L233:O233)),IF(FORMULACIÓN!$J233=Lists!$S$6,AVERAGE(FORMULACIÓN!L233:O233),""))))),"")</f>
        <v/>
      </c>
      <c r="Q233" s="51" t="str">
        <f ca="1">IF($I233=Lists!$R$3,TEXT(FORMULACIÓN!P233,"00,00%"),IF(FORMULACIÓN!P233=0,0,TEXT(FORMULACIÓN!P233,"##.###")))</f>
        <v/>
      </c>
      <c r="R233" s="63"/>
      <c r="S233" s="59"/>
      <c r="T233" s="58"/>
      <c r="U233" s="66"/>
      <c r="V233" s="66"/>
      <c r="W233" s="66"/>
      <c r="X233" s="67" t="str">
        <f t="shared" si="15"/>
        <v/>
      </c>
      <c r="Y233" s="66"/>
      <c r="Z233" s="66"/>
      <c r="AA233" s="66"/>
      <c r="AB233" s="67" t="str">
        <f t="shared" si="16"/>
        <v/>
      </c>
      <c r="AC233" s="66"/>
      <c r="AD233" s="66"/>
      <c r="AE233" s="66"/>
      <c r="AF233" s="67" t="str">
        <f t="shared" si="17"/>
        <v/>
      </c>
      <c r="AG233" s="66"/>
      <c r="AH233" s="66"/>
      <c r="AI233" s="66"/>
      <c r="AJ233" s="65" t="str">
        <f t="shared" si="18"/>
        <v/>
      </c>
      <c r="AK233" s="65" t="str">
        <f>IF(SUM(AB233,AF233,X233,AJ233)=0,"",SUM((AB233,AF233,X233,AJ233)))</f>
        <v/>
      </c>
      <c r="AM233" s="74"/>
      <c r="AN233" s="74"/>
      <c r="AO233" s="74"/>
      <c r="AP233" s="74"/>
      <c r="AQ233" s="74"/>
      <c r="AR233" s="85"/>
      <c r="AS233" s="74"/>
      <c r="AT233" s="74"/>
      <c r="AU233" s="74"/>
      <c r="AV233" s="74"/>
      <c r="AX233" s="17"/>
      <c r="CG233" s="17"/>
    </row>
    <row r="234" spans="1:85" s="62" customFormat="1" ht="99.95" customHeight="1">
      <c r="A234" s="92" t="str">
        <f t="shared" si="19"/>
        <v/>
      </c>
      <c r="B234" s="58"/>
      <c r="C234" s="51" t="str">
        <f>IFERROR(VLOOKUP(FORMULACIÓN!B234,Lists!$A$2:$B$6,2,FALSE),"")</f>
        <v/>
      </c>
      <c r="D234" s="58"/>
      <c r="E234" s="58"/>
      <c r="F234" s="58"/>
      <c r="G234" s="58"/>
      <c r="H234" s="69"/>
      <c r="I234" s="58"/>
      <c r="J234" s="63"/>
      <c r="K234" s="69"/>
      <c r="L234" s="58"/>
      <c r="M234" s="58"/>
      <c r="N234" s="58"/>
      <c r="O234" s="58"/>
      <c r="P234" s="63" t="str">
        <f ca="1">IFERROR(IF($J234=Lists!$S$2,SUM(FORMULACIÓN!K234:O234),IF(FORMULACIÓN!$J234=Lists!$S$3,SUM(FORMULACIÓN!L234:O234),IF(FORMULACIÓN!$J234=Lists!$S$4,AVERAGE(FORMULACIÓN!L234:O234),IF(FORMULACIÓN!$J234=Lists!$S$5,OFFSET(K234,0,COUNTA(L234:O234)),IF(FORMULACIÓN!$J234=Lists!$S$6,AVERAGE(FORMULACIÓN!L234:O234),""))))),"")</f>
        <v/>
      </c>
      <c r="Q234" s="51" t="str">
        <f ca="1">IF($I234=Lists!$R$3,TEXT(FORMULACIÓN!P234,"00,00%"),IF(FORMULACIÓN!P234=0,0,TEXT(FORMULACIÓN!P234,"##.###")))</f>
        <v/>
      </c>
      <c r="R234" s="63"/>
      <c r="S234" s="59"/>
      <c r="T234" s="58"/>
      <c r="U234" s="66"/>
      <c r="V234" s="66"/>
      <c r="W234" s="66"/>
      <c r="X234" s="67" t="str">
        <f t="shared" si="15"/>
        <v/>
      </c>
      <c r="Y234" s="66"/>
      <c r="Z234" s="66"/>
      <c r="AA234" s="66"/>
      <c r="AB234" s="67" t="str">
        <f t="shared" si="16"/>
        <v/>
      </c>
      <c r="AC234" s="66"/>
      <c r="AD234" s="66"/>
      <c r="AE234" s="66"/>
      <c r="AF234" s="67" t="str">
        <f t="shared" si="17"/>
        <v/>
      </c>
      <c r="AG234" s="66"/>
      <c r="AH234" s="66"/>
      <c r="AI234" s="66"/>
      <c r="AJ234" s="65" t="str">
        <f t="shared" si="18"/>
        <v/>
      </c>
      <c r="AK234" s="65" t="str">
        <f>IF(SUM(AB234,AF234,X234,AJ234)=0,"",SUM((AB234,AF234,X234,AJ234)))</f>
        <v/>
      </c>
      <c r="AM234" s="74"/>
      <c r="AN234" s="74"/>
      <c r="AO234" s="74"/>
      <c r="AP234" s="74"/>
      <c r="AQ234" s="74"/>
      <c r="AR234" s="85"/>
      <c r="AS234" s="74"/>
      <c r="AT234" s="74"/>
      <c r="AU234" s="74"/>
      <c r="AV234" s="74"/>
      <c r="AX234" s="17"/>
      <c r="CG234" s="17"/>
    </row>
    <row r="235" spans="1:85" s="62" customFormat="1" ht="99.95" customHeight="1">
      <c r="A235" s="92" t="str">
        <f t="shared" si="19"/>
        <v/>
      </c>
      <c r="B235" s="58"/>
      <c r="C235" s="51" t="str">
        <f>IFERROR(VLOOKUP(FORMULACIÓN!B235,Lists!$A$2:$B$6,2,FALSE),"")</f>
        <v/>
      </c>
      <c r="D235" s="58"/>
      <c r="E235" s="58"/>
      <c r="F235" s="58"/>
      <c r="G235" s="58"/>
      <c r="H235" s="69"/>
      <c r="I235" s="58"/>
      <c r="J235" s="63"/>
      <c r="K235" s="69"/>
      <c r="L235" s="58"/>
      <c r="M235" s="58"/>
      <c r="N235" s="58"/>
      <c r="O235" s="58"/>
      <c r="P235" s="63" t="str">
        <f ca="1">IFERROR(IF($J235=Lists!$S$2,SUM(FORMULACIÓN!K235:O235),IF(FORMULACIÓN!$J235=Lists!$S$3,SUM(FORMULACIÓN!L235:O235),IF(FORMULACIÓN!$J235=Lists!$S$4,AVERAGE(FORMULACIÓN!L235:O235),IF(FORMULACIÓN!$J235=Lists!$S$5,OFFSET(K235,0,COUNTA(L235:O235)),IF(FORMULACIÓN!$J235=Lists!$S$6,AVERAGE(FORMULACIÓN!L235:O235),""))))),"")</f>
        <v/>
      </c>
      <c r="Q235" s="51" t="str">
        <f ca="1">IF($I235=Lists!$R$3,TEXT(FORMULACIÓN!P235,"00,00%"),IF(FORMULACIÓN!P235=0,0,TEXT(FORMULACIÓN!P235,"##.###")))</f>
        <v/>
      </c>
      <c r="R235" s="63"/>
      <c r="S235" s="59"/>
      <c r="T235" s="58"/>
      <c r="U235" s="66"/>
      <c r="V235" s="66"/>
      <c r="W235" s="66"/>
      <c r="X235" s="67" t="str">
        <f t="shared" si="15"/>
        <v/>
      </c>
      <c r="Y235" s="66"/>
      <c r="Z235" s="66"/>
      <c r="AA235" s="66"/>
      <c r="AB235" s="67" t="str">
        <f t="shared" si="16"/>
        <v/>
      </c>
      <c r="AC235" s="66"/>
      <c r="AD235" s="66"/>
      <c r="AE235" s="66"/>
      <c r="AF235" s="67" t="str">
        <f t="shared" si="17"/>
        <v/>
      </c>
      <c r="AG235" s="66"/>
      <c r="AH235" s="66"/>
      <c r="AI235" s="66"/>
      <c r="AJ235" s="65" t="str">
        <f t="shared" si="18"/>
        <v/>
      </c>
      <c r="AK235" s="65" t="str">
        <f>IF(SUM(AB235,AF235,X235,AJ235)=0,"",SUM((AB235,AF235,X235,AJ235)))</f>
        <v/>
      </c>
      <c r="AM235" s="74"/>
      <c r="AN235" s="74"/>
      <c r="AO235" s="74"/>
      <c r="AP235" s="74"/>
      <c r="AQ235" s="74"/>
      <c r="AR235" s="85"/>
      <c r="AS235" s="74"/>
      <c r="AT235" s="74"/>
      <c r="AU235" s="74"/>
      <c r="AV235" s="74"/>
      <c r="AX235" s="17"/>
      <c r="CG235" s="17"/>
    </row>
    <row r="236" spans="1:85" s="62" customFormat="1" ht="99.95" customHeight="1">
      <c r="A236" s="92" t="str">
        <f t="shared" si="19"/>
        <v/>
      </c>
      <c r="B236" s="58"/>
      <c r="C236" s="51" t="str">
        <f>IFERROR(VLOOKUP(FORMULACIÓN!B236,Lists!$A$2:$B$6,2,FALSE),"")</f>
        <v/>
      </c>
      <c r="D236" s="58"/>
      <c r="E236" s="58"/>
      <c r="F236" s="58"/>
      <c r="G236" s="58"/>
      <c r="H236" s="69"/>
      <c r="I236" s="58"/>
      <c r="J236" s="63"/>
      <c r="K236" s="69"/>
      <c r="L236" s="58"/>
      <c r="M236" s="58"/>
      <c r="N236" s="58"/>
      <c r="O236" s="58"/>
      <c r="P236" s="63" t="str">
        <f ca="1">IFERROR(IF($J236=Lists!$S$2,SUM(FORMULACIÓN!K236:O236),IF(FORMULACIÓN!$J236=Lists!$S$3,SUM(FORMULACIÓN!L236:O236),IF(FORMULACIÓN!$J236=Lists!$S$4,AVERAGE(FORMULACIÓN!L236:O236),IF(FORMULACIÓN!$J236=Lists!$S$5,OFFSET(K236,0,COUNTA(L236:O236)),IF(FORMULACIÓN!$J236=Lists!$S$6,AVERAGE(FORMULACIÓN!L236:O236),""))))),"")</f>
        <v/>
      </c>
      <c r="Q236" s="51" t="str">
        <f ca="1">IF($I236=Lists!$R$3,TEXT(FORMULACIÓN!P236,"00,00%"),IF(FORMULACIÓN!P236=0,0,TEXT(FORMULACIÓN!P236,"##.###")))</f>
        <v/>
      </c>
      <c r="R236" s="63"/>
      <c r="S236" s="59"/>
      <c r="T236" s="58"/>
      <c r="U236" s="66"/>
      <c r="V236" s="66"/>
      <c r="W236" s="66"/>
      <c r="X236" s="67" t="str">
        <f t="shared" si="15"/>
        <v/>
      </c>
      <c r="Y236" s="66"/>
      <c r="Z236" s="66"/>
      <c r="AA236" s="66"/>
      <c r="AB236" s="67" t="str">
        <f t="shared" si="16"/>
        <v/>
      </c>
      <c r="AC236" s="66"/>
      <c r="AD236" s="66"/>
      <c r="AE236" s="66"/>
      <c r="AF236" s="67" t="str">
        <f t="shared" si="17"/>
        <v/>
      </c>
      <c r="AG236" s="66"/>
      <c r="AH236" s="66"/>
      <c r="AI236" s="66"/>
      <c r="AJ236" s="65" t="str">
        <f t="shared" si="18"/>
        <v/>
      </c>
      <c r="AK236" s="65" t="str">
        <f>IF(SUM(AB236,AF236,X236,AJ236)=0,"",SUM((AB236,AF236,X236,AJ236)))</f>
        <v/>
      </c>
      <c r="AM236" s="74"/>
      <c r="AN236" s="74"/>
      <c r="AO236" s="74"/>
      <c r="AP236" s="74"/>
      <c r="AQ236" s="74"/>
      <c r="AR236" s="85"/>
      <c r="AS236" s="74"/>
      <c r="AT236" s="74"/>
      <c r="AU236" s="74"/>
      <c r="AV236" s="74"/>
      <c r="AX236" s="17"/>
      <c r="CG236" s="17"/>
    </row>
    <row r="237" spans="1:85" s="62" customFormat="1" ht="99.95" customHeight="1">
      <c r="A237" s="92" t="str">
        <f t="shared" si="19"/>
        <v/>
      </c>
      <c r="B237" s="58"/>
      <c r="C237" s="51" t="str">
        <f>IFERROR(VLOOKUP(FORMULACIÓN!B237,Lists!$A$2:$B$6,2,FALSE),"")</f>
        <v/>
      </c>
      <c r="D237" s="58"/>
      <c r="E237" s="58"/>
      <c r="F237" s="58"/>
      <c r="G237" s="58"/>
      <c r="H237" s="69"/>
      <c r="I237" s="58"/>
      <c r="J237" s="63"/>
      <c r="K237" s="69"/>
      <c r="L237" s="58"/>
      <c r="M237" s="58"/>
      <c r="N237" s="58"/>
      <c r="O237" s="58"/>
      <c r="P237" s="63" t="str">
        <f ca="1">IFERROR(IF($J237=Lists!$S$2,SUM(FORMULACIÓN!K237:O237),IF(FORMULACIÓN!$J237=Lists!$S$3,SUM(FORMULACIÓN!L237:O237),IF(FORMULACIÓN!$J237=Lists!$S$4,AVERAGE(FORMULACIÓN!L237:O237),IF(FORMULACIÓN!$J237=Lists!$S$5,OFFSET(K237,0,COUNTA(L237:O237)),IF(FORMULACIÓN!$J237=Lists!$S$6,AVERAGE(FORMULACIÓN!L237:O237),""))))),"")</f>
        <v/>
      </c>
      <c r="Q237" s="51" t="str">
        <f ca="1">IF($I237=Lists!$R$3,TEXT(FORMULACIÓN!P237,"00,00%"),IF(FORMULACIÓN!P237=0,0,TEXT(FORMULACIÓN!P237,"##.###")))</f>
        <v/>
      </c>
      <c r="R237" s="63"/>
      <c r="S237" s="59"/>
      <c r="T237" s="58"/>
      <c r="U237" s="66"/>
      <c r="V237" s="66"/>
      <c r="W237" s="66"/>
      <c r="X237" s="67" t="str">
        <f t="shared" si="15"/>
        <v/>
      </c>
      <c r="Y237" s="66"/>
      <c r="Z237" s="66"/>
      <c r="AA237" s="66"/>
      <c r="AB237" s="67" t="str">
        <f t="shared" si="16"/>
        <v/>
      </c>
      <c r="AC237" s="66"/>
      <c r="AD237" s="66"/>
      <c r="AE237" s="66"/>
      <c r="AF237" s="67" t="str">
        <f t="shared" si="17"/>
        <v/>
      </c>
      <c r="AG237" s="66"/>
      <c r="AH237" s="66"/>
      <c r="AI237" s="66"/>
      <c r="AJ237" s="65" t="str">
        <f t="shared" si="18"/>
        <v/>
      </c>
      <c r="AK237" s="65" t="str">
        <f>IF(SUM(AB237,AF237,X237,AJ237)=0,"",SUM((AB237,AF237,X237,AJ237)))</f>
        <v/>
      </c>
      <c r="AM237" s="74"/>
      <c r="AN237" s="74"/>
      <c r="AO237" s="74"/>
      <c r="AP237" s="74"/>
      <c r="AQ237" s="74"/>
      <c r="AR237" s="85"/>
      <c r="AS237" s="74"/>
      <c r="AT237" s="74"/>
      <c r="AU237" s="74"/>
      <c r="AV237" s="74"/>
      <c r="AX237" s="17"/>
      <c r="CG237" s="17"/>
    </row>
    <row r="238" spans="1:85" s="62" customFormat="1" ht="99.95" customHeight="1">
      <c r="A238" s="92" t="str">
        <f t="shared" si="19"/>
        <v/>
      </c>
      <c r="B238" s="58"/>
      <c r="C238" s="51" t="str">
        <f>IFERROR(VLOOKUP(FORMULACIÓN!B238,Lists!$A$2:$B$6,2,FALSE),"")</f>
        <v/>
      </c>
      <c r="D238" s="58"/>
      <c r="E238" s="58"/>
      <c r="F238" s="58"/>
      <c r="G238" s="58"/>
      <c r="H238" s="69"/>
      <c r="I238" s="58"/>
      <c r="J238" s="63"/>
      <c r="K238" s="69"/>
      <c r="L238" s="58"/>
      <c r="M238" s="58"/>
      <c r="N238" s="58"/>
      <c r="O238" s="58"/>
      <c r="P238" s="63" t="str">
        <f ca="1">IFERROR(IF($J238=Lists!$S$2,SUM(FORMULACIÓN!K238:O238),IF(FORMULACIÓN!$J238=Lists!$S$3,SUM(FORMULACIÓN!L238:O238),IF(FORMULACIÓN!$J238=Lists!$S$4,AVERAGE(FORMULACIÓN!L238:O238),IF(FORMULACIÓN!$J238=Lists!$S$5,OFFSET(K238,0,COUNTA(L238:O238)),IF(FORMULACIÓN!$J238=Lists!$S$6,AVERAGE(FORMULACIÓN!L238:O238),""))))),"")</f>
        <v/>
      </c>
      <c r="Q238" s="51" t="str">
        <f ca="1">IF($I238=Lists!$R$3,TEXT(FORMULACIÓN!P238,"00,00%"),IF(FORMULACIÓN!P238=0,0,TEXT(FORMULACIÓN!P238,"##.###")))</f>
        <v/>
      </c>
      <c r="R238" s="63"/>
      <c r="S238" s="59"/>
      <c r="T238" s="58"/>
      <c r="U238" s="66"/>
      <c r="V238" s="66"/>
      <c r="W238" s="66"/>
      <c r="X238" s="67" t="str">
        <f t="shared" si="15"/>
        <v/>
      </c>
      <c r="Y238" s="66"/>
      <c r="Z238" s="66"/>
      <c r="AA238" s="66"/>
      <c r="AB238" s="67" t="str">
        <f t="shared" si="16"/>
        <v/>
      </c>
      <c r="AC238" s="66"/>
      <c r="AD238" s="66"/>
      <c r="AE238" s="66"/>
      <c r="AF238" s="67" t="str">
        <f t="shared" si="17"/>
        <v/>
      </c>
      <c r="AG238" s="66"/>
      <c r="AH238" s="66"/>
      <c r="AI238" s="66"/>
      <c r="AJ238" s="65" t="str">
        <f t="shared" si="18"/>
        <v/>
      </c>
      <c r="AK238" s="65" t="str">
        <f>IF(SUM(AB238,AF238,X238,AJ238)=0,"",SUM((AB238,AF238,X238,AJ238)))</f>
        <v/>
      </c>
      <c r="AM238" s="74"/>
      <c r="AN238" s="74"/>
      <c r="AO238" s="74"/>
      <c r="AP238" s="74"/>
      <c r="AQ238" s="74"/>
      <c r="AR238" s="85"/>
      <c r="AS238" s="74"/>
      <c r="AT238" s="74"/>
      <c r="AU238" s="74"/>
      <c r="AV238" s="74"/>
      <c r="AX238" s="17"/>
      <c r="CG238" s="17"/>
    </row>
    <row r="239" spans="1:85" s="62" customFormat="1" ht="99.95" customHeight="1">
      <c r="A239" s="92" t="str">
        <f t="shared" si="19"/>
        <v/>
      </c>
      <c r="B239" s="58"/>
      <c r="C239" s="51" t="str">
        <f>IFERROR(VLOOKUP(FORMULACIÓN!B239,Lists!$A$2:$B$6,2,FALSE),"")</f>
        <v/>
      </c>
      <c r="D239" s="58"/>
      <c r="E239" s="58"/>
      <c r="F239" s="58"/>
      <c r="G239" s="58"/>
      <c r="H239" s="69"/>
      <c r="I239" s="58"/>
      <c r="J239" s="63"/>
      <c r="K239" s="69"/>
      <c r="L239" s="58"/>
      <c r="M239" s="58"/>
      <c r="N239" s="58"/>
      <c r="O239" s="58"/>
      <c r="P239" s="63" t="str">
        <f ca="1">IFERROR(IF($J239=Lists!$S$2,SUM(FORMULACIÓN!K239:O239),IF(FORMULACIÓN!$J239=Lists!$S$3,SUM(FORMULACIÓN!L239:O239),IF(FORMULACIÓN!$J239=Lists!$S$4,AVERAGE(FORMULACIÓN!L239:O239),IF(FORMULACIÓN!$J239=Lists!$S$5,OFFSET(K239,0,COUNTA(L239:O239)),IF(FORMULACIÓN!$J239=Lists!$S$6,AVERAGE(FORMULACIÓN!L239:O239),""))))),"")</f>
        <v/>
      </c>
      <c r="Q239" s="51" t="str">
        <f ca="1">IF($I239=Lists!$R$3,TEXT(FORMULACIÓN!P239,"00,00%"),IF(FORMULACIÓN!P239=0,0,TEXT(FORMULACIÓN!P239,"##.###")))</f>
        <v/>
      </c>
      <c r="R239" s="63"/>
      <c r="S239" s="59"/>
      <c r="T239" s="58"/>
      <c r="U239" s="66"/>
      <c r="V239" s="66"/>
      <c r="W239" s="66"/>
      <c r="X239" s="67" t="str">
        <f t="shared" si="15"/>
        <v/>
      </c>
      <c r="Y239" s="66"/>
      <c r="Z239" s="66"/>
      <c r="AA239" s="66"/>
      <c r="AB239" s="67" t="str">
        <f t="shared" si="16"/>
        <v/>
      </c>
      <c r="AC239" s="66"/>
      <c r="AD239" s="66"/>
      <c r="AE239" s="66"/>
      <c r="AF239" s="67" t="str">
        <f t="shared" si="17"/>
        <v/>
      </c>
      <c r="AG239" s="66"/>
      <c r="AH239" s="66"/>
      <c r="AI239" s="66"/>
      <c r="AJ239" s="65" t="str">
        <f t="shared" si="18"/>
        <v/>
      </c>
      <c r="AK239" s="65" t="str">
        <f>IF(SUM(AB239,AF239,X239,AJ239)=0,"",SUM((AB239,AF239,X239,AJ239)))</f>
        <v/>
      </c>
      <c r="AM239" s="74"/>
      <c r="AN239" s="74"/>
      <c r="AO239" s="74"/>
      <c r="AP239" s="74"/>
      <c r="AQ239" s="74"/>
      <c r="AR239" s="85"/>
      <c r="AS239" s="74"/>
      <c r="AT239" s="74"/>
      <c r="AU239" s="74"/>
      <c r="AV239" s="74"/>
      <c r="AX239" s="17"/>
      <c r="CG239" s="17"/>
    </row>
    <row r="240" spans="1:85" s="62" customFormat="1" ht="99.95" customHeight="1">
      <c r="A240" s="92" t="str">
        <f t="shared" si="19"/>
        <v/>
      </c>
      <c r="B240" s="58"/>
      <c r="C240" s="51" t="str">
        <f>IFERROR(VLOOKUP(FORMULACIÓN!B240,Lists!$A$2:$B$6,2,FALSE),"")</f>
        <v/>
      </c>
      <c r="D240" s="58"/>
      <c r="E240" s="58"/>
      <c r="F240" s="58"/>
      <c r="G240" s="58"/>
      <c r="H240" s="69"/>
      <c r="I240" s="58"/>
      <c r="J240" s="63"/>
      <c r="K240" s="69"/>
      <c r="L240" s="58"/>
      <c r="M240" s="58"/>
      <c r="N240" s="58"/>
      <c r="O240" s="58"/>
      <c r="P240" s="63" t="str">
        <f ca="1">IFERROR(IF($J240=Lists!$S$2,SUM(FORMULACIÓN!K240:O240),IF(FORMULACIÓN!$J240=Lists!$S$3,SUM(FORMULACIÓN!L240:O240),IF(FORMULACIÓN!$J240=Lists!$S$4,AVERAGE(FORMULACIÓN!L240:O240),IF(FORMULACIÓN!$J240=Lists!$S$5,OFFSET(K240,0,COUNTA(L240:O240)),IF(FORMULACIÓN!$J240=Lists!$S$6,AVERAGE(FORMULACIÓN!L240:O240),""))))),"")</f>
        <v/>
      </c>
      <c r="Q240" s="51" t="str">
        <f ca="1">IF($I240=Lists!$R$3,TEXT(FORMULACIÓN!P240,"00,00%"),IF(FORMULACIÓN!P240=0,0,TEXT(FORMULACIÓN!P240,"##.###")))</f>
        <v/>
      </c>
      <c r="R240" s="63"/>
      <c r="S240" s="59"/>
      <c r="T240" s="58"/>
      <c r="U240" s="66"/>
      <c r="V240" s="66"/>
      <c r="W240" s="66"/>
      <c r="X240" s="67" t="str">
        <f t="shared" si="15"/>
        <v/>
      </c>
      <c r="Y240" s="66"/>
      <c r="Z240" s="66"/>
      <c r="AA240" s="66"/>
      <c r="AB240" s="67" t="str">
        <f t="shared" si="16"/>
        <v/>
      </c>
      <c r="AC240" s="66"/>
      <c r="AD240" s="66"/>
      <c r="AE240" s="66"/>
      <c r="AF240" s="67" t="str">
        <f t="shared" si="17"/>
        <v/>
      </c>
      <c r="AG240" s="66"/>
      <c r="AH240" s="66"/>
      <c r="AI240" s="66"/>
      <c r="AJ240" s="65" t="str">
        <f t="shared" si="18"/>
        <v/>
      </c>
      <c r="AK240" s="65" t="str">
        <f>IF(SUM(AB240,AF240,X240,AJ240)=0,"",SUM((AB240,AF240,X240,AJ240)))</f>
        <v/>
      </c>
      <c r="AM240" s="74"/>
      <c r="AN240" s="74"/>
      <c r="AO240" s="74"/>
      <c r="AP240" s="74"/>
      <c r="AQ240" s="74"/>
      <c r="AR240" s="85"/>
      <c r="AS240" s="74"/>
      <c r="AT240" s="74"/>
      <c r="AU240" s="74"/>
      <c r="AV240" s="74"/>
      <c r="AX240" s="17"/>
      <c r="CG240" s="17"/>
    </row>
    <row r="241" spans="1:85" s="62" customFormat="1" ht="99.95" customHeight="1">
      <c r="A241" s="92" t="str">
        <f t="shared" si="19"/>
        <v/>
      </c>
      <c r="B241" s="58"/>
      <c r="C241" s="51" t="str">
        <f>IFERROR(VLOOKUP(FORMULACIÓN!B241,Lists!$A$2:$B$6,2,FALSE),"")</f>
        <v/>
      </c>
      <c r="D241" s="58"/>
      <c r="E241" s="58"/>
      <c r="F241" s="58"/>
      <c r="G241" s="58"/>
      <c r="H241" s="69"/>
      <c r="I241" s="58"/>
      <c r="J241" s="63"/>
      <c r="K241" s="69"/>
      <c r="L241" s="58"/>
      <c r="M241" s="58"/>
      <c r="N241" s="58"/>
      <c r="O241" s="58"/>
      <c r="P241" s="63" t="str">
        <f ca="1">IFERROR(IF($J241=Lists!$S$2,SUM(FORMULACIÓN!K241:O241),IF(FORMULACIÓN!$J241=Lists!$S$3,SUM(FORMULACIÓN!L241:O241),IF(FORMULACIÓN!$J241=Lists!$S$4,AVERAGE(FORMULACIÓN!L241:O241),IF(FORMULACIÓN!$J241=Lists!$S$5,OFFSET(K241,0,COUNTA(L241:O241)),IF(FORMULACIÓN!$J241=Lists!$S$6,AVERAGE(FORMULACIÓN!L241:O241),""))))),"")</f>
        <v/>
      </c>
      <c r="Q241" s="51" t="str">
        <f ca="1">IF($I241=Lists!$R$3,TEXT(FORMULACIÓN!P241,"00,00%"),IF(FORMULACIÓN!P241=0,0,TEXT(FORMULACIÓN!P241,"##.###")))</f>
        <v/>
      </c>
      <c r="R241" s="63"/>
      <c r="S241" s="59"/>
      <c r="T241" s="58"/>
      <c r="U241" s="66"/>
      <c r="V241" s="66"/>
      <c r="W241" s="66"/>
      <c r="X241" s="67" t="str">
        <f t="shared" si="15"/>
        <v/>
      </c>
      <c r="Y241" s="66"/>
      <c r="Z241" s="66"/>
      <c r="AA241" s="66"/>
      <c r="AB241" s="67" t="str">
        <f t="shared" si="16"/>
        <v/>
      </c>
      <c r="AC241" s="66"/>
      <c r="AD241" s="66"/>
      <c r="AE241" s="66"/>
      <c r="AF241" s="67" t="str">
        <f t="shared" si="17"/>
        <v/>
      </c>
      <c r="AG241" s="66"/>
      <c r="AH241" s="66"/>
      <c r="AI241" s="66"/>
      <c r="AJ241" s="65" t="str">
        <f t="shared" si="18"/>
        <v/>
      </c>
      <c r="AK241" s="65" t="str">
        <f>IF(SUM(AB241,AF241,X241,AJ241)=0,"",SUM((AB241,AF241,X241,AJ241)))</f>
        <v/>
      </c>
      <c r="AM241" s="74"/>
      <c r="AN241" s="74"/>
      <c r="AO241" s="74"/>
      <c r="AP241" s="74"/>
      <c r="AQ241" s="74"/>
      <c r="AR241" s="85"/>
      <c r="AS241" s="74"/>
      <c r="AT241" s="74"/>
      <c r="AU241" s="74"/>
      <c r="AV241" s="74"/>
      <c r="AX241" s="17"/>
      <c r="CG241" s="17"/>
    </row>
    <row r="242" spans="1:85" s="62" customFormat="1" ht="99.95" customHeight="1">
      <c r="A242" s="92" t="str">
        <f t="shared" si="19"/>
        <v/>
      </c>
      <c r="B242" s="58"/>
      <c r="C242" s="51" t="str">
        <f>IFERROR(VLOOKUP(FORMULACIÓN!B242,Lists!$A$2:$B$6,2,FALSE),"")</f>
        <v/>
      </c>
      <c r="D242" s="58"/>
      <c r="E242" s="58"/>
      <c r="F242" s="58"/>
      <c r="G242" s="58"/>
      <c r="H242" s="69"/>
      <c r="I242" s="58"/>
      <c r="J242" s="63"/>
      <c r="K242" s="69"/>
      <c r="L242" s="58"/>
      <c r="M242" s="58"/>
      <c r="N242" s="58"/>
      <c r="O242" s="58"/>
      <c r="P242" s="63" t="str">
        <f ca="1">IFERROR(IF($J242=Lists!$S$2,SUM(FORMULACIÓN!K242:O242),IF(FORMULACIÓN!$J242=Lists!$S$3,SUM(FORMULACIÓN!L242:O242),IF(FORMULACIÓN!$J242=Lists!$S$4,AVERAGE(FORMULACIÓN!L242:O242),IF(FORMULACIÓN!$J242=Lists!$S$5,OFFSET(K242,0,COUNTA(L242:O242)),IF(FORMULACIÓN!$J242=Lists!$S$6,AVERAGE(FORMULACIÓN!L242:O242),""))))),"")</f>
        <v/>
      </c>
      <c r="Q242" s="51" t="str">
        <f ca="1">IF($I242=Lists!$R$3,TEXT(FORMULACIÓN!P242,"00,00%"),IF(FORMULACIÓN!P242=0,0,TEXT(FORMULACIÓN!P242,"##.###")))</f>
        <v/>
      </c>
      <c r="R242" s="63"/>
      <c r="S242" s="59"/>
      <c r="T242" s="58"/>
      <c r="U242" s="66"/>
      <c r="V242" s="66"/>
      <c r="W242" s="66"/>
      <c r="X242" s="67" t="str">
        <f t="shared" si="15"/>
        <v/>
      </c>
      <c r="Y242" s="66"/>
      <c r="Z242" s="66"/>
      <c r="AA242" s="66"/>
      <c r="AB242" s="67" t="str">
        <f t="shared" si="16"/>
        <v/>
      </c>
      <c r="AC242" s="66"/>
      <c r="AD242" s="66"/>
      <c r="AE242" s="66"/>
      <c r="AF242" s="67" t="str">
        <f t="shared" si="17"/>
        <v/>
      </c>
      <c r="AG242" s="66"/>
      <c r="AH242" s="66"/>
      <c r="AI242" s="66"/>
      <c r="AJ242" s="65" t="str">
        <f t="shared" si="18"/>
        <v/>
      </c>
      <c r="AK242" s="65" t="str">
        <f>IF(SUM(AB242,AF242,X242,AJ242)=0,"",SUM((AB242,AF242,X242,AJ242)))</f>
        <v/>
      </c>
      <c r="AM242" s="74"/>
      <c r="AN242" s="74"/>
      <c r="AO242" s="74"/>
      <c r="AP242" s="74"/>
      <c r="AQ242" s="74"/>
      <c r="AR242" s="85"/>
      <c r="AS242" s="74"/>
      <c r="AT242" s="74"/>
      <c r="AU242" s="74"/>
      <c r="AV242" s="74"/>
      <c r="AX242" s="17"/>
      <c r="CG242" s="17"/>
    </row>
    <row r="243" spans="1:85" s="62" customFormat="1" ht="99.95" customHeight="1">
      <c r="A243" s="92" t="str">
        <f t="shared" si="19"/>
        <v/>
      </c>
      <c r="B243" s="58"/>
      <c r="C243" s="51" t="str">
        <f>IFERROR(VLOOKUP(FORMULACIÓN!B243,Lists!$A$2:$B$6,2,FALSE),"")</f>
        <v/>
      </c>
      <c r="D243" s="58"/>
      <c r="E243" s="58"/>
      <c r="F243" s="58"/>
      <c r="G243" s="58"/>
      <c r="H243" s="69"/>
      <c r="I243" s="58"/>
      <c r="J243" s="63"/>
      <c r="K243" s="69"/>
      <c r="L243" s="58"/>
      <c r="M243" s="58"/>
      <c r="N243" s="58"/>
      <c r="O243" s="58"/>
      <c r="P243" s="63" t="str">
        <f ca="1">IFERROR(IF($J243=Lists!$S$2,SUM(FORMULACIÓN!K243:O243),IF(FORMULACIÓN!$J243=Lists!$S$3,SUM(FORMULACIÓN!L243:O243),IF(FORMULACIÓN!$J243=Lists!$S$4,AVERAGE(FORMULACIÓN!L243:O243),IF(FORMULACIÓN!$J243=Lists!$S$5,OFFSET(K243,0,COUNTA(L243:O243)),IF(FORMULACIÓN!$J243=Lists!$S$6,AVERAGE(FORMULACIÓN!L243:O243),""))))),"")</f>
        <v/>
      </c>
      <c r="Q243" s="51" t="str">
        <f ca="1">IF($I243=Lists!$R$3,TEXT(FORMULACIÓN!P243,"00,00%"),IF(FORMULACIÓN!P243=0,0,TEXT(FORMULACIÓN!P243,"##.###")))</f>
        <v/>
      </c>
      <c r="R243" s="63"/>
      <c r="S243" s="59"/>
      <c r="T243" s="58"/>
      <c r="U243" s="66"/>
      <c r="V243" s="66"/>
      <c r="W243" s="66"/>
      <c r="X243" s="67" t="str">
        <f t="shared" si="15"/>
        <v/>
      </c>
      <c r="Y243" s="66"/>
      <c r="Z243" s="66"/>
      <c r="AA243" s="66"/>
      <c r="AB243" s="67" t="str">
        <f t="shared" si="16"/>
        <v/>
      </c>
      <c r="AC243" s="66"/>
      <c r="AD243" s="66"/>
      <c r="AE243" s="66"/>
      <c r="AF243" s="67" t="str">
        <f t="shared" si="17"/>
        <v/>
      </c>
      <c r="AG243" s="66"/>
      <c r="AH243" s="66"/>
      <c r="AI243" s="66"/>
      <c r="AJ243" s="65" t="str">
        <f t="shared" si="18"/>
        <v/>
      </c>
      <c r="AK243" s="65" t="str">
        <f>IF(SUM(AB243,AF243,X243,AJ243)=0,"",SUM((AB243,AF243,X243,AJ243)))</f>
        <v/>
      </c>
      <c r="AM243" s="74"/>
      <c r="AN243" s="74"/>
      <c r="AO243" s="74"/>
      <c r="AP243" s="74"/>
      <c r="AQ243" s="74"/>
      <c r="AR243" s="85"/>
      <c r="AS243" s="74"/>
      <c r="AT243" s="74"/>
      <c r="AU243" s="74"/>
      <c r="AV243" s="74"/>
      <c r="AX243" s="17"/>
      <c r="CG243" s="17"/>
    </row>
    <row r="244" spans="1:85" s="62" customFormat="1" ht="99.95" customHeight="1">
      <c r="A244" s="92" t="str">
        <f t="shared" si="19"/>
        <v/>
      </c>
      <c r="B244" s="58"/>
      <c r="C244" s="51" t="str">
        <f>IFERROR(VLOOKUP(FORMULACIÓN!B244,Lists!$A$2:$B$6,2,FALSE),"")</f>
        <v/>
      </c>
      <c r="D244" s="58"/>
      <c r="E244" s="58"/>
      <c r="F244" s="58"/>
      <c r="G244" s="58"/>
      <c r="H244" s="69"/>
      <c r="I244" s="58"/>
      <c r="J244" s="63"/>
      <c r="K244" s="69"/>
      <c r="L244" s="58"/>
      <c r="M244" s="58"/>
      <c r="N244" s="58"/>
      <c r="O244" s="58"/>
      <c r="P244" s="63" t="str">
        <f ca="1">IFERROR(IF($J244=Lists!$S$2,SUM(FORMULACIÓN!K244:O244),IF(FORMULACIÓN!$J244=Lists!$S$3,SUM(FORMULACIÓN!L244:O244),IF(FORMULACIÓN!$J244=Lists!$S$4,AVERAGE(FORMULACIÓN!L244:O244),IF(FORMULACIÓN!$J244=Lists!$S$5,OFFSET(K244,0,COUNTA(L244:O244)),IF(FORMULACIÓN!$J244=Lists!$S$6,AVERAGE(FORMULACIÓN!L244:O244),""))))),"")</f>
        <v/>
      </c>
      <c r="Q244" s="51" t="str">
        <f ca="1">IF($I244=Lists!$R$3,TEXT(FORMULACIÓN!P244,"00,00%"),IF(FORMULACIÓN!P244=0,0,TEXT(FORMULACIÓN!P244,"##.###")))</f>
        <v/>
      </c>
      <c r="R244" s="63"/>
      <c r="S244" s="59"/>
      <c r="T244" s="58"/>
      <c r="U244" s="66"/>
      <c r="V244" s="66"/>
      <c r="W244" s="66"/>
      <c r="X244" s="67" t="str">
        <f t="shared" si="15"/>
        <v/>
      </c>
      <c r="Y244" s="66"/>
      <c r="Z244" s="66"/>
      <c r="AA244" s="66"/>
      <c r="AB244" s="67" t="str">
        <f t="shared" si="16"/>
        <v/>
      </c>
      <c r="AC244" s="66"/>
      <c r="AD244" s="66"/>
      <c r="AE244" s="66"/>
      <c r="AF244" s="67" t="str">
        <f t="shared" si="17"/>
        <v/>
      </c>
      <c r="AG244" s="66"/>
      <c r="AH244" s="66"/>
      <c r="AI244" s="66"/>
      <c r="AJ244" s="65" t="str">
        <f t="shared" si="18"/>
        <v/>
      </c>
      <c r="AK244" s="65" t="str">
        <f>IF(SUM(AB244,AF244,X244,AJ244)=0,"",SUM((AB244,AF244,X244,AJ244)))</f>
        <v/>
      </c>
      <c r="AM244" s="74"/>
      <c r="AN244" s="74"/>
      <c r="AO244" s="74"/>
      <c r="AP244" s="74"/>
      <c r="AQ244" s="74"/>
      <c r="AR244" s="85"/>
      <c r="AS244" s="74"/>
      <c r="AT244" s="74"/>
      <c r="AU244" s="74"/>
      <c r="AV244" s="74"/>
      <c r="AX244" s="17"/>
      <c r="CG244" s="17"/>
    </row>
    <row r="245" spans="1:85" s="62" customFormat="1" ht="99.95" customHeight="1">
      <c r="A245" s="92" t="str">
        <f t="shared" si="19"/>
        <v/>
      </c>
      <c r="B245" s="58"/>
      <c r="C245" s="51" t="str">
        <f>IFERROR(VLOOKUP(FORMULACIÓN!B245,Lists!$A$2:$B$6,2,FALSE),"")</f>
        <v/>
      </c>
      <c r="D245" s="58"/>
      <c r="E245" s="58"/>
      <c r="F245" s="58"/>
      <c r="G245" s="58"/>
      <c r="H245" s="69"/>
      <c r="I245" s="58"/>
      <c r="J245" s="63"/>
      <c r="K245" s="69"/>
      <c r="L245" s="58"/>
      <c r="M245" s="58"/>
      <c r="N245" s="58"/>
      <c r="O245" s="58"/>
      <c r="P245" s="63" t="str">
        <f ca="1">IFERROR(IF($J245=Lists!$S$2,SUM(FORMULACIÓN!K245:O245),IF(FORMULACIÓN!$J245=Lists!$S$3,SUM(FORMULACIÓN!L245:O245),IF(FORMULACIÓN!$J245=Lists!$S$4,AVERAGE(FORMULACIÓN!L245:O245),IF(FORMULACIÓN!$J245=Lists!$S$5,OFFSET(K245,0,COUNTA(L245:O245)),IF(FORMULACIÓN!$J245=Lists!$S$6,AVERAGE(FORMULACIÓN!L245:O245),""))))),"")</f>
        <v/>
      </c>
      <c r="Q245" s="51" t="str">
        <f ca="1">IF($I245=Lists!$R$3,TEXT(FORMULACIÓN!P245,"00,00%"),IF(FORMULACIÓN!P245=0,0,TEXT(FORMULACIÓN!P245,"##.###")))</f>
        <v/>
      </c>
      <c r="R245" s="63"/>
      <c r="S245" s="59"/>
      <c r="T245" s="58"/>
      <c r="U245" s="66"/>
      <c r="V245" s="66"/>
      <c r="W245" s="66"/>
      <c r="X245" s="67" t="str">
        <f t="shared" si="15"/>
        <v/>
      </c>
      <c r="Y245" s="66"/>
      <c r="Z245" s="66"/>
      <c r="AA245" s="66"/>
      <c r="AB245" s="67" t="str">
        <f t="shared" si="16"/>
        <v/>
      </c>
      <c r="AC245" s="66"/>
      <c r="AD245" s="66"/>
      <c r="AE245" s="66"/>
      <c r="AF245" s="67" t="str">
        <f t="shared" si="17"/>
        <v/>
      </c>
      <c r="AG245" s="66"/>
      <c r="AH245" s="66"/>
      <c r="AI245" s="66"/>
      <c r="AJ245" s="65" t="str">
        <f t="shared" si="18"/>
        <v/>
      </c>
      <c r="AK245" s="65" t="str">
        <f>IF(SUM(AB245,AF245,X245,AJ245)=0,"",SUM((AB245,AF245,X245,AJ245)))</f>
        <v/>
      </c>
      <c r="AM245" s="74"/>
      <c r="AN245" s="74"/>
      <c r="AO245" s="74"/>
      <c r="AP245" s="74"/>
      <c r="AQ245" s="74"/>
      <c r="AR245" s="85"/>
      <c r="AS245" s="74"/>
      <c r="AT245" s="74"/>
      <c r="AU245" s="74"/>
      <c r="AV245" s="74"/>
      <c r="AX245" s="17"/>
      <c r="CG245" s="17"/>
    </row>
    <row r="246" spans="1:85" s="62" customFormat="1" ht="99.95" customHeight="1">
      <c r="A246" s="92" t="str">
        <f t="shared" si="19"/>
        <v/>
      </c>
      <c r="B246" s="58"/>
      <c r="C246" s="51" t="str">
        <f>IFERROR(VLOOKUP(FORMULACIÓN!B246,Lists!$A$2:$B$6,2,FALSE),"")</f>
        <v/>
      </c>
      <c r="D246" s="58"/>
      <c r="E246" s="58"/>
      <c r="F246" s="58"/>
      <c r="G246" s="58"/>
      <c r="H246" s="69"/>
      <c r="I246" s="58"/>
      <c r="J246" s="63"/>
      <c r="K246" s="69"/>
      <c r="L246" s="58"/>
      <c r="M246" s="58"/>
      <c r="N246" s="58"/>
      <c r="O246" s="58"/>
      <c r="P246" s="63" t="str">
        <f ca="1">IFERROR(IF($J246=Lists!$S$2,SUM(FORMULACIÓN!K246:O246),IF(FORMULACIÓN!$J246=Lists!$S$3,SUM(FORMULACIÓN!L246:O246),IF(FORMULACIÓN!$J246=Lists!$S$4,AVERAGE(FORMULACIÓN!L246:O246),IF(FORMULACIÓN!$J246=Lists!$S$5,OFFSET(K246,0,COUNTA(L246:O246)),IF(FORMULACIÓN!$J246=Lists!$S$6,AVERAGE(FORMULACIÓN!L246:O246),""))))),"")</f>
        <v/>
      </c>
      <c r="Q246" s="51" t="str">
        <f ca="1">IF($I246=Lists!$R$3,TEXT(FORMULACIÓN!P246,"00,00%"),IF(FORMULACIÓN!P246=0,0,TEXT(FORMULACIÓN!P246,"##.###")))</f>
        <v/>
      </c>
      <c r="R246" s="63"/>
      <c r="S246" s="59"/>
      <c r="T246" s="58"/>
      <c r="U246" s="66"/>
      <c r="V246" s="66"/>
      <c r="W246" s="66"/>
      <c r="X246" s="67" t="str">
        <f t="shared" si="15"/>
        <v/>
      </c>
      <c r="Y246" s="66"/>
      <c r="Z246" s="66"/>
      <c r="AA246" s="66"/>
      <c r="AB246" s="67" t="str">
        <f t="shared" si="16"/>
        <v/>
      </c>
      <c r="AC246" s="66"/>
      <c r="AD246" s="66"/>
      <c r="AE246" s="66"/>
      <c r="AF246" s="67" t="str">
        <f t="shared" si="17"/>
        <v/>
      </c>
      <c r="AG246" s="66"/>
      <c r="AH246" s="66"/>
      <c r="AI246" s="66"/>
      <c r="AJ246" s="65" t="str">
        <f t="shared" si="18"/>
        <v/>
      </c>
      <c r="AK246" s="65" t="str">
        <f>IF(SUM(AB246,AF246,X246,AJ246)=0,"",SUM((AB246,AF246,X246,AJ246)))</f>
        <v/>
      </c>
      <c r="AM246" s="74"/>
      <c r="AN246" s="74"/>
      <c r="AO246" s="74"/>
      <c r="AP246" s="74"/>
      <c r="AQ246" s="74"/>
      <c r="AR246" s="85"/>
      <c r="AS246" s="74"/>
      <c r="AT246" s="74"/>
      <c r="AU246" s="74"/>
      <c r="AV246" s="74"/>
      <c r="AX246" s="17"/>
      <c r="CG246" s="17"/>
    </row>
    <row r="247" spans="1:85" s="62" customFormat="1" ht="99.95" customHeight="1">
      <c r="A247" s="92" t="str">
        <f t="shared" si="19"/>
        <v/>
      </c>
      <c r="B247" s="58"/>
      <c r="C247" s="51" t="str">
        <f>IFERROR(VLOOKUP(FORMULACIÓN!B247,Lists!$A$2:$B$6,2,FALSE),"")</f>
        <v/>
      </c>
      <c r="D247" s="58"/>
      <c r="E247" s="58"/>
      <c r="F247" s="58"/>
      <c r="G247" s="58"/>
      <c r="H247" s="69"/>
      <c r="I247" s="58"/>
      <c r="J247" s="63"/>
      <c r="K247" s="69"/>
      <c r="L247" s="58"/>
      <c r="M247" s="58"/>
      <c r="N247" s="58"/>
      <c r="O247" s="58"/>
      <c r="P247" s="63" t="str">
        <f ca="1">IFERROR(IF($J247=Lists!$S$2,SUM(FORMULACIÓN!K247:O247),IF(FORMULACIÓN!$J247=Lists!$S$3,SUM(FORMULACIÓN!L247:O247),IF(FORMULACIÓN!$J247=Lists!$S$4,AVERAGE(FORMULACIÓN!L247:O247),IF(FORMULACIÓN!$J247=Lists!$S$5,OFFSET(K247,0,COUNTA(L247:O247)),IF(FORMULACIÓN!$J247=Lists!$S$6,AVERAGE(FORMULACIÓN!L247:O247),""))))),"")</f>
        <v/>
      </c>
      <c r="Q247" s="51" t="str">
        <f ca="1">IF($I247=Lists!$R$3,TEXT(FORMULACIÓN!P247,"00,00%"),IF(FORMULACIÓN!P247=0,0,TEXT(FORMULACIÓN!P247,"##.###")))</f>
        <v/>
      </c>
      <c r="R247" s="63"/>
      <c r="S247" s="59"/>
      <c r="T247" s="58"/>
      <c r="U247" s="66"/>
      <c r="V247" s="66"/>
      <c r="W247" s="66"/>
      <c r="X247" s="67" t="str">
        <f t="shared" si="15"/>
        <v/>
      </c>
      <c r="Y247" s="66"/>
      <c r="Z247" s="66"/>
      <c r="AA247" s="66"/>
      <c r="AB247" s="67" t="str">
        <f t="shared" si="16"/>
        <v/>
      </c>
      <c r="AC247" s="66"/>
      <c r="AD247" s="66"/>
      <c r="AE247" s="66"/>
      <c r="AF247" s="67" t="str">
        <f t="shared" si="17"/>
        <v/>
      </c>
      <c r="AG247" s="66"/>
      <c r="AH247" s="66"/>
      <c r="AI247" s="66"/>
      <c r="AJ247" s="65" t="str">
        <f t="shared" si="18"/>
        <v/>
      </c>
      <c r="AK247" s="65" t="str">
        <f>IF(SUM(AB247,AF247,X247,AJ247)=0,"",SUM((AB247,AF247,X247,AJ247)))</f>
        <v/>
      </c>
      <c r="AM247" s="74"/>
      <c r="AN247" s="74"/>
      <c r="AO247" s="74"/>
      <c r="AP247" s="74"/>
      <c r="AQ247" s="74"/>
      <c r="AR247" s="85"/>
      <c r="AS247" s="74"/>
      <c r="AT247" s="74"/>
      <c r="AU247" s="74"/>
      <c r="AV247" s="74"/>
      <c r="AX247" s="17"/>
      <c r="CG247" s="17"/>
    </row>
    <row r="248" spans="1:85" s="62" customFormat="1" ht="99.95" customHeight="1">
      <c r="A248" s="92" t="str">
        <f t="shared" si="19"/>
        <v/>
      </c>
      <c r="B248" s="58"/>
      <c r="C248" s="51" t="str">
        <f>IFERROR(VLOOKUP(FORMULACIÓN!B248,Lists!$A$2:$B$6,2,FALSE),"")</f>
        <v/>
      </c>
      <c r="D248" s="58"/>
      <c r="E248" s="58"/>
      <c r="F248" s="58"/>
      <c r="G248" s="58"/>
      <c r="H248" s="69"/>
      <c r="I248" s="58"/>
      <c r="J248" s="63"/>
      <c r="K248" s="69"/>
      <c r="L248" s="58"/>
      <c r="M248" s="58"/>
      <c r="N248" s="58"/>
      <c r="O248" s="58"/>
      <c r="P248" s="63" t="str">
        <f ca="1">IFERROR(IF($J248=Lists!$S$2,SUM(FORMULACIÓN!K248:O248),IF(FORMULACIÓN!$J248=Lists!$S$3,SUM(FORMULACIÓN!L248:O248),IF(FORMULACIÓN!$J248=Lists!$S$4,AVERAGE(FORMULACIÓN!L248:O248),IF(FORMULACIÓN!$J248=Lists!$S$5,OFFSET(K248,0,COUNTA(L248:O248)),IF(FORMULACIÓN!$J248=Lists!$S$6,AVERAGE(FORMULACIÓN!L248:O248),""))))),"")</f>
        <v/>
      </c>
      <c r="Q248" s="51" t="str">
        <f ca="1">IF($I248=Lists!$R$3,TEXT(FORMULACIÓN!P248,"00,00%"),IF(FORMULACIÓN!P248=0,0,TEXT(FORMULACIÓN!P248,"##.###")))</f>
        <v/>
      </c>
      <c r="R248" s="63"/>
      <c r="S248" s="59"/>
      <c r="T248" s="58"/>
      <c r="U248" s="66"/>
      <c r="V248" s="66"/>
      <c r="W248" s="66"/>
      <c r="X248" s="67" t="str">
        <f t="shared" si="15"/>
        <v/>
      </c>
      <c r="Y248" s="66"/>
      <c r="Z248" s="66"/>
      <c r="AA248" s="66"/>
      <c r="AB248" s="67" t="str">
        <f t="shared" si="16"/>
        <v/>
      </c>
      <c r="AC248" s="66"/>
      <c r="AD248" s="66"/>
      <c r="AE248" s="66"/>
      <c r="AF248" s="67" t="str">
        <f t="shared" si="17"/>
        <v/>
      </c>
      <c r="AG248" s="66"/>
      <c r="AH248" s="66"/>
      <c r="AI248" s="66"/>
      <c r="AJ248" s="65" t="str">
        <f t="shared" si="18"/>
        <v/>
      </c>
      <c r="AK248" s="65" t="str">
        <f>IF(SUM(AB248,AF248,X248,AJ248)=0,"",SUM((AB248,AF248,X248,AJ248)))</f>
        <v/>
      </c>
      <c r="AM248" s="74"/>
      <c r="AN248" s="74"/>
      <c r="AO248" s="74"/>
      <c r="AP248" s="74"/>
      <c r="AQ248" s="74"/>
      <c r="AR248" s="85"/>
      <c r="AS248" s="74"/>
      <c r="AT248" s="74"/>
      <c r="AU248" s="74"/>
      <c r="AV248" s="74"/>
      <c r="AX248" s="17"/>
      <c r="CG248" s="17"/>
    </row>
    <row r="249" spans="1:85" s="62" customFormat="1" ht="99.95" customHeight="1">
      <c r="A249" s="92" t="str">
        <f t="shared" si="19"/>
        <v/>
      </c>
      <c r="B249" s="58"/>
      <c r="C249" s="51" t="str">
        <f>IFERROR(VLOOKUP(FORMULACIÓN!B249,Lists!$A$2:$B$6,2,FALSE),"")</f>
        <v/>
      </c>
      <c r="D249" s="58"/>
      <c r="E249" s="58"/>
      <c r="F249" s="58"/>
      <c r="G249" s="58"/>
      <c r="H249" s="69"/>
      <c r="I249" s="58"/>
      <c r="J249" s="63"/>
      <c r="K249" s="69"/>
      <c r="L249" s="58"/>
      <c r="M249" s="58"/>
      <c r="N249" s="58"/>
      <c r="O249" s="58"/>
      <c r="P249" s="63" t="str">
        <f ca="1">IFERROR(IF($J249=Lists!$S$2,SUM(FORMULACIÓN!K249:O249),IF(FORMULACIÓN!$J249=Lists!$S$3,SUM(FORMULACIÓN!L249:O249),IF(FORMULACIÓN!$J249=Lists!$S$4,AVERAGE(FORMULACIÓN!L249:O249),IF(FORMULACIÓN!$J249=Lists!$S$5,OFFSET(K249,0,COUNTA(L249:O249)),IF(FORMULACIÓN!$J249=Lists!$S$6,AVERAGE(FORMULACIÓN!L249:O249),""))))),"")</f>
        <v/>
      </c>
      <c r="Q249" s="51" t="str">
        <f ca="1">IF($I249=Lists!$R$3,TEXT(FORMULACIÓN!P249,"00,00%"),IF(FORMULACIÓN!P249=0,0,TEXT(FORMULACIÓN!P249,"##.###")))</f>
        <v/>
      </c>
      <c r="R249" s="63"/>
      <c r="S249" s="59"/>
      <c r="T249" s="58"/>
      <c r="U249" s="66"/>
      <c r="V249" s="66"/>
      <c r="W249" s="66"/>
      <c r="X249" s="67" t="str">
        <f t="shared" si="15"/>
        <v/>
      </c>
      <c r="Y249" s="66"/>
      <c r="Z249" s="66"/>
      <c r="AA249" s="66"/>
      <c r="AB249" s="67" t="str">
        <f t="shared" si="16"/>
        <v/>
      </c>
      <c r="AC249" s="66"/>
      <c r="AD249" s="66"/>
      <c r="AE249" s="66"/>
      <c r="AF249" s="67" t="str">
        <f t="shared" si="17"/>
        <v/>
      </c>
      <c r="AG249" s="66"/>
      <c r="AH249" s="66"/>
      <c r="AI249" s="66"/>
      <c r="AJ249" s="65" t="str">
        <f t="shared" si="18"/>
        <v/>
      </c>
      <c r="AK249" s="65" t="str">
        <f>IF(SUM(AB249,AF249,X249,AJ249)=0,"",SUM((AB249,AF249,X249,AJ249)))</f>
        <v/>
      </c>
      <c r="AM249" s="74"/>
      <c r="AN249" s="74"/>
      <c r="AO249" s="74"/>
      <c r="AP249" s="74"/>
      <c r="AQ249" s="74"/>
      <c r="AR249" s="85"/>
      <c r="AS249" s="74"/>
      <c r="AT249" s="74"/>
      <c r="AU249" s="74"/>
      <c r="AV249" s="74"/>
      <c r="AX249" s="17"/>
      <c r="CG249" s="17"/>
    </row>
    <row r="250" spans="1:85" s="62" customFormat="1" ht="99.95" customHeight="1">
      <c r="A250" s="92" t="str">
        <f t="shared" si="19"/>
        <v/>
      </c>
      <c r="B250" s="58"/>
      <c r="C250" s="51" t="str">
        <f>IFERROR(VLOOKUP(FORMULACIÓN!B250,Lists!$A$2:$B$6,2,FALSE),"")</f>
        <v/>
      </c>
      <c r="D250" s="58"/>
      <c r="E250" s="58"/>
      <c r="F250" s="58"/>
      <c r="G250" s="58"/>
      <c r="H250" s="69"/>
      <c r="I250" s="58"/>
      <c r="J250" s="63"/>
      <c r="K250" s="69"/>
      <c r="L250" s="58"/>
      <c r="M250" s="58"/>
      <c r="N250" s="58"/>
      <c r="O250" s="58"/>
      <c r="P250" s="63" t="str">
        <f ca="1">IFERROR(IF($J250=Lists!$S$2,SUM(FORMULACIÓN!K250:O250),IF(FORMULACIÓN!$J250=Lists!$S$3,SUM(FORMULACIÓN!L250:O250),IF(FORMULACIÓN!$J250=Lists!$S$4,AVERAGE(FORMULACIÓN!L250:O250),IF(FORMULACIÓN!$J250=Lists!$S$5,OFFSET(K250,0,COUNTA(L250:O250)),IF(FORMULACIÓN!$J250=Lists!$S$6,AVERAGE(FORMULACIÓN!L250:O250),""))))),"")</f>
        <v/>
      </c>
      <c r="Q250" s="51" t="str">
        <f ca="1">IF($I250=Lists!$R$3,TEXT(FORMULACIÓN!P250,"00,00%"),IF(FORMULACIÓN!P250=0,0,TEXT(FORMULACIÓN!P250,"##.###")))</f>
        <v/>
      </c>
      <c r="R250" s="63"/>
      <c r="S250" s="59"/>
      <c r="T250" s="58"/>
      <c r="U250" s="66"/>
      <c r="V250" s="66"/>
      <c r="W250" s="66"/>
      <c r="X250" s="67" t="str">
        <f t="shared" si="15"/>
        <v/>
      </c>
      <c r="Y250" s="66"/>
      <c r="Z250" s="66"/>
      <c r="AA250" s="66"/>
      <c r="AB250" s="67" t="str">
        <f t="shared" si="16"/>
        <v/>
      </c>
      <c r="AC250" s="66"/>
      <c r="AD250" s="66"/>
      <c r="AE250" s="66"/>
      <c r="AF250" s="67" t="str">
        <f t="shared" si="17"/>
        <v/>
      </c>
      <c r="AG250" s="66"/>
      <c r="AH250" s="66"/>
      <c r="AI250" s="66"/>
      <c r="AJ250" s="65" t="str">
        <f t="shared" si="18"/>
        <v/>
      </c>
      <c r="AK250" s="65" t="str">
        <f>IF(SUM(AB250,AF250,X250,AJ250)=0,"",SUM((AB250,AF250,X250,AJ250)))</f>
        <v/>
      </c>
      <c r="AM250" s="74"/>
      <c r="AN250" s="74"/>
      <c r="AO250" s="74"/>
      <c r="AP250" s="74"/>
      <c r="AQ250" s="74"/>
      <c r="AR250" s="85"/>
      <c r="AS250" s="74"/>
      <c r="AT250" s="74"/>
      <c r="AU250" s="74"/>
      <c r="AV250" s="74"/>
      <c r="AX250" s="17"/>
      <c r="CG250" s="17"/>
    </row>
    <row r="251" spans="1:85" s="62" customFormat="1" ht="99.95" customHeight="1">
      <c r="A251" s="92" t="str">
        <f t="shared" si="19"/>
        <v/>
      </c>
      <c r="B251" s="58"/>
      <c r="C251" s="51" t="str">
        <f>IFERROR(VLOOKUP(FORMULACIÓN!B251,Lists!$A$2:$B$6,2,FALSE),"")</f>
        <v/>
      </c>
      <c r="D251" s="58"/>
      <c r="E251" s="58"/>
      <c r="F251" s="58"/>
      <c r="G251" s="58"/>
      <c r="H251" s="69"/>
      <c r="I251" s="58"/>
      <c r="J251" s="63"/>
      <c r="K251" s="69"/>
      <c r="L251" s="58"/>
      <c r="M251" s="58"/>
      <c r="N251" s="58"/>
      <c r="O251" s="58"/>
      <c r="P251" s="63" t="str">
        <f ca="1">IFERROR(IF($J251=Lists!$S$2,SUM(FORMULACIÓN!K251:O251),IF(FORMULACIÓN!$J251=Lists!$S$3,SUM(FORMULACIÓN!L251:O251),IF(FORMULACIÓN!$J251=Lists!$S$4,AVERAGE(FORMULACIÓN!L251:O251),IF(FORMULACIÓN!$J251=Lists!$S$5,OFFSET(K251,0,COUNTA(L251:O251)),IF(FORMULACIÓN!$J251=Lists!$S$6,AVERAGE(FORMULACIÓN!L251:O251),""))))),"")</f>
        <v/>
      </c>
      <c r="Q251" s="51" t="str">
        <f ca="1">IF($I251=Lists!$R$3,TEXT(FORMULACIÓN!P251,"00,00%"),IF(FORMULACIÓN!P251=0,0,TEXT(FORMULACIÓN!P251,"##.###")))</f>
        <v/>
      </c>
      <c r="R251" s="63"/>
      <c r="S251" s="59"/>
      <c r="T251" s="58"/>
      <c r="U251" s="66"/>
      <c r="V251" s="66"/>
      <c r="W251" s="66"/>
      <c r="X251" s="67" t="str">
        <f t="shared" si="15"/>
        <v/>
      </c>
      <c r="Y251" s="66"/>
      <c r="Z251" s="66"/>
      <c r="AA251" s="66"/>
      <c r="AB251" s="67" t="str">
        <f t="shared" si="16"/>
        <v/>
      </c>
      <c r="AC251" s="66"/>
      <c r="AD251" s="66"/>
      <c r="AE251" s="66"/>
      <c r="AF251" s="67" t="str">
        <f t="shared" si="17"/>
        <v/>
      </c>
      <c r="AG251" s="66"/>
      <c r="AH251" s="66"/>
      <c r="AI251" s="66"/>
      <c r="AJ251" s="65" t="str">
        <f t="shared" si="18"/>
        <v/>
      </c>
      <c r="AK251" s="65" t="str">
        <f>IF(SUM(AB251,AF251,X251,AJ251)=0,"",SUM((AB251,AF251,X251,AJ251)))</f>
        <v/>
      </c>
      <c r="AM251" s="74"/>
      <c r="AN251" s="74"/>
      <c r="AO251" s="74"/>
      <c r="AP251" s="74"/>
      <c r="AQ251" s="74"/>
      <c r="AR251" s="85"/>
      <c r="AS251" s="74"/>
      <c r="AT251" s="74"/>
      <c r="AU251" s="74"/>
      <c r="AV251" s="74"/>
      <c r="AX251" s="17"/>
      <c r="CG251" s="17"/>
    </row>
    <row r="252" spans="1:85" s="62" customFormat="1" ht="99.95" customHeight="1">
      <c r="A252" s="92" t="str">
        <f t="shared" si="19"/>
        <v/>
      </c>
      <c r="B252" s="58"/>
      <c r="C252" s="51" t="str">
        <f>IFERROR(VLOOKUP(FORMULACIÓN!B252,Lists!$A$2:$B$6,2,FALSE),"")</f>
        <v/>
      </c>
      <c r="D252" s="58"/>
      <c r="E252" s="58"/>
      <c r="F252" s="58"/>
      <c r="G252" s="58"/>
      <c r="H252" s="69"/>
      <c r="I252" s="58"/>
      <c r="J252" s="63"/>
      <c r="K252" s="69"/>
      <c r="L252" s="58"/>
      <c r="M252" s="58"/>
      <c r="N252" s="58"/>
      <c r="O252" s="58"/>
      <c r="P252" s="63" t="str">
        <f ca="1">IFERROR(IF($J252=Lists!$S$2,SUM(FORMULACIÓN!K252:O252),IF(FORMULACIÓN!$J252=Lists!$S$3,SUM(FORMULACIÓN!L252:O252),IF(FORMULACIÓN!$J252=Lists!$S$4,AVERAGE(FORMULACIÓN!L252:O252),IF(FORMULACIÓN!$J252=Lists!$S$5,OFFSET(K252,0,COUNTA(L252:O252)),IF(FORMULACIÓN!$J252=Lists!$S$6,AVERAGE(FORMULACIÓN!L252:O252),""))))),"")</f>
        <v/>
      </c>
      <c r="Q252" s="51" t="str">
        <f ca="1">IF($I252=Lists!$R$3,TEXT(FORMULACIÓN!P252,"00,00%"),IF(FORMULACIÓN!P252=0,0,TEXT(FORMULACIÓN!P252,"##.###")))</f>
        <v/>
      </c>
      <c r="R252" s="63"/>
      <c r="S252" s="59"/>
      <c r="T252" s="58"/>
      <c r="U252" s="66"/>
      <c r="V252" s="66"/>
      <c r="W252" s="66"/>
      <c r="X252" s="67" t="str">
        <f t="shared" si="15"/>
        <v/>
      </c>
      <c r="Y252" s="66"/>
      <c r="Z252" s="66"/>
      <c r="AA252" s="66"/>
      <c r="AB252" s="67" t="str">
        <f t="shared" si="16"/>
        <v/>
      </c>
      <c r="AC252" s="66"/>
      <c r="AD252" s="66"/>
      <c r="AE252" s="66"/>
      <c r="AF252" s="67" t="str">
        <f t="shared" si="17"/>
        <v/>
      </c>
      <c r="AG252" s="66"/>
      <c r="AH252" s="66"/>
      <c r="AI252" s="66"/>
      <c r="AJ252" s="65" t="str">
        <f t="shared" si="18"/>
        <v/>
      </c>
      <c r="AK252" s="65" t="str">
        <f>IF(SUM(AB252,AF252,X252,AJ252)=0,"",SUM((AB252,AF252,X252,AJ252)))</f>
        <v/>
      </c>
      <c r="AM252" s="74"/>
      <c r="AN252" s="74"/>
      <c r="AO252" s="74"/>
      <c r="AP252" s="74"/>
      <c r="AQ252" s="74"/>
      <c r="AR252" s="85"/>
      <c r="AS252" s="74"/>
      <c r="AT252" s="74"/>
      <c r="AU252" s="74"/>
      <c r="AV252" s="74"/>
      <c r="AX252" s="17"/>
      <c r="CG252" s="17"/>
    </row>
    <row r="253" spans="1:85" s="62" customFormat="1" ht="99.95" customHeight="1">
      <c r="A253" s="92" t="str">
        <f t="shared" si="19"/>
        <v/>
      </c>
      <c r="B253" s="58"/>
      <c r="C253" s="51" t="str">
        <f>IFERROR(VLOOKUP(FORMULACIÓN!B253,Lists!$A$2:$B$6,2,FALSE),"")</f>
        <v/>
      </c>
      <c r="D253" s="58"/>
      <c r="E253" s="58"/>
      <c r="F253" s="58"/>
      <c r="G253" s="58"/>
      <c r="H253" s="69"/>
      <c r="I253" s="58"/>
      <c r="J253" s="63"/>
      <c r="K253" s="69"/>
      <c r="L253" s="58"/>
      <c r="M253" s="58"/>
      <c r="N253" s="58"/>
      <c r="O253" s="58"/>
      <c r="P253" s="63" t="str">
        <f ca="1">IFERROR(IF($J253=Lists!$S$2,SUM(FORMULACIÓN!K253:O253),IF(FORMULACIÓN!$J253=Lists!$S$3,SUM(FORMULACIÓN!L253:O253),IF(FORMULACIÓN!$J253=Lists!$S$4,AVERAGE(FORMULACIÓN!L253:O253),IF(FORMULACIÓN!$J253=Lists!$S$5,OFFSET(K253,0,COUNTA(L253:O253)),IF(FORMULACIÓN!$J253=Lists!$S$6,AVERAGE(FORMULACIÓN!L253:O253),""))))),"")</f>
        <v/>
      </c>
      <c r="Q253" s="51" t="str">
        <f ca="1">IF($I253=Lists!$R$3,TEXT(FORMULACIÓN!P253,"00,00%"),IF(FORMULACIÓN!P253=0,0,TEXT(FORMULACIÓN!P253,"##.###")))</f>
        <v/>
      </c>
      <c r="R253" s="63"/>
      <c r="S253" s="59"/>
      <c r="T253" s="58"/>
      <c r="U253" s="66"/>
      <c r="V253" s="66"/>
      <c r="W253" s="66"/>
      <c r="X253" s="67" t="str">
        <f t="shared" si="15"/>
        <v/>
      </c>
      <c r="Y253" s="66"/>
      <c r="Z253" s="66"/>
      <c r="AA253" s="66"/>
      <c r="AB253" s="67" t="str">
        <f t="shared" si="16"/>
        <v/>
      </c>
      <c r="AC253" s="66"/>
      <c r="AD253" s="66"/>
      <c r="AE253" s="66"/>
      <c r="AF253" s="67" t="str">
        <f t="shared" si="17"/>
        <v/>
      </c>
      <c r="AG253" s="66"/>
      <c r="AH253" s="66"/>
      <c r="AI253" s="66"/>
      <c r="AJ253" s="65" t="str">
        <f t="shared" si="18"/>
        <v/>
      </c>
      <c r="AK253" s="65" t="str">
        <f>IF(SUM(AB253,AF253,X253,AJ253)=0,"",SUM((AB253,AF253,X253,AJ253)))</f>
        <v/>
      </c>
      <c r="AM253" s="74"/>
      <c r="AN253" s="74"/>
      <c r="AO253" s="74"/>
      <c r="AP253" s="74"/>
      <c r="AQ253" s="74"/>
      <c r="AR253" s="85"/>
      <c r="AS253" s="74"/>
      <c r="AT253" s="74"/>
      <c r="AU253" s="74"/>
      <c r="AV253" s="74"/>
      <c r="AX253" s="17"/>
      <c r="CG253" s="17"/>
    </row>
    <row r="254" spans="1:85" s="62" customFormat="1" ht="99.95" customHeight="1">
      <c r="A254" s="92" t="str">
        <f t="shared" si="19"/>
        <v/>
      </c>
      <c r="B254" s="58"/>
      <c r="C254" s="51" t="str">
        <f>IFERROR(VLOOKUP(FORMULACIÓN!B254,Lists!$A$2:$B$6,2,FALSE),"")</f>
        <v/>
      </c>
      <c r="D254" s="58"/>
      <c r="E254" s="58"/>
      <c r="F254" s="58"/>
      <c r="G254" s="58"/>
      <c r="H254" s="69"/>
      <c r="I254" s="58"/>
      <c r="J254" s="63"/>
      <c r="K254" s="69"/>
      <c r="L254" s="58"/>
      <c r="M254" s="58"/>
      <c r="N254" s="58"/>
      <c r="O254" s="58"/>
      <c r="P254" s="63" t="str">
        <f ca="1">IFERROR(IF($J254=Lists!$S$2,SUM(FORMULACIÓN!K254:O254),IF(FORMULACIÓN!$J254=Lists!$S$3,SUM(FORMULACIÓN!L254:O254),IF(FORMULACIÓN!$J254=Lists!$S$4,AVERAGE(FORMULACIÓN!L254:O254),IF(FORMULACIÓN!$J254=Lists!$S$5,OFFSET(K254,0,COUNTA(L254:O254)),IF(FORMULACIÓN!$J254=Lists!$S$6,AVERAGE(FORMULACIÓN!L254:O254),""))))),"")</f>
        <v/>
      </c>
      <c r="Q254" s="51" t="str">
        <f ca="1">IF($I254=Lists!$R$3,TEXT(FORMULACIÓN!P254,"00,00%"),IF(FORMULACIÓN!P254=0,0,TEXT(FORMULACIÓN!P254,"##.###")))</f>
        <v/>
      </c>
      <c r="R254" s="63"/>
      <c r="S254" s="59"/>
      <c r="T254" s="58"/>
      <c r="U254" s="66"/>
      <c r="V254" s="66"/>
      <c r="W254" s="66"/>
      <c r="X254" s="67" t="str">
        <f t="shared" si="15"/>
        <v/>
      </c>
      <c r="Y254" s="66"/>
      <c r="Z254" s="66"/>
      <c r="AA254" s="66"/>
      <c r="AB254" s="67" t="str">
        <f t="shared" si="16"/>
        <v/>
      </c>
      <c r="AC254" s="66"/>
      <c r="AD254" s="66"/>
      <c r="AE254" s="66"/>
      <c r="AF254" s="67" t="str">
        <f t="shared" si="17"/>
        <v/>
      </c>
      <c r="AG254" s="66"/>
      <c r="AH254" s="66"/>
      <c r="AI254" s="66"/>
      <c r="AJ254" s="65" t="str">
        <f t="shared" si="18"/>
        <v/>
      </c>
      <c r="AK254" s="65" t="str">
        <f>IF(SUM(AB254,AF254,X254,AJ254)=0,"",SUM((AB254,AF254,X254,AJ254)))</f>
        <v/>
      </c>
      <c r="AM254" s="74"/>
      <c r="AN254" s="74"/>
      <c r="AO254" s="74"/>
      <c r="AP254" s="74"/>
      <c r="AQ254" s="74"/>
      <c r="AR254" s="85"/>
      <c r="AS254" s="74"/>
      <c r="AT254" s="74"/>
      <c r="AU254" s="74"/>
      <c r="AV254" s="74"/>
      <c r="AX254" s="17"/>
      <c r="CG254" s="17"/>
    </row>
    <row r="255" spans="1:85" s="62" customFormat="1" ht="99.95" customHeight="1">
      <c r="A255" s="92" t="str">
        <f t="shared" si="19"/>
        <v/>
      </c>
      <c r="B255" s="58"/>
      <c r="C255" s="51" t="str">
        <f>IFERROR(VLOOKUP(FORMULACIÓN!B255,Lists!$A$2:$B$6,2,FALSE),"")</f>
        <v/>
      </c>
      <c r="D255" s="58"/>
      <c r="E255" s="58"/>
      <c r="F255" s="58"/>
      <c r="G255" s="58"/>
      <c r="H255" s="69"/>
      <c r="I255" s="58"/>
      <c r="J255" s="63"/>
      <c r="K255" s="69"/>
      <c r="L255" s="58"/>
      <c r="M255" s="58"/>
      <c r="N255" s="58"/>
      <c r="O255" s="58"/>
      <c r="P255" s="63" t="str">
        <f ca="1">IFERROR(IF($J255=Lists!$S$2,SUM(FORMULACIÓN!K255:O255),IF(FORMULACIÓN!$J255=Lists!$S$3,SUM(FORMULACIÓN!L255:O255),IF(FORMULACIÓN!$J255=Lists!$S$4,AVERAGE(FORMULACIÓN!L255:O255),IF(FORMULACIÓN!$J255=Lists!$S$5,OFFSET(K255,0,COUNTA(L255:O255)),IF(FORMULACIÓN!$J255=Lists!$S$6,AVERAGE(FORMULACIÓN!L255:O255),""))))),"")</f>
        <v/>
      </c>
      <c r="Q255" s="51" t="str">
        <f ca="1">IF($I255=Lists!$R$3,TEXT(FORMULACIÓN!P255,"00,00%"),IF(FORMULACIÓN!P255=0,0,TEXT(FORMULACIÓN!P255,"##.###")))</f>
        <v/>
      </c>
      <c r="R255" s="63"/>
      <c r="S255" s="59"/>
      <c r="T255" s="58"/>
      <c r="U255" s="66"/>
      <c r="V255" s="66"/>
      <c r="W255" s="66"/>
      <c r="X255" s="67" t="str">
        <f t="shared" si="15"/>
        <v/>
      </c>
      <c r="Y255" s="66"/>
      <c r="Z255" s="66"/>
      <c r="AA255" s="66"/>
      <c r="AB255" s="67" t="str">
        <f t="shared" si="16"/>
        <v/>
      </c>
      <c r="AC255" s="66"/>
      <c r="AD255" s="66"/>
      <c r="AE255" s="66"/>
      <c r="AF255" s="67" t="str">
        <f t="shared" si="17"/>
        <v/>
      </c>
      <c r="AG255" s="66"/>
      <c r="AH255" s="66"/>
      <c r="AI255" s="66"/>
      <c r="AJ255" s="65" t="str">
        <f t="shared" si="18"/>
        <v/>
      </c>
      <c r="AK255" s="65" t="str">
        <f>IF(SUM(AB255,AF255,X255,AJ255)=0,"",SUM((AB255,AF255,X255,AJ255)))</f>
        <v/>
      </c>
      <c r="AM255" s="74"/>
      <c r="AN255" s="74"/>
      <c r="AO255" s="74"/>
      <c r="AP255" s="74"/>
      <c r="AQ255" s="74"/>
      <c r="AR255" s="85"/>
      <c r="AS255" s="74"/>
      <c r="AT255" s="74"/>
      <c r="AU255" s="74"/>
      <c r="AV255" s="74"/>
      <c r="AX255" s="17"/>
      <c r="CG255" s="17"/>
    </row>
    <row r="256" spans="1:85" s="62" customFormat="1" ht="99.95" customHeight="1">
      <c r="A256" s="92" t="str">
        <f t="shared" si="19"/>
        <v/>
      </c>
      <c r="B256" s="58"/>
      <c r="C256" s="51" t="str">
        <f>IFERROR(VLOOKUP(FORMULACIÓN!B256,Lists!$A$2:$B$6,2,FALSE),"")</f>
        <v/>
      </c>
      <c r="D256" s="58"/>
      <c r="E256" s="58"/>
      <c r="F256" s="58"/>
      <c r="G256" s="58"/>
      <c r="H256" s="69"/>
      <c r="I256" s="58"/>
      <c r="J256" s="63"/>
      <c r="K256" s="69"/>
      <c r="L256" s="58"/>
      <c r="M256" s="58"/>
      <c r="N256" s="58"/>
      <c r="O256" s="58"/>
      <c r="P256" s="63" t="str">
        <f ca="1">IFERROR(IF($J256=Lists!$S$2,SUM(FORMULACIÓN!K256:O256),IF(FORMULACIÓN!$J256=Lists!$S$3,SUM(FORMULACIÓN!L256:O256),IF(FORMULACIÓN!$J256=Lists!$S$4,AVERAGE(FORMULACIÓN!L256:O256),IF(FORMULACIÓN!$J256=Lists!$S$5,OFFSET(K256,0,COUNTA(L256:O256)),IF(FORMULACIÓN!$J256=Lists!$S$6,AVERAGE(FORMULACIÓN!L256:O256),""))))),"")</f>
        <v/>
      </c>
      <c r="Q256" s="51" t="str">
        <f ca="1">IF($I256=Lists!$R$3,TEXT(FORMULACIÓN!P256,"00,00%"),IF(FORMULACIÓN!P256=0,0,TEXT(FORMULACIÓN!P256,"##.###")))</f>
        <v/>
      </c>
      <c r="R256" s="63"/>
      <c r="S256" s="59"/>
      <c r="T256" s="58"/>
      <c r="U256" s="66"/>
      <c r="V256" s="66"/>
      <c r="W256" s="66"/>
      <c r="X256" s="67" t="str">
        <f t="shared" si="15"/>
        <v/>
      </c>
      <c r="Y256" s="66"/>
      <c r="Z256" s="66"/>
      <c r="AA256" s="66"/>
      <c r="AB256" s="67" t="str">
        <f t="shared" si="16"/>
        <v/>
      </c>
      <c r="AC256" s="66"/>
      <c r="AD256" s="66"/>
      <c r="AE256" s="66"/>
      <c r="AF256" s="67" t="str">
        <f t="shared" si="17"/>
        <v/>
      </c>
      <c r="AG256" s="66"/>
      <c r="AH256" s="66"/>
      <c r="AI256" s="66"/>
      <c r="AJ256" s="65" t="str">
        <f t="shared" si="18"/>
        <v/>
      </c>
      <c r="AK256" s="65" t="str">
        <f>IF(SUM(AB256,AF256,X256,AJ256)=0,"",SUM((AB256,AF256,X256,AJ256)))</f>
        <v/>
      </c>
      <c r="AM256" s="74"/>
      <c r="AN256" s="74"/>
      <c r="AO256" s="74"/>
      <c r="AP256" s="74"/>
      <c r="AQ256" s="74"/>
      <c r="AR256" s="85"/>
      <c r="AS256" s="74"/>
      <c r="AT256" s="74"/>
      <c r="AU256" s="74"/>
      <c r="AV256" s="74"/>
      <c r="AX256" s="17"/>
      <c r="CG256" s="17"/>
    </row>
    <row r="257" spans="1:85" s="62" customFormat="1" ht="99.95" customHeight="1">
      <c r="A257" s="92" t="str">
        <f t="shared" si="19"/>
        <v/>
      </c>
      <c r="B257" s="58"/>
      <c r="C257" s="51" t="str">
        <f>IFERROR(VLOOKUP(FORMULACIÓN!B257,Lists!$A$2:$B$6,2,FALSE),"")</f>
        <v/>
      </c>
      <c r="D257" s="58"/>
      <c r="E257" s="58"/>
      <c r="F257" s="58"/>
      <c r="G257" s="58"/>
      <c r="H257" s="69"/>
      <c r="I257" s="58"/>
      <c r="J257" s="63"/>
      <c r="K257" s="69"/>
      <c r="L257" s="58"/>
      <c r="M257" s="58"/>
      <c r="N257" s="58"/>
      <c r="O257" s="58"/>
      <c r="P257" s="63" t="str">
        <f ca="1">IFERROR(IF($J257=Lists!$S$2,SUM(FORMULACIÓN!K257:O257),IF(FORMULACIÓN!$J257=Lists!$S$3,SUM(FORMULACIÓN!L257:O257),IF(FORMULACIÓN!$J257=Lists!$S$4,AVERAGE(FORMULACIÓN!L257:O257),IF(FORMULACIÓN!$J257=Lists!$S$5,OFFSET(K257,0,COUNTA(L257:O257)),IF(FORMULACIÓN!$J257=Lists!$S$6,AVERAGE(FORMULACIÓN!L257:O257),""))))),"")</f>
        <v/>
      </c>
      <c r="Q257" s="51" t="str">
        <f ca="1">IF($I257=Lists!$R$3,TEXT(FORMULACIÓN!P257,"00,00%"),IF(FORMULACIÓN!P257=0,0,TEXT(FORMULACIÓN!P257,"##.###")))</f>
        <v/>
      </c>
      <c r="R257" s="63"/>
      <c r="S257" s="59"/>
      <c r="T257" s="58"/>
      <c r="U257" s="66"/>
      <c r="V257" s="66"/>
      <c r="W257" s="66"/>
      <c r="X257" s="67" t="str">
        <f t="shared" si="15"/>
        <v/>
      </c>
      <c r="Y257" s="66"/>
      <c r="Z257" s="66"/>
      <c r="AA257" s="66"/>
      <c r="AB257" s="67" t="str">
        <f t="shared" si="16"/>
        <v/>
      </c>
      <c r="AC257" s="66"/>
      <c r="AD257" s="66"/>
      <c r="AE257" s="66"/>
      <c r="AF257" s="67" t="str">
        <f t="shared" si="17"/>
        <v/>
      </c>
      <c r="AG257" s="66"/>
      <c r="AH257" s="66"/>
      <c r="AI257" s="66"/>
      <c r="AJ257" s="65" t="str">
        <f t="shared" si="18"/>
        <v/>
      </c>
      <c r="AK257" s="65" t="str">
        <f>IF(SUM(AB257,AF257,X257,AJ257)=0,"",SUM((AB257,AF257,X257,AJ257)))</f>
        <v/>
      </c>
      <c r="AM257" s="74"/>
      <c r="AN257" s="74"/>
      <c r="AO257" s="74"/>
      <c r="AP257" s="74"/>
      <c r="AQ257" s="74"/>
      <c r="AR257" s="85"/>
      <c r="AS257" s="74"/>
      <c r="AT257" s="74"/>
      <c r="AU257" s="74"/>
      <c r="AV257" s="74"/>
      <c r="AX257" s="17"/>
      <c r="CG257" s="17"/>
    </row>
    <row r="258" spans="1:85" s="62" customFormat="1" ht="99.95" customHeight="1">
      <c r="A258" s="92" t="str">
        <f t="shared" si="19"/>
        <v/>
      </c>
      <c r="B258" s="58"/>
      <c r="C258" s="51" t="str">
        <f>IFERROR(VLOOKUP(FORMULACIÓN!B258,Lists!$A$2:$B$6,2,FALSE),"")</f>
        <v/>
      </c>
      <c r="D258" s="58"/>
      <c r="E258" s="58"/>
      <c r="F258" s="58"/>
      <c r="G258" s="58"/>
      <c r="H258" s="69"/>
      <c r="I258" s="58"/>
      <c r="J258" s="63"/>
      <c r="K258" s="69"/>
      <c r="L258" s="58"/>
      <c r="M258" s="58"/>
      <c r="N258" s="58"/>
      <c r="O258" s="58"/>
      <c r="P258" s="63" t="str">
        <f ca="1">IFERROR(IF($J258=Lists!$S$2,SUM(FORMULACIÓN!K258:O258),IF(FORMULACIÓN!$J258=Lists!$S$3,SUM(FORMULACIÓN!L258:O258),IF(FORMULACIÓN!$J258=Lists!$S$4,AVERAGE(FORMULACIÓN!L258:O258),IF(FORMULACIÓN!$J258=Lists!$S$5,OFFSET(K258,0,COUNTA(L258:O258)),IF(FORMULACIÓN!$J258=Lists!$S$6,AVERAGE(FORMULACIÓN!L258:O258),""))))),"")</f>
        <v/>
      </c>
      <c r="Q258" s="51" t="str">
        <f ca="1">IF($I258=Lists!$R$3,TEXT(FORMULACIÓN!P258,"00,00%"),IF(FORMULACIÓN!P258=0,0,TEXT(FORMULACIÓN!P258,"##.###")))</f>
        <v/>
      </c>
      <c r="R258" s="63"/>
      <c r="S258" s="59"/>
      <c r="T258" s="58"/>
      <c r="U258" s="66"/>
      <c r="V258" s="66"/>
      <c r="W258" s="66"/>
      <c r="X258" s="67" t="str">
        <f t="shared" si="15"/>
        <v/>
      </c>
      <c r="Y258" s="66"/>
      <c r="Z258" s="66"/>
      <c r="AA258" s="66"/>
      <c r="AB258" s="67" t="str">
        <f t="shared" si="16"/>
        <v/>
      </c>
      <c r="AC258" s="66"/>
      <c r="AD258" s="66"/>
      <c r="AE258" s="66"/>
      <c r="AF258" s="67" t="str">
        <f t="shared" si="17"/>
        <v/>
      </c>
      <c r="AG258" s="66"/>
      <c r="AH258" s="66"/>
      <c r="AI258" s="66"/>
      <c r="AJ258" s="65" t="str">
        <f t="shared" si="18"/>
        <v/>
      </c>
      <c r="AK258" s="65" t="str">
        <f>IF(SUM(AB258,AF258,X258,AJ258)=0,"",SUM((AB258,AF258,X258,AJ258)))</f>
        <v/>
      </c>
      <c r="AM258" s="74"/>
      <c r="AN258" s="74"/>
      <c r="AO258" s="74"/>
      <c r="AP258" s="74"/>
      <c r="AQ258" s="74"/>
      <c r="AR258" s="85"/>
      <c r="AS258" s="74"/>
      <c r="AT258" s="74"/>
      <c r="AU258" s="74"/>
      <c r="AV258" s="74"/>
      <c r="AX258" s="17"/>
      <c r="CG258" s="17"/>
    </row>
    <row r="259" spans="1:85" s="62" customFormat="1" ht="99.95" customHeight="1">
      <c r="A259" s="92" t="str">
        <f t="shared" si="19"/>
        <v/>
      </c>
      <c r="B259" s="58"/>
      <c r="C259" s="51" t="str">
        <f>IFERROR(VLOOKUP(FORMULACIÓN!B259,Lists!$A$2:$B$6,2,FALSE),"")</f>
        <v/>
      </c>
      <c r="D259" s="58"/>
      <c r="E259" s="58"/>
      <c r="F259" s="58"/>
      <c r="G259" s="58"/>
      <c r="H259" s="69"/>
      <c r="I259" s="58"/>
      <c r="J259" s="63"/>
      <c r="K259" s="69"/>
      <c r="L259" s="58"/>
      <c r="M259" s="58"/>
      <c r="N259" s="58"/>
      <c r="O259" s="58"/>
      <c r="P259" s="63" t="str">
        <f ca="1">IFERROR(IF($J259=Lists!$S$2,SUM(FORMULACIÓN!K259:O259),IF(FORMULACIÓN!$J259=Lists!$S$3,SUM(FORMULACIÓN!L259:O259),IF(FORMULACIÓN!$J259=Lists!$S$4,AVERAGE(FORMULACIÓN!L259:O259),IF(FORMULACIÓN!$J259=Lists!$S$5,OFFSET(K259,0,COUNTA(L259:O259)),IF(FORMULACIÓN!$J259=Lists!$S$6,AVERAGE(FORMULACIÓN!L259:O259),""))))),"")</f>
        <v/>
      </c>
      <c r="Q259" s="51" t="str">
        <f ca="1">IF($I259=Lists!$R$3,TEXT(FORMULACIÓN!P259,"00,00%"),IF(FORMULACIÓN!P259=0,0,TEXT(FORMULACIÓN!P259,"##.###")))</f>
        <v/>
      </c>
      <c r="R259" s="63"/>
      <c r="S259" s="59"/>
      <c r="T259" s="58"/>
      <c r="U259" s="66"/>
      <c r="V259" s="66"/>
      <c r="W259" s="66"/>
      <c r="X259" s="67" t="str">
        <f t="shared" si="15"/>
        <v/>
      </c>
      <c r="Y259" s="66"/>
      <c r="Z259" s="66"/>
      <c r="AA259" s="66"/>
      <c r="AB259" s="67" t="str">
        <f t="shared" si="16"/>
        <v/>
      </c>
      <c r="AC259" s="66"/>
      <c r="AD259" s="66"/>
      <c r="AE259" s="66"/>
      <c r="AF259" s="67" t="str">
        <f t="shared" si="17"/>
        <v/>
      </c>
      <c r="AG259" s="66"/>
      <c r="AH259" s="66"/>
      <c r="AI259" s="66"/>
      <c r="AJ259" s="65" t="str">
        <f t="shared" si="18"/>
        <v/>
      </c>
      <c r="AK259" s="65" t="str">
        <f>IF(SUM(AB259,AF259,X259,AJ259)=0,"",SUM((AB259,AF259,X259,AJ259)))</f>
        <v/>
      </c>
      <c r="AM259" s="74"/>
      <c r="AN259" s="74"/>
      <c r="AO259" s="74"/>
      <c r="AP259" s="74"/>
      <c r="AQ259" s="74"/>
      <c r="AR259" s="85"/>
      <c r="AS259" s="74"/>
      <c r="AT259" s="74"/>
      <c r="AU259" s="74"/>
      <c r="AV259" s="74"/>
      <c r="AX259" s="17"/>
      <c r="CG259" s="17"/>
    </row>
    <row r="260" spans="1:85" s="62" customFormat="1" ht="99.95" customHeight="1">
      <c r="A260" s="92" t="str">
        <f t="shared" si="19"/>
        <v/>
      </c>
      <c r="B260" s="58"/>
      <c r="C260" s="51" t="str">
        <f>IFERROR(VLOOKUP(FORMULACIÓN!B260,Lists!$A$2:$B$6,2,FALSE),"")</f>
        <v/>
      </c>
      <c r="D260" s="58"/>
      <c r="E260" s="58"/>
      <c r="F260" s="58"/>
      <c r="G260" s="58"/>
      <c r="H260" s="69"/>
      <c r="I260" s="58"/>
      <c r="J260" s="63"/>
      <c r="K260" s="69"/>
      <c r="L260" s="58"/>
      <c r="M260" s="58"/>
      <c r="N260" s="58"/>
      <c r="O260" s="58"/>
      <c r="P260" s="63" t="str">
        <f ca="1">IFERROR(IF($J260=Lists!$S$2,SUM(FORMULACIÓN!K260:O260),IF(FORMULACIÓN!$J260=Lists!$S$3,SUM(FORMULACIÓN!L260:O260),IF(FORMULACIÓN!$J260=Lists!$S$4,AVERAGE(FORMULACIÓN!L260:O260),IF(FORMULACIÓN!$J260=Lists!$S$5,OFFSET(K260,0,COUNTA(L260:O260)),IF(FORMULACIÓN!$J260=Lists!$S$6,AVERAGE(FORMULACIÓN!L260:O260),""))))),"")</f>
        <v/>
      </c>
      <c r="Q260" s="51" t="str">
        <f ca="1">IF($I260=Lists!$R$3,TEXT(FORMULACIÓN!P260,"00,00%"),IF(FORMULACIÓN!P260=0,0,TEXT(FORMULACIÓN!P260,"##.###")))</f>
        <v/>
      </c>
      <c r="R260" s="63"/>
      <c r="S260" s="59"/>
      <c r="T260" s="58"/>
      <c r="U260" s="66"/>
      <c r="V260" s="66"/>
      <c r="W260" s="66"/>
      <c r="X260" s="67" t="str">
        <f t="shared" si="15"/>
        <v/>
      </c>
      <c r="Y260" s="66"/>
      <c r="Z260" s="66"/>
      <c r="AA260" s="66"/>
      <c r="AB260" s="67" t="str">
        <f t="shared" si="16"/>
        <v/>
      </c>
      <c r="AC260" s="66"/>
      <c r="AD260" s="66"/>
      <c r="AE260" s="66"/>
      <c r="AF260" s="67" t="str">
        <f t="shared" si="17"/>
        <v/>
      </c>
      <c r="AG260" s="66"/>
      <c r="AH260" s="66"/>
      <c r="AI260" s="66"/>
      <c r="AJ260" s="65" t="str">
        <f t="shared" si="18"/>
        <v/>
      </c>
      <c r="AK260" s="65" t="str">
        <f>IF(SUM(AB260,AF260,X260,AJ260)=0,"",SUM((AB260,AF260,X260,AJ260)))</f>
        <v/>
      </c>
      <c r="AM260" s="74"/>
      <c r="AN260" s="74"/>
      <c r="AO260" s="74"/>
      <c r="AP260" s="74"/>
      <c r="AQ260" s="74"/>
      <c r="AR260" s="85"/>
      <c r="AS260" s="74"/>
      <c r="AT260" s="74"/>
      <c r="AU260" s="74"/>
      <c r="AV260" s="74"/>
      <c r="AX260" s="17"/>
      <c r="CG260" s="17"/>
    </row>
    <row r="261" spans="1:85" s="62" customFormat="1" ht="99.95" customHeight="1">
      <c r="A261" s="92" t="str">
        <f t="shared" si="19"/>
        <v/>
      </c>
      <c r="B261" s="58"/>
      <c r="C261" s="51"/>
      <c r="D261" s="58"/>
      <c r="E261" s="58"/>
      <c r="F261" s="58"/>
      <c r="G261" s="58"/>
      <c r="H261" s="69"/>
      <c r="I261" s="58"/>
      <c r="J261" s="63"/>
      <c r="K261" s="69"/>
      <c r="L261" s="70"/>
      <c r="M261" s="70"/>
      <c r="N261" s="70"/>
      <c r="O261" s="70"/>
      <c r="P261" s="63" t="str">
        <f ca="1">IFERROR(IF($J261=Lists!$S$2,SUM(FORMULACIÓN!K261:O261),IF(FORMULACIÓN!$J261=Lists!$S$3,SUM(FORMULACIÓN!L261:O261),IF(FORMULACIÓN!$J261=Lists!$S$4,AVERAGE(FORMULACIÓN!L261:O261),IF(FORMULACIÓN!$J261=Lists!$S$5,OFFSET(K261,0,COUNTA(L261:O261)),IF(FORMULACIÓN!$J261=Lists!$S$6,AVERAGE(FORMULACIÓN!L261:O261),""))))),"")</f>
        <v/>
      </c>
      <c r="Q261" s="51" t="str">
        <f ca="1">IF($I261=Lists!$R$3,TEXT(FORMULACIÓN!P261,"00,00%"),IF(FORMULACIÓN!P261=0,0,TEXT(FORMULACIÓN!P261,"##.###")))</f>
        <v/>
      </c>
      <c r="R261" s="63"/>
      <c r="S261" s="59"/>
      <c r="T261" s="58"/>
      <c r="U261" s="66"/>
      <c r="V261" s="66"/>
      <c r="W261" s="66"/>
      <c r="X261" s="67" t="str">
        <f t="shared" si="15"/>
        <v/>
      </c>
      <c r="Y261" s="66"/>
      <c r="Z261" s="66"/>
      <c r="AA261" s="66"/>
      <c r="AB261" s="71"/>
      <c r="AC261" s="66"/>
      <c r="AD261" s="66"/>
      <c r="AE261" s="66"/>
      <c r="AF261" s="71"/>
      <c r="AG261" s="66"/>
      <c r="AH261" s="66"/>
      <c r="AI261" s="66"/>
      <c r="AJ261" s="65" t="str">
        <f t="shared" si="18"/>
        <v/>
      </c>
      <c r="AK261" s="71"/>
      <c r="AM261" s="74"/>
      <c r="AN261" s="74"/>
      <c r="AO261" s="74"/>
      <c r="AP261" s="74"/>
      <c r="AQ261" s="74"/>
      <c r="AR261" s="85"/>
      <c r="AS261" s="74"/>
      <c r="AT261" s="74"/>
      <c r="AU261" s="74"/>
      <c r="AV261" s="74"/>
      <c r="AX261" s="17"/>
      <c r="CG261" s="17"/>
    </row>
    <row r="262" spans="1:85" ht="99.95" customHeight="1">
      <c r="G262" s="114"/>
      <c r="H262" s="211" t="s">
        <v>627</v>
      </c>
    </row>
    <row r="263" spans="1:85" ht="99.95" customHeight="1">
      <c r="A263" s="32" t="s">
        <v>628</v>
      </c>
      <c r="B263" s="32" t="s">
        <v>628</v>
      </c>
      <c r="C263" s="32" t="s">
        <v>628</v>
      </c>
      <c r="D263" s="32"/>
      <c r="E263" s="32"/>
      <c r="F263" s="32"/>
      <c r="G263" s="32"/>
      <c r="H263" s="32"/>
      <c r="I263" s="32"/>
      <c r="J263" s="32"/>
      <c r="K263" s="32"/>
      <c r="L263" s="32"/>
      <c r="M263" s="32"/>
      <c r="N263" s="32"/>
      <c r="O263" s="32"/>
      <c r="P263" s="32" t="s">
        <v>628</v>
      </c>
      <c r="Q263" s="32" t="s">
        <v>628</v>
      </c>
      <c r="R263" s="32" t="s">
        <v>628</v>
      </c>
      <c r="S263" s="108" t="s">
        <v>628</v>
      </c>
      <c r="T263" s="32" t="s">
        <v>628</v>
      </c>
      <c r="U263" s="32" t="s">
        <v>628</v>
      </c>
      <c r="V263" s="32" t="s">
        <v>628</v>
      </c>
      <c r="W263" s="32" t="s">
        <v>628</v>
      </c>
      <c r="X263" s="32" t="s">
        <v>628</v>
      </c>
      <c r="Y263" s="32" t="s">
        <v>628</v>
      </c>
      <c r="Z263" s="32" t="s">
        <v>628</v>
      </c>
      <c r="AA263" s="32" t="s">
        <v>628</v>
      </c>
      <c r="AB263" s="32" t="s">
        <v>628</v>
      </c>
      <c r="AC263" s="32" t="s">
        <v>628</v>
      </c>
      <c r="AD263" s="32" t="s">
        <v>628</v>
      </c>
      <c r="AE263" s="32" t="s">
        <v>628</v>
      </c>
      <c r="AF263" s="32" t="s">
        <v>628</v>
      </c>
      <c r="AG263" s="32" t="s">
        <v>628</v>
      </c>
      <c r="AH263" s="32" t="s">
        <v>628</v>
      </c>
      <c r="AI263" s="32" t="s">
        <v>628</v>
      </c>
      <c r="AJ263" s="32"/>
      <c r="AK263" s="32" t="s">
        <v>628</v>
      </c>
      <c r="AL263" s="32" t="s">
        <v>628</v>
      </c>
      <c r="AM263" s="32" t="s">
        <v>628</v>
      </c>
      <c r="AN263" s="32" t="s">
        <v>628</v>
      </c>
      <c r="AO263" s="32" t="s">
        <v>628</v>
      </c>
      <c r="AP263" s="32" t="s">
        <v>628</v>
      </c>
      <c r="AQ263" s="32" t="s">
        <v>628</v>
      </c>
      <c r="AR263" s="32" t="s">
        <v>628</v>
      </c>
      <c r="AS263" s="32" t="s">
        <v>628</v>
      </c>
      <c r="AT263" s="32" t="s">
        <v>628</v>
      </c>
      <c r="AU263" s="32" t="s">
        <v>628</v>
      </c>
      <c r="AV263" s="32" t="s">
        <v>628</v>
      </c>
    </row>
  </sheetData>
  <sheetProtection formatCells="0" formatColumns="0" formatRows="0" sort="0" autoFilter="0" pivotTables="0"/>
  <protectedRanges>
    <protectedRange sqref="Y12:AA73 AC12:AE73 AG12:AI73 B12:B261 R12:W261 Y139:AA261 Z74:AA97 AC157:AE261 AD74:AE97 AG155:AI261 AH74:AI97 AA98:AA128 AE98:AE128 AI98:AI128 Z129:AA138 AD129:AE156 AH129:AI154 D12:O261" name="Datos" securityDescriptor="O:WDG:WDD:(A;;CC;;;WD)"/>
    <protectedRange sqref="Y74:Y97" name="Datos_2" securityDescriptor="O:WDG:WDD:(A;;CC;;;WD)"/>
    <protectedRange sqref="AC74:AC97" name="Datos_3" securityDescriptor="O:WDG:WDD:(A;;CC;;;WD)"/>
    <protectedRange sqref="AG74:AG97" name="Datos_4" securityDescriptor="O:WDG:WDD:(A;;CC;;;WD)"/>
    <protectedRange sqref="Y98:Z128" name="Datos_1" securityDescriptor="O:WDG:WDD:(A;;CC;;;WD)"/>
    <protectedRange sqref="AC98:AD128" name="Datos_5" securityDescriptor="O:WDG:WDD:(A;;CC;;;WD)"/>
    <protectedRange sqref="AG98:AH128" name="Datos_6" securityDescriptor="O:WDG:WDD:(A;;CC;;;WD)"/>
    <protectedRange sqref="Y129:Y138" name="Datos_7" securityDescriptor="O:WDG:WDD:(A;;CC;;;WD)"/>
    <protectedRange sqref="AC129:AC138" name="Datos_8" securityDescriptor="O:WDG:WDD:(A;;CC;;;WD)"/>
    <protectedRange sqref="AG129:AG138" name="Datos_9" securityDescriptor="O:WDG:WDD:(A;;CC;;;WD)"/>
    <protectedRange sqref="AC139:AC156" name="Datos_10" securityDescriptor="O:WDG:WDD:(A;;CC;;;WD)"/>
    <protectedRange sqref="AG139:AG154" name="Datos_11" securityDescriptor="O:WDG:WDD:(A;;CC;;;WD)"/>
  </protectedRanges>
  <autoFilter ref="A11:CG263" xr:uid="{00000000-0001-0000-0000-000000000000}"/>
  <dataConsolidate/>
  <mergeCells count="52">
    <mergeCell ref="A8:A11"/>
    <mergeCell ref="B8:B11"/>
    <mergeCell ref="E8:E11"/>
    <mergeCell ref="T8:T11"/>
    <mergeCell ref="Y8:AA8"/>
    <mergeCell ref="Y9:AA9"/>
    <mergeCell ref="Y10:Y11"/>
    <mergeCell ref="Z10:Z11"/>
    <mergeCell ref="C8:C11"/>
    <mergeCell ref="D8:D11"/>
    <mergeCell ref="R8:R11"/>
    <mergeCell ref="S8:S11"/>
    <mergeCell ref="F8:F11"/>
    <mergeCell ref="G10:G11"/>
    <mergeCell ref="U8:W8"/>
    <mergeCell ref="U9:W9"/>
    <mergeCell ref="AJ6:AK6"/>
    <mergeCell ref="A6:C6"/>
    <mergeCell ref="D6:E6"/>
    <mergeCell ref="AB6:AC6"/>
    <mergeCell ref="AF6:AG6"/>
    <mergeCell ref="AC8:AE8"/>
    <mergeCell ref="AC9:AE9"/>
    <mergeCell ref="AC10:AC11"/>
    <mergeCell ref="AD10:AD11"/>
    <mergeCell ref="J10:J11"/>
    <mergeCell ref="G8:J9"/>
    <mergeCell ref="X8:X11"/>
    <mergeCell ref="AE10:AE11"/>
    <mergeCell ref="U10:U11"/>
    <mergeCell ref="V10:V11"/>
    <mergeCell ref="K8:Q9"/>
    <mergeCell ref="K10:K11"/>
    <mergeCell ref="W10:W11"/>
    <mergeCell ref="H10:H11"/>
    <mergeCell ref="I10:I11"/>
    <mergeCell ref="AQ7:AW7"/>
    <mergeCell ref="A4:AK4"/>
    <mergeCell ref="A1:AI3"/>
    <mergeCell ref="AA10:AA11"/>
    <mergeCell ref="AJ1:AK1"/>
    <mergeCell ref="AJ2:AK2"/>
    <mergeCell ref="AJ3:AK3"/>
    <mergeCell ref="AI10:AI11"/>
    <mergeCell ref="AK8:AK11"/>
    <mergeCell ref="AJ8:AJ11"/>
    <mergeCell ref="AB8:AB11"/>
    <mergeCell ref="AF8:AF11"/>
    <mergeCell ref="AG8:AI8"/>
    <mergeCell ref="AG9:AI9"/>
    <mergeCell ref="AG10:AG11"/>
    <mergeCell ref="AH10:AH11"/>
  </mergeCells>
  <phoneticPr fontId="20" type="noConversion"/>
  <dataValidations xWindow="845" yWindow="549" count="7">
    <dataValidation type="list" allowBlank="1" showInputMessage="1" showErrorMessage="1" sqref="B12:B261" xr:uid="{00000000-0002-0000-0000-000000000000}">
      <formula1>lin</formula1>
    </dataValidation>
    <dataValidation type="whole" operator="greaterThanOrEqual" allowBlank="1" showInputMessage="1" showErrorMessage="1" promptTitle="VALOR PROYECTADO " prompt="VALOR EN PESOS" sqref="U17:U261 U12:W13 V15:W261 Y134:Y261 Y12:Y13 AC144:AC261 AC12:AC13 Y17:Y75 AC17:AC75 Z12:AA261 Y79:Y99 AD12:AE261 AC79:AC99 Y103:Y130 AC103:AC130 AC134:AC140 AG12:AI261" xr:uid="{00000000-0002-0000-0000-000001000000}">
      <formula1>0</formula1>
    </dataValidation>
    <dataValidation type="list" allowBlank="1" showInputMessage="1" showErrorMessage="1" sqref="AF6:AG6 AB6" xr:uid="{00000000-0002-0000-0000-000002000000}">
      <formula1>AÑOS</formula1>
    </dataValidation>
    <dataValidation operator="greaterThanOrEqual" allowBlank="1" showInputMessage="1" showErrorMessage="1" promptTitle="VALOR PROYECTADO " sqref="AJ12:AJ261" xr:uid="{00000000-0002-0000-0000-000005000000}"/>
    <dataValidation type="decimal" operator="greaterThanOrEqual" allowBlank="1" showInputMessage="1" showErrorMessage="1" promptTitle="VALOR ESPERADO PARA EL TRIENIO" prompt="*de acuerdo a la proyección de cumplimiento de la meta global para la vigencia PDI_x000a_" sqref="L12:O12" xr:uid="{4DE5A7E5-B299-4465-B1AD-D8CAE32B9110}">
      <formula1>0</formula1>
    </dataValidation>
    <dataValidation type="decimal" operator="greaterThanOrEqual" allowBlank="1" showInputMessage="1" showErrorMessage="1" promptTitle="VALOR ESPERADO PARA EL TRIENIO" sqref="K13:O261" xr:uid="{D667696D-EF09-47C4-8984-570E8E82B4D9}">
      <formula1>0</formula1>
    </dataValidation>
    <dataValidation type="decimal" operator="greaterThanOrEqual" allowBlank="1" showInputMessage="1" showErrorMessage="1" promptTitle="VALOR PROYECTADO " prompt="VALOR EN PESOS" sqref="U14:W14 U15:U16 Y14:Y16 AC14:AC16 Y76:Y78 AC76:AC78 Y100:Y102 AC100:AC102 Y131:Y133 AC131:AC133 AC141:AC143" xr:uid="{4462A74E-397B-4993-92E5-882739561202}">
      <formula1>0</formula1>
    </dataValidation>
  </dataValidations>
  <printOptions horizontalCentered="1"/>
  <pageMargins left="0.32" right="7.0000000000000007E-2" top="0.98425196850393704" bottom="0.46" header="0" footer="0"/>
  <pageSetup paperSize="5" scale="50" orientation="landscape" r:id="rId1"/>
  <headerFooter alignWithMargins="0"/>
  <drawing r:id="rId2"/>
  <legacyDrawing r:id="rId3"/>
  <extLst>
    <ext xmlns:x14="http://schemas.microsoft.com/office/spreadsheetml/2009/9/main" uri="{CCE6A557-97BC-4b89-ADB6-D9C93CAAB3DF}">
      <x14:dataValidations xmlns:xm="http://schemas.microsoft.com/office/excel/2006/main" xWindow="845" yWindow="549" count="7">
        <x14:dataValidation type="list" allowBlank="1" showInputMessage="1" showErrorMessage="1" xr:uid="{00000000-0002-0000-0000-000006000000}">
          <x14:formula1>
            <xm:f>OFFSET(Lists!$I$2,1,MATCH(B12,Lists!$I$2:$M$2,0)-1,5,1)</xm:f>
          </x14:formula1>
          <xm:sqref>E12:E261</xm:sqref>
        </x14:dataValidation>
        <x14:dataValidation type="list" allowBlank="1" showInputMessage="1" showErrorMessage="1" xr:uid="{00000000-0002-0000-0000-000007000000}">
          <x14:formula1>
            <xm:f>Lists!$P$2:$P$39</xm:f>
          </x14:formula1>
          <xm:sqref>D6</xm:sqref>
        </x14:dataValidation>
        <x14:dataValidation type="list" allowBlank="1" showInputMessage="1" showErrorMessage="1" xr:uid="{00000000-0002-0000-0000-000009000000}">
          <x14:formula1>
            <xm:f>Lists!$O$2:$O$31</xm:f>
          </x14:formula1>
          <xm:sqref>T12:T261</xm:sqref>
        </x14:dataValidation>
        <x14:dataValidation type="list" allowBlank="1" showInputMessage="1" showErrorMessage="1" xr:uid="{00000000-0002-0000-0000-00000A000000}">
          <x14:formula1>
            <xm:f>Lists!$R$2:$R$3</xm:f>
          </x14:formula1>
          <xm:sqref>I12:I261</xm:sqref>
        </x14:dataValidation>
        <x14:dataValidation type="list" allowBlank="1" showInputMessage="1" showErrorMessage="1" xr:uid="{A429E9E8-9BF7-447A-B898-46334BC61FBB}">
          <x14:formula1>
            <xm:f>OFFSET(Lists!$A$50,1,MATCH(E12,Lists!$A$50:$R$50,0)-1,10,1)</xm:f>
          </x14:formula1>
          <xm:sqref>R12:R261</xm:sqref>
        </x14:dataValidation>
        <x14:dataValidation type="list" allowBlank="1" showInputMessage="1" showErrorMessage="1" xr:uid="{4A9ED506-A4EF-4A5E-92C8-EEE93B1F80A1}">
          <x14:formula1>
            <xm:f>Lists!$S$2:$S$6</xm:f>
          </x14:formula1>
          <xm:sqref>J12:J261</xm:sqref>
        </x14:dataValidation>
        <x14:dataValidation type="list" allowBlank="1" showInputMessage="1" showErrorMessage="1" xr:uid="{00000000-0002-0000-0000-00000B000000}">
          <x14:formula1>
            <xm:f>OFFSET(Lists!$C$2,1,MATCH(B12,Lists!C$2:G$2,0)-1,15,1)</xm:f>
          </x14:formula1>
          <xm:sqref>D12:D261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8"/>
  </sheetPr>
  <dimension ref="A1:CL263"/>
  <sheetViews>
    <sheetView showGridLines="0" tabSelected="1" topLeftCell="A4" zoomScale="110" zoomScaleNormal="110" workbookViewId="0">
      <selection activeCell="M14" sqref="M14"/>
    </sheetView>
  </sheetViews>
  <sheetFormatPr baseColWidth="10" defaultColWidth="11.42578125" defaultRowHeight="12.75" outlineLevelCol="1"/>
  <cols>
    <col min="1" max="1" width="8.28515625" customWidth="1"/>
    <col min="2" max="3" width="15.5703125" customWidth="1"/>
    <col min="4" max="4" width="63.140625" customWidth="1"/>
    <col min="5" max="5" width="24.140625" customWidth="1"/>
    <col min="6" max="6" width="33.7109375" customWidth="1"/>
    <col min="7" max="8" width="15.5703125" customWidth="1"/>
    <col min="9" max="9" width="21.85546875" style="175" customWidth="1"/>
    <col min="10" max="10" width="15.5703125" customWidth="1"/>
    <col min="11" max="14" width="12.7109375" style="20" customWidth="1"/>
    <col min="15" max="15" width="12.7109375" hidden="1" customWidth="1"/>
    <col min="16" max="16" width="12.7109375" style="19" customWidth="1"/>
    <col min="17" max="17" width="17.7109375" customWidth="1" outlineLevel="1"/>
    <col min="18" max="18" width="17.7109375" style="20" customWidth="1" outlineLevel="1"/>
    <col min="19" max="35" width="17.7109375" customWidth="1" outlineLevel="1"/>
    <col min="36" max="36" width="24.28515625" customWidth="1" outlineLevel="1"/>
    <col min="37" max="37" width="4.85546875" customWidth="1"/>
    <col min="38" max="38" width="9.140625" bestFit="1" customWidth="1"/>
    <col min="39" max="39" width="31.85546875" customWidth="1"/>
    <col min="40" max="40" width="13.28515625" customWidth="1"/>
    <col min="41" max="41" width="22.7109375" customWidth="1"/>
    <col min="42" max="42" width="23" customWidth="1"/>
    <col min="43" max="44" width="22.42578125" customWidth="1"/>
    <col min="45" max="45" width="3" customWidth="1"/>
    <col min="46" max="46" width="17.28515625" customWidth="1"/>
    <col min="47" max="47" width="9.28515625" customWidth="1"/>
    <col min="48" max="49" width="7.7109375" hidden="1" customWidth="1"/>
    <col min="50" max="50" width="3.7109375" customWidth="1"/>
    <col min="51" max="56" width="14.7109375" customWidth="1"/>
    <col min="58" max="58" width="4.42578125" bestFit="1" customWidth="1"/>
    <col min="59" max="59" width="10.7109375" bestFit="1" customWidth="1"/>
    <col min="60" max="60" width="15.140625" bestFit="1" customWidth="1"/>
    <col min="61" max="61" width="8" customWidth="1"/>
    <col min="62" max="62" width="54.7109375" bestFit="1" customWidth="1"/>
    <col min="63" max="63" width="19.140625" bestFit="1" customWidth="1"/>
    <col min="64" max="64" width="12.85546875" bestFit="1" customWidth="1"/>
    <col min="65" max="65" width="13.42578125" bestFit="1" customWidth="1"/>
    <col min="66" max="66" width="13.85546875" bestFit="1" customWidth="1"/>
    <col min="67" max="67" width="16.7109375" bestFit="1" customWidth="1"/>
    <col min="68" max="68" width="3.42578125" bestFit="1" customWidth="1"/>
    <col min="69" max="69" width="5.85546875" bestFit="1" customWidth="1"/>
  </cols>
  <sheetData>
    <row r="1" spans="1:90" s="1" customFormat="1" ht="23.45" customHeight="1">
      <c r="A1" s="260"/>
      <c r="B1" s="261"/>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2"/>
      <c r="AJ1" s="180" t="s">
        <v>108</v>
      </c>
      <c r="AK1" s="17"/>
      <c r="AL1" s="17"/>
      <c r="AN1" s="9"/>
      <c r="AO1" s="9"/>
      <c r="AP1" s="9"/>
      <c r="AQ1" s="9"/>
      <c r="AR1" s="9"/>
      <c r="AS1" s="9"/>
      <c r="AT1" s="9"/>
      <c r="AU1" s="9"/>
      <c r="AX1" s="9"/>
      <c r="AY1" s="9"/>
      <c r="AZ1" s="9"/>
      <c r="BA1" s="9"/>
      <c r="BB1" s="9"/>
      <c r="BC1" s="9"/>
      <c r="BD1" s="9"/>
      <c r="BE1" s="9"/>
      <c r="BF1" s="9"/>
      <c r="BG1" s="9"/>
      <c r="BH1" s="9"/>
      <c r="BI1" s="9"/>
      <c r="BJ1" s="9"/>
      <c r="BK1" s="9"/>
      <c r="BL1" s="9"/>
      <c r="BM1" s="9"/>
      <c r="BN1" s="9"/>
      <c r="BO1" s="10"/>
      <c r="BX1" s="7"/>
    </row>
    <row r="2" spans="1:90" s="1" customFormat="1" ht="23.45" customHeight="1" thickBot="1">
      <c r="A2" s="260"/>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2"/>
      <c r="AJ2" s="180" t="s">
        <v>110</v>
      </c>
      <c r="AK2" s="17"/>
      <c r="AL2" s="17"/>
      <c r="AN2" s="9"/>
      <c r="AO2" s="9"/>
      <c r="AP2" s="9"/>
      <c r="AQ2" s="9"/>
      <c r="AR2" s="9"/>
      <c r="AS2" s="9"/>
      <c r="AT2" s="218" t="s">
        <v>782</v>
      </c>
      <c r="AU2" s="218">
        <v>1</v>
      </c>
      <c r="AX2" s="9"/>
      <c r="AY2" s="9"/>
      <c r="AZ2" s="9"/>
      <c r="BA2" s="9"/>
      <c r="BB2" s="9"/>
      <c r="BC2" s="9"/>
      <c r="BD2" s="9"/>
      <c r="BE2" s="9"/>
      <c r="BF2" s="9"/>
      <c r="BG2" s="9"/>
      <c r="BH2" s="9"/>
      <c r="BI2" s="9"/>
      <c r="BJ2" s="9"/>
      <c r="BK2" s="9"/>
      <c r="BL2" s="9"/>
      <c r="BM2" s="9"/>
      <c r="BN2" s="9"/>
      <c r="BO2" s="10"/>
      <c r="BX2" s="7"/>
    </row>
    <row r="3" spans="1:90" s="1" customFormat="1" ht="23.45" customHeight="1" thickBot="1">
      <c r="A3" s="260"/>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2"/>
      <c r="AJ3" s="181" t="s">
        <v>111</v>
      </c>
      <c r="AK3" s="7"/>
      <c r="AL3" s="7"/>
      <c r="AM3" s="9"/>
      <c r="AN3" s="11"/>
      <c r="AO3" s="9"/>
      <c r="AP3" s="9"/>
      <c r="AQ3" s="9"/>
      <c r="AT3" s="219" t="s">
        <v>783</v>
      </c>
      <c r="AU3" s="219" t="s">
        <v>669</v>
      </c>
      <c r="AV3" s="7">
        <f>VLOOKUP(AU3,inf!$J$11:$K$15,2,FALSE)</f>
        <v>1</v>
      </c>
      <c r="AX3" s="9"/>
      <c r="AY3" s="9"/>
      <c r="AZ3" s="9"/>
      <c r="BA3" s="9"/>
      <c r="BB3" s="9"/>
      <c r="BC3" s="9"/>
      <c r="BD3" s="9"/>
      <c r="BE3" s="9"/>
      <c r="BF3" s="9"/>
      <c r="BG3" s="9"/>
      <c r="BH3" s="9"/>
      <c r="BI3" s="9"/>
      <c r="BJ3" s="9"/>
      <c r="BK3" s="9"/>
      <c r="BL3" s="9"/>
      <c r="BM3" s="9"/>
      <c r="BN3" s="9"/>
      <c r="BO3" s="10"/>
      <c r="BX3" s="7"/>
    </row>
    <row r="4" spans="1:90" s="1" customFormat="1" ht="30.6" customHeight="1">
      <c r="A4" s="297" t="s">
        <v>629</v>
      </c>
      <c r="B4" s="297"/>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7"/>
      <c r="AL4" s="7"/>
      <c r="AM4" s="7"/>
      <c r="AN4" s="7"/>
      <c r="AO4" s="9"/>
      <c r="AP4" s="9"/>
      <c r="AQ4" s="9"/>
      <c r="AR4" s="9"/>
      <c r="AS4" s="9"/>
      <c r="AZ4" s="9"/>
      <c r="BA4" s="9"/>
      <c r="BB4" s="9"/>
      <c r="BC4" s="9"/>
      <c r="BD4" s="9"/>
      <c r="BE4" s="9"/>
      <c r="BF4" s="9"/>
      <c r="BG4" s="9"/>
      <c r="BH4" s="9"/>
      <c r="BI4" s="9"/>
      <c r="BJ4" s="9"/>
      <c r="BK4" s="9"/>
      <c r="BL4" s="9"/>
      <c r="BM4" s="9"/>
      <c r="BN4" s="9"/>
      <c r="BO4" s="9"/>
      <c r="BP4" s="9"/>
      <c r="BQ4" s="10"/>
      <c r="BZ4" s="7"/>
    </row>
    <row r="5" spans="1:90" s="1" customFormat="1" ht="16.5" customHeight="1">
      <c r="A5" s="35"/>
      <c r="B5" s="35"/>
      <c r="C5" s="9"/>
      <c r="D5" s="9"/>
      <c r="E5" s="9"/>
      <c r="F5" s="9"/>
      <c r="G5" s="9"/>
      <c r="H5" s="9"/>
      <c r="I5" s="184"/>
      <c r="J5" s="9"/>
      <c r="K5" s="72"/>
      <c r="L5" s="72"/>
      <c r="M5" s="72"/>
      <c r="N5" s="72"/>
      <c r="O5" s="9"/>
      <c r="P5" s="49"/>
      <c r="Q5" s="9"/>
      <c r="R5" s="72"/>
      <c r="S5" s="36"/>
      <c r="T5" s="37"/>
      <c r="U5" s="37"/>
      <c r="V5" s="37"/>
      <c r="W5" s="37"/>
      <c r="X5" s="37"/>
      <c r="Y5" s="37"/>
      <c r="Z5" s="37"/>
      <c r="AA5" s="37"/>
      <c r="AB5" s="37"/>
      <c r="AC5" s="37"/>
      <c r="AD5" s="37"/>
      <c r="AE5" s="37"/>
      <c r="AF5" s="37"/>
      <c r="AG5" s="37"/>
      <c r="AH5" s="37"/>
      <c r="AI5" s="37"/>
      <c r="AJ5" s="37"/>
      <c r="AK5" s="2"/>
      <c r="AL5" s="2"/>
      <c r="AM5" s="2"/>
      <c r="AN5" s="2"/>
      <c r="AO5" s="3"/>
      <c r="AP5" s="3"/>
      <c r="AQ5" s="3"/>
      <c r="AR5" s="3"/>
      <c r="AS5" s="3"/>
      <c r="BB5" s="2"/>
      <c r="BC5" s="2"/>
      <c r="BD5" s="7"/>
      <c r="BE5" s="9"/>
      <c r="BF5" s="9"/>
      <c r="BG5" s="9"/>
      <c r="BH5" s="9"/>
      <c r="BJ5" s="12"/>
      <c r="BL5" s="9"/>
      <c r="BM5" s="9"/>
      <c r="BN5" s="9"/>
      <c r="BO5" s="9"/>
      <c r="BP5" s="9"/>
      <c r="BQ5" s="9"/>
      <c r="BR5" s="9"/>
      <c r="BS5" s="9"/>
      <c r="BT5" s="9"/>
      <c r="BU5" s="9"/>
      <c r="BV5" s="9"/>
      <c r="BW5" s="9"/>
      <c r="BX5" s="9"/>
      <c r="BY5" s="9"/>
      <c r="BZ5" s="9"/>
      <c r="CA5" s="9"/>
      <c r="CB5" s="9"/>
      <c r="CC5" s="10"/>
      <c r="CL5" s="7"/>
    </row>
    <row r="6" spans="1:90" s="4" customFormat="1" ht="17.100000000000001" customHeight="1">
      <c r="B6" s="285" t="s">
        <v>630</v>
      </c>
      <c r="C6" s="285"/>
      <c r="D6" s="183" t="str">
        <f>FORMULACIÓN!D6</f>
        <v>OFICINA DE PLANEACIÓN</v>
      </c>
      <c r="E6" s="182"/>
      <c r="F6" s="27"/>
      <c r="G6" s="27"/>
      <c r="H6" s="27"/>
      <c r="I6" s="174"/>
      <c r="J6" s="27"/>
      <c r="K6" s="76"/>
      <c r="L6" s="76"/>
      <c r="M6" s="76"/>
      <c r="N6" s="76"/>
      <c r="O6" s="27"/>
      <c r="P6" s="50"/>
      <c r="Q6" s="38"/>
      <c r="R6" s="38"/>
      <c r="S6" s="39"/>
      <c r="T6" s="40"/>
      <c r="U6" s="40"/>
      <c r="V6" s="40"/>
      <c r="W6" s="294" t="s">
        <v>631</v>
      </c>
      <c r="X6" s="294"/>
      <c r="Y6" s="295">
        <v>2022</v>
      </c>
      <c r="Z6" s="295"/>
      <c r="AA6" s="296" t="s">
        <v>632</v>
      </c>
      <c r="AB6" s="296"/>
      <c r="AC6" s="295">
        <v>2031</v>
      </c>
      <c r="AD6" s="295"/>
      <c r="AE6" s="41"/>
      <c r="AF6" s="9"/>
      <c r="AG6" s="9"/>
      <c r="AH6" s="121" t="s">
        <v>633</v>
      </c>
      <c r="AI6" s="284" t="str">
        <f>IF(SUM(Y6,AC6)=0,"",IF(AND(Y6,AC6)&gt;0,CONCATENATE(Y6," - ",AC6)))</f>
        <v>2022 - 2031</v>
      </c>
      <c r="AJ6" s="284"/>
      <c r="AK6" s="13"/>
      <c r="AL6" s="13"/>
      <c r="AM6" s="13"/>
      <c r="AN6" s="13"/>
      <c r="AO6" s="96"/>
      <c r="AP6" s="96"/>
      <c r="AQ6" s="96"/>
      <c r="AR6" s="96"/>
      <c r="AS6" s="96"/>
      <c r="AT6" s="1"/>
      <c r="AY6" s="13"/>
      <c r="AZ6" s="13"/>
      <c r="BA6" s="13"/>
      <c r="BB6" s="13"/>
      <c r="BC6" s="13"/>
      <c r="BD6" s="13"/>
      <c r="BE6" s="13"/>
      <c r="BF6" s="13"/>
      <c r="BG6" s="13"/>
      <c r="BH6" s="13"/>
      <c r="BI6" s="13"/>
      <c r="BJ6" s="13"/>
      <c r="BK6" s="13"/>
      <c r="BL6" s="13"/>
      <c r="BM6" s="13"/>
      <c r="BN6" s="13"/>
      <c r="BO6" s="13"/>
      <c r="BP6" s="14"/>
      <c r="BY6" s="8"/>
    </row>
    <row r="7" spans="1:90" s="1" customFormat="1" ht="9" customHeight="1" thickBot="1">
      <c r="A7" s="5"/>
      <c r="B7" s="5"/>
      <c r="I7" s="185"/>
      <c r="K7" s="62"/>
      <c r="L7" s="62"/>
      <c r="M7" s="62"/>
      <c r="N7" s="62"/>
      <c r="P7" s="16"/>
      <c r="R7" s="62"/>
      <c r="S7" s="6"/>
      <c r="AM7" s="298" t="s">
        <v>634</v>
      </c>
      <c r="AN7" s="298"/>
      <c r="AO7" s="298"/>
      <c r="AP7" s="298"/>
      <c r="AQ7" s="298"/>
      <c r="AR7" s="298"/>
      <c r="AS7" s="298"/>
      <c r="AT7" s="298"/>
      <c r="AU7" s="298"/>
      <c r="AV7" s="298"/>
      <c r="AW7" s="298"/>
      <c r="AX7" s="298"/>
      <c r="AY7" s="298"/>
      <c r="AZ7" s="298"/>
      <c r="BA7" s="298"/>
      <c r="BB7" s="298"/>
      <c r="BC7" s="298"/>
      <c r="BD7" s="298"/>
      <c r="BJ7" s="12"/>
      <c r="BL7" s="9"/>
      <c r="BM7" s="9"/>
      <c r="BN7" s="9"/>
      <c r="BO7" s="9"/>
      <c r="BP7" s="9"/>
      <c r="BQ7" s="9"/>
      <c r="BR7" s="9"/>
      <c r="BS7" s="9"/>
      <c r="BT7" s="9"/>
      <c r="BU7" s="9"/>
      <c r="BV7" s="9"/>
      <c r="BW7" s="9"/>
      <c r="BX7" s="9"/>
      <c r="BY7" s="9"/>
      <c r="BZ7" s="9"/>
      <c r="CA7" s="9"/>
      <c r="CB7" s="9"/>
      <c r="CC7" s="10"/>
      <c r="CL7" s="7"/>
    </row>
    <row r="8" spans="1:90" s="22" customFormat="1" ht="24.75" customHeight="1">
      <c r="A8" s="288" t="s">
        <v>635</v>
      </c>
      <c r="B8" s="273" t="s">
        <v>636</v>
      </c>
      <c r="C8" s="273" t="s">
        <v>637</v>
      </c>
      <c r="D8" s="273" t="s">
        <v>638</v>
      </c>
      <c r="E8" s="279" t="s">
        <v>639</v>
      </c>
      <c r="F8" s="279"/>
      <c r="G8" s="279"/>
      <c r="H8" s="279"/>
      <c r="I8" s="186"/>
      <c r="J8" s="279" t="s">
        <v>89</v>
      </c>
      <c r="K8" s="279"/>
      <c r="L8" s="279"/>
      <c r="M8" s="279"/>
      <c r="N8" s="279"/>
      <c r="O8" s="279"/>
      <c r="P8" s="279"/>
      <c r="Q8" s="273" t="str">
        <f>FORMULACIÓN!R8</f>
        <v>12. PROYECTOS
(145)</v>
      </c>
      <c r="R8" s="273" t="s">
        <v>640</v>
      </c>
      <c r="S8" s="273" t="s">
        <v>641</v>
      </c>
      <c r="T8" s="276" t="s">
        <v>642</v>
      </c>
      <c r="U8" s="276"/>
      <c r="V8" s="276"/>
      <c r="W8" s="281" t="s">
        <v>643</v>
      </c>
      <c r="X8" s="276" t="s">
        <v>644</v>
      </c>
      <c r="Y8" s="276"/>
      <c r="Z8" s="276"/>
      <c r="AA8" s="273" t="s">
        <v>645</v>
      </c>
      <c r="AB8" s="276" t="s">
        <v>646</v>
      </c>
      <c r="AC8" s="276"/>
      <c r="AD8" s="276"/>
      <c r="AE8" s="273" t="s">
        <v>647</v>
      </c>
      <c r="AF8" s="276" t="s">
        <v>648</v>
      </c>
      <c r="AG8" s="276"/>
      <c r="AH8" s="276"/>
      <c r="AI8" s="273" t="s">
        <v>649</v>
      </c>
      <c r="AJ8" s="270" t="str">
        <f>"TOTAL DE RECURSOS EJECUTADOS PDI "&amp;AI6&amp;CHAR(10)&amp;"("&amp;TEXT(SUM(AJ12:AJ261),"#.###")&amp;")"</f>
        <v>TOTAL DE RECURSOS EJECUTADOS PDI 2022 - 2031
()</v>
      </c>
      <c r="AK8"/>
      <c r="AL8"/>
      <c r="AM8" s="274" t="s">
        <v>650</v>
      </c>
      <c r="AN8" s="274"/>
      <c r="AO8" s="274"/>
      <c r="AP8" s="274"/>
      <c r="AQ8" s="274"/>
      <c r="AR8" s="274"/>
      <c r="AS8" s="111">
        <v>0</v>
      </c>
      <c r="AT8" s="299" t="s">
        <v>651</v>
      </c>
      <c r="AU8" s="299"/>
      <c r="AV8" s="299"/>
      <c r="AW8" s="109"/>
      <c r="AX8"/>
      <c r="AY8" s="274" t="s">
        <v>652</v>
      </c>
      <c r="AZ8" s="274"/>
      <c r="BA8" s="274"/>
      <c r="BB8" s="274"/>
      <c r="BC8" s="274"/>
      <c r="BD8" s="274"/>
      <c r="BS8" s="23"/>
      <c r="BT8" s="23"/>
      <c r="BU8" s="23"/>
      <c r="BV8" s="23"/>
      <c r="BW8" s="23"/>
      <c r="BX8" s="23"/>
      <c r="BY8" s="23"/>
      <c r="BZ8" s="23"/>
      <c r="CA8" s="23"/>
      <c r="CB8" s="23"/>
      <c r="CC8" s="24"/>
      <c r="CL8" s="25"/>
    </row>
    <row r="9" spans="1:90" s="22" customFormat="1" ht="18.75" customHeight="1">
      <c r="A9" s="289"/>
      <c r="B9" s="274"/>
      <c r="C9" s="274"/>
      <c r="D9" s="274"/>
      <c r="E9" s="280"/>
      <c r="F9" s="280"/>
      <c r="G9" s="280"/>
      <c r="H9" s="280"/>
      <c r="I9" s="187"/>
      <c r="J9" s="280"/>
      <c r="K9" s="280"/>
      <c r="L9" s="280"/>
      <c r="M9" s="280"/>
      <c r="N9" s="280"/>
      <c r="O9" s="280"/>
      <c r="P9" s="280"/>
      <c r="Q9" s="274"/>
      <c r="R9" s="274"/>
      <c r="S9" s="274"/>
      <c r="T9" s="266" t="s">
        <v>131</v>
      </c>
      <c r="U9" s="266"/>
      <c r="V9" s="266"/>
      <c r="W9" s="282"/>
      <c r="X9" s="291" t="s">
        <v>131</v>
      </c>
      <c r="Y9" s="291"/>
      <c r="Z9" s="291"/>
      <c r="AA9" s="274"/>
      <c r="AB9" s="266" t="s">
        <v>131</v>
      </c>
      <c r="AC9" s="266"/>
      <c r="AD9" s="266"/>
      <c r="AE9" s="274"/>
      <c r="AF9" s="291" t="s">
        <v>131</v>
      </c>
      <c r="AG9" s="291"/>
      <c r="AH9" s="291"/>
      <c r="AI9" s="274"/>
      <c r="AJ9" s="271"/>
      <c r="AK9"/>
      <c r="AL9"/>
      <c r="AM9" s="274"/>
      <c r="AN9" s="274"/>
      <c r="AO9" s="274"/>
      <c r="AP9" s="274"/>
      <c r="AQ9" s="274"/>
      <c r="AR9" s="274"/>
      <c r="AS9" s="109"/>
      <c r="AT9" s="299"/>
      <c r="AU9" s="299"/>
      <c r="AV9" s="299"/>
      <c r="AW9" s="109"/>
      <c r="AX9"/>
      <c r="AY9" s="274"/>
      <c r="AZ9" s="274"/>
      <c r="BA9" s="274"/>
      <c r="BB9" s="274"/>
      <c r="BC9" s="274"/>
      <c r="BD9" s="274"/>
      <c r="BS9" s="23"/>
      <c r="BT9" s="23"/>
      <c r="BU9" s="23"/>
      <c r="BV9" s="23"/>
      <c r="BW9" s="23"/>
      <c r="BX9" s="23"/>
      <c r="BY9" s="23"/>
      <c r="BZ9" s="23"/>
      <c r="CA9" s="23"/>
      <c r="CB9" s="26"/>
      <c r="CC9" s="24"/>
      <c r="CL9" s="25"/>
    </row>
    <row r="10" spans="1:90" s="22" customFormat="1" ht="29.25" customHeight="1">
      <c r="A10" s="289"/>
      <c r="B10" s="274"/>
      <c r="C10" s="274"/>
      <c r="D10" s="274"/>
      <c r="E10" s="277" t="s">
        <v>653</v>
      </c>
      <c r="F10" s="277" t="s">
        <v>654</v>
      </c>
      <c r="G10" s="277" t="s">
        <v>655</v>
      </c>
      <c r="H10" s="277" t="s">
        <v>656</v>
      </c>
      <c r="I10" s="277" t="s">
        <v>657</v>
      </c>
      <c r="J10" s="292" t="s">
        <v>658</v>
      </c>
      <c r="K10" s="52" t="s">
        <v>659</v>
      </c>
      <c r="L10" s="52" t="s">
        <v>660</v>
      </c>
      <c r="M10" s="52" t="s">
        <v>661</v>
      </c>
      <c r="N10" s="52" t="s">
        <v>662</v>
      </c>
      <c r="O10" s="52"/>
      <c r="P10" s="52" t="s">
        <v>663</v>
      </c>
      <c r="Q10" s="274"/>
      <c r="R10" s="274"/>
      <c r="S10" s="274"/>
      <c r="T10" s="266" t="s">
        <v>664</v>
      </c>
      <c r="U10" s="266" t="s">
        <v>665</v>
      </c>
      <c r="V10" s="266" t="s">
        <v>666</v>
      </c>
      <c r="W10" s="282"/>
      <c r="X10" s="266" t="s">
        <v>664</v>
      </c>
      <c r="Y10" s="266" t="s">
        <v>665</v>
      </c>
      <c r="Z10" s="266" t="s">
        <v>666</v>
      </c>
      <c r="AA10" s="274"/>
      <c r="AB10" s="266" t="s">
        <v>664</v>
      </c>
      <c r="AC10" s="266" t="s">
        <v>665</v>
      </c>
      <c r="AD10" s="266" t="s">
        <v>666</v>
      </c>
      <c r="AE10" s="274"/>
      <c r="AF10" s="266" t="s">
        <v>664</v>
      </c>
      <c r="AG10" s="266" t="s">
        <v>665</v>
      </c>
      <c r="AH10" s="266" t="s">
        <v>666</v>
      </c>
      <c r="AI10" s="274"/>
      <c r="AJ10" s="271"/>
      <c r="AK10"/>
      <c r="AL10"/>
      <c r="AM10" s="266" t="s">
        <v>667</v>
      </c>
      <c r="AN10" s="266" t="s">
        <v>668</v>
      </c>
      <c r="AO10" s="266" t="s">
        <v>669</v>
      </c>
      <c r="AP10" s="266" t="s">
        <v>670</v>
      </c>
      <c r="AQ10" s="266" t="s">
        <v>671</v>
      </c>
      <c r="AR10" s="266" t="s">
        <v>672</v>
      </c>
      <c r="AS10" s="111" t="s">
        <v>784</v>
      </c>
      <c r="AT10" s="299"/>
      <c r="AU10" s="299"/>
      <c r="AV10" s="299"/>
      <c r="AW10" s="109"/>
      <c r="AX10"/>
      <c r="AY10" s="266" t="s">
        <v>673</v>
      </c>
      <c r="AZ10" s="266" t="s">
        <v>674</v>
      </c>
      <c r="BA10" s="266" t="s">
        <v>675</v>
      </c>
      <c r="BB10" s="266" t="s">
        <v>676</v>
      </c>
      <c r="BC10" s="266" t="s">
        <v>677</v>
      </c>
      <c r="BD10" s="266"/>
      <c r="BS10" s="23"/>
      <c r="BT10" s="23"/>
      <c r="BU10" s="23"/>
      <c r="BV10" s="23"/>
      <c r="BW10" s="23"/>
      <c r="BX10" s="23"/>
      <c r="BY10" s="23"/>
      <c r="BZ10" s="23"/>
      <c r="CA10" s="23"/>
      <c r="CB10" s="26"/>
      <c r="CC10" s="24"/>
      <c r="CL10" s="25"/>
    </row>
    <row r="11" spans="1:90" s="22" customFormat="1" ht="39" customHeight="1" thickBot="1">
      <c r="A11" s="290"/>
      <c r="B11" s="275"/>
      <c r="C11" s="275"/>
      <c r="D11" s="275"/>
      <c r="E11" s="278"/>
      <c r="F11" s="278"/>
      <c r="G11" s="278"/>
      <c r="H11" s="278"/>
      <c r="I11" s="278"/>
      <c r="J11" s="293"/>
      <c r="K11" s="53" t="str">
        <f>IF($Y$6="","",$Y$6 &amp;" - "&amp; $Y$6+2)</f>
        <v>2022 - 2024</v>
      </c>
      <c r="L11" s="53" t="str">
        <f>IF($Y$6="","",$Y$6+3 &amp;" - "&amp; $Y$6+5)</f>
        <v>2025 - 2027</v>
      </c>
      <c r="M11" s="53" t="str">
        <f>IF($Y$6="","",$Y$6 + 6&amp;" - "&amp; $Y$6+8)</f>
        <v>2028 - 2030</v>
      </c>
      <c r="N11" s="53">
        <f>P11</f>
        <v>2031</v>
      </c>
      <c r="O11" s="54"/>
      <c r="P11" s="55">
        <f>IF(AC6="","",AC6)</f>
        <v>2031</v>
      </c>
      <c r="Q11" s="275"/>
      <c r="R11" s="275"/>
      <c r="S11" s="275"/>
      <c r="T11" s="267"/>
      <c r="U11" s="267"/>
      <c r="V11" s="267"/>
      <c r="W11" s="283"/>
      <c r="X11" s="267"/>
      <c r="Y11" s="267"/>
      <c r="Z11" s="267"/>
      <c r="AA11" s="275"/>
      <c r="AB11" s="267"/>
      <c r="AC11" s="267"/>
      <c r="AD11" s="267"/>
      <c r="AE11" s="275"/>
      <c r="AF11" s="267"/>
      <c r="AG11" s="267"/>
      <c r="AH11" s="267"/>
      <c r="AI11" s="275"/>
      <c r="AJ11" s="272"/>
      <c r="AK11"/>
      <c r="AL11"/>
      <c r="AM11" s="266"/>
      <c r="AN11" s="300"/>
      <c r="AO11" s="266"/>
      <c r="AP11" s="266"/>
      <c r="AQ11" s="266"/>
      <c r="AR11" s="266"/>
      <c r="AS11" s="109"/>
      <c r="AT11" s="97" t="s">
        <v>678</v>
      </c>
      <c r="AU11" s="99" t="s">
        <v>679</v>
      </c>
      <c r="AV11" s="98"/>
      <c r="AW11" s="98"/>
      <c r="AX11"/>
      <c r="AY11" s="266"/>
      <c r="AZ11" s="266"/>
      <c r="BA11" s="266"/>
      <c r="BB11" s="266"/>
      <c r="BC11" s="266"/>
      <c r="BD11" s="266"/>
      <c r="BS11" s="23"/>
      <c r="BT11" s="23"/>
      <c r="BU11" s="23"/>
      <c r="BV11" s="23"/>
      <c r="BW11" s="23"/>
      <c r="BX11" s="23"/>
      <c r="BY11" s="23"/>
      <c r="BZ11" s="23"/>
      <c r="CA11" s="23"/>
      <c r="CB11" s="23"/>
      <c r="CC11" s="24"/>
      <c r="CL11" s="25"/>
    </row>
    <row r="12" spans="1:90" s="1" customFormat="1" ht="74.099999999999994" customHeight="1">
      <c r="A12" s="45">
        <f>IF(FORMULACIÓN!A12="","",FORMULACIÓN!A12)</f>
        <v>1</v>
      </c>
      <c r="B12" s="45" t="str">
        <f>IF(FORMULACIÓN!B12="","",FORMULACIÓN!B12)</f>
        <v>L1 - Formación Académica Integral</v>
      </c>
      <c r="C12" s="45" t="str">
        <f>IF(FORMULACIÓN!E12="","",FORMULACIÓN!E12)</f>
        <v>M1 - Internacionalización y multilingüismo.</v>
      </c>
      <c r="D12" s="45" t="str">
        <f>IF(FORMULACIÓN!F12="","",FORMULACIÓN!F12)</f>
        <v>Lograr por lo menos el 65% de los docentes de carrera profesoral certificados en nivel B2 según el marco común europeo</v>
      </c>
      <c r="E12" s="45" t="str">
        <f>IF(FORMULACIÓN!G12="","",FORMULACIÓN!G12)</f>
        <v>Nivel de inglés de los docentes de carrera profesoral</v>
      </c>
      <c r="F12" s="45" t="str">
        <f>IF(FORMULACIÓN!H12="","",FORMULACIÓN!H12)</f>
        <v>N° de docentes de carrera profesoral certificados con nivel de inglés B2 / total de docentes de carrera profesoral * 100</v>
      </c>
      <c r="G12" s="45" t="str">
        <f>IF(FORMULACIÓN!I12="","",FORMULACIÓN!I12)</f>
        <v>Porcentaje</v>
      </c>
      <c r="H12" s="45" t="str">
        <f>IF(FORMULACIÓN!J12="","",FORMULACIÓN!J12)</f>
        <v>Acumulado</v>
      </c>
      <c r="I12" s="188" t="str">
        <f ca="1">IF($G12=Lists!$R$3,"PDI: "&amp;TEXT(FORMULACIÓN!Q12,"00,00%")&amp;CHAR(10)&amp;CHAR(10)&amp;"T1: "&amp;TEXT(FORMULACIÓN!L12,"00,00%")&amp;CHAR(10)&amp;"T2: "&amp;TEXT(FORMULACIÓN!M12,"00,00%")&amp;CHAR(10)&amp;"T3: "&amp;TEXT(FORMULACIÓN!N12,"00,00%")&amp;CHAR(10)&amp;"Tn: "&amp;TEXT(FORMULACIÓN!O12,"00,00%"),IF(FORMULACIÓN!Q12=0,0,"PDI: "&amp;TEXT(FORMULACIÓN!Q12,"##.###")&amp;CHAR(10)&amp;CHAR(10)&amp;"T1: "&amp;TEXT(FORMULACIÓN!L12,"##.###")&amp;CHAR(10)&amp;"T2: "&amp;TEXT(FORMULACIÓN!M12,"##.###")&amp;CHAR(10)&amp;"T3: "&amp;TEXT(FORMULACIÓN!N12,"##.###")&amp;CHAR(10)&amp;"Tn: "&amp;TEXT(FORMULACIÓN!O12,"##.###")))</f>
        <v>PDI: 65,00%
T1: 10,00%
T2: 20,00%
T3: 20,00%
Tn: 06,00%</v>
      </c>
      <c r="J12" s="209">
        <f>IF(FORMULACIÓN!K12&lt;&gt;"",FORMULACIÓN!K12,"")</f>
        <v>0.09</v>
      </c>
      <c r="K12" s="309">
        <v>0</v>
      </c>
      <c r="L12" s="94"/>
      <c r="M12" s="94"/>
      <c r="N12" s="94"/>
      <c r="O12" s="47">
        <f ca="1">IFERROR(IF($H12=Lists!$S$2,SUM('SEGUIMIENTO Y EVALUACIÓN'!J12:N12),IF('SEGUIMIENTO Y EVALUACIÓN'!$H12=Lists!$S$3,SUM('SEGUIMIENTO Y EVALUACIÓN'!K12:N12),IF('SEGUIMIENTO Y EVALUACIÓN'!$H12=Lists!$S$4,AVERAGE('SEGUIMIENTO Y EVALUACIÓN'!K12:N12),IF('SEGUIMIENTO Y EVALUACIÓN'!$H12=Lists!$S$5,OFFSET(J12,0,COUNTA(K12:N12)),IF($H12=Lists!$S$6,COUNTIF(K12:N12,"&lt;"&amp;FORMULACIÓN!Q12)/COUNT('SEGUIMIENTO Y EVALUACIÓN'!K12:N12),""))))),"")</f>
        <v>0.09</v>
      </c>
      <c r="P12" s="51" t="str">
        <f ca="1">IF($G12=Lists!$R$3,TEXT('SEGUIMIENTO Y EVALUACIÓN'!O12,"00,00%"),IF('SEGUIMIENTO Y EVALUACIÓN'!O12=0,0,TEXT('SEGUIMIENTO Y EVALUACIÓN'!O12,"##.###")))</f>
        <v>09,00%</v>
      </c>
      <c r="Q12" s="209" t="str">
        <f>IF(FORMULACIÓN!R12&lt;&gt;"",FORMULACIÓN!R12,"")</f>
        <v>P1 - Multilingüismo e interculturalidad</v>
      </c>
      <c r="R12" s="209">
        <f>IF(FORMULACIÓN!S12&lt;&gt;"",FORMULACIÓN!S12,"")</f>
        <v>0.03</v>
      </c>
      <c r="S12" s="209" t="str">
        <f>IF(FORMULACIÓN!T12&lt;&gt;"",FORMULACIÓN!T12,"")</f>
        <v>Vicerrector de Docencia</v>
      </c>
      <c r="T12" s="48"/>
      <c r="U12" s="48"/>
      <c r="V12" s="48"/>
      <c r="W12" s="46" t="str">
        <f t="shared" ref="W12:W75" si="0">IF(SUM(T12:V12)=0,"",SUM(T12:V12))</f>
        <v/>
      </c>
      <c r="X12" s="48"/>
      <c r="Y12" s="48"/>
      <c r="Z12" s="48"/>
      <c r="AA12" s="46" t="str">
        <f t="shared" ref="AA12:AA75" si="1">IF(SUM(X12:Z12)=0,"",SUM(X12:Z12))</f>
        <v/>
      </c>
      <c r="AB12" s="48"/>
      <c r="AC12" s="48"/>
      <c r="AD12" s="48"/>
      <c r="AE12" s="46" t="str">
        <f t="shared" ref="AE12:AE75" si="2">IF(SUM(AB12:AD12)=0,"",SUM(AB12:AD12))</f>
        <v/>
      </c>
      <c r="AF12" s="48"/>
      <c r="AG12" s="48"/>
      <c r="AH12" s="48"/>
      <c r="AI12" s="46" t="str">
        <f t="shared" ref="AI12:AI75" si="3">IF(SUM(AF12:AH12)=0,"",SUM(AF12:AH12))</f>
        <v/>
      </c>
      <c r="AJ12" s="46" t="str">
        <f>IF(SUM(AA12,AE12,W12,AI12)=0,"",SUM((AA12,AE12,W12,AI12)))</f>
        <v/>
      </c>
      <c r="AL12" s="1" t="str">
        <f t="shared" ref="AL12:AL43" si="4">LEFT($B12,2)&amp;LEFT($C12,2)&amp;LEFT($Q12,2)</f>
        <v>L1M1P1</v>
      </c>
      <c r="AM12" s="56" t="str">
        <f t="shared" ref="AM12:AM43" si="5">E12</f>
        <v>Nivel de inglés de los docentes de carrera profesoral</v>
      </c>
      <c r="AN12" s="112" t="str">
        <f>IF($G12=Lists!$R$3,"T1: "&amp;TEXT(FORMULACIÓN!L12,"00,00%")&amp;CHAR(10)&amp;"T2: "&amp;TEXT(FORMULACIÓN!M12,"00,00%")&amp;CHAR(10)&amp;"T3: "&amp;TEXT(FORMULACIÓN!N12,"00,00%")&amp;CHAR(10)&amp;"Tn: "&amp;TEXT(FORMULACIÓN!O12,"00,00%"),IF(FORMULACIÓN!Q12=0,0,"T1: "&amp;TEXT(FORMULACIÓN!L12,"##.###")&amp;CHAR(10)&amp;"T2: "&amp;TEXT(FORMULACIÓN!M12,"##.###")&amp;CHAR(10)&amp;"T3: "&amp;TEXT(FORMULACIÓN!N12,"##.###")&amp;CHAR(10)&amp;"Tn: "&amp;TEXT(FORMULACIÓN!O12,"##.###")))</f>
        <v>T1: 10,00%
T2: 20,00%
T3: 20,00%
Tn: 06,00%</v>
      </c>
      <c r="AO12" s="117">
        <f>IFERROR(IF($H12=Lists!$S$6,IF(AND(FORMULACIÓN!L12&gt;K12,K12&gt;0),1,0),IF((K12/FORMULACIÓN!L12)&lt;&gt;0,K12/FORMULACIÓN!L12,0)),"")</f>
        <v>0</v>
      </c>
      <c r="AP12" s="117">
        <f>IFERROR(IF($H12=Lists!$S$6,IF(AND(FORMULACIÓN!M12&gt;L12,L12&gt;0),1,0),IF((L12/FORMULACIÓN!M12)&lt;&gt;0,L12/FORMULACIÓN!M12,0)),"")</f>
        <v>0</v>
      </c>
      <c r="AQ12" s="117">
        <f>IFERROR(IF($H12=Lists!$S$6,IF(AND(FORMULACIÓN!N12&gt;M12,M12&gt;0),1,0),IF((M12/FORMULACIÓN!N12)&lt;&gt;0,M12/FORMULACIÓN!N12,0)),"")</f>
        <v>0</v>
      </c>
      <c r="AR12" s="117">
        <f>IFERROR(IF($H12=Lists!$S$6,IF(AND(FORMULACIÓN!O12&gt;N12,N12&gt;0),1,0),IF((N12/FORMULACIÓN!O12)&lt;&gt;0,N12/FORMULACIÓN!O12,0)),"")</f>
        <v>0</v>
      </c>
      <c r="AS12" s="110"/>
      <c r="AT12" s="118" t="str">
        <f ca="1">IF($H12=Lists!$S$6,TEXT(COUNTIF('SEGUIMIENTO Y EVALUACIÓN'!K12:N12,"&lt;"&amp;FORMULACIÓN!Q12),"##.###")&amp;" / "&amp;TEXT(COUNTIF('SEGUIMIENTO Y EVALUACIÓN'!K12:N12,"&gt;"&amp;0),"##.###"),IF($G12=Lists!$R$3,TEXT('SEGUIMIENTO Y EVALUACIÓN'!O12,"00,00%")&amp;" / "&amp;TEXT(FORMULACIÓN!P12,"00,00%"),IF('SEGUIMIENTO Y EVALUACIÓN'!O12=0,0,TEXT('SEGUIMIENTO Y EVALUACIÓN'!O12,"##.###")&amp;" / "&amp;TEXT(FORMULACIÓN!P12,"##.###"))))</f>
        <v>09,00% / 65,00%</v>
      </c>
      <c r="AU12" s="57">
        <f ca="1">IFERROR(IF((P12/FORMULACIÓN!Q12)&lt;&gt;0,IF($H12=Lists!$S$6,COUNTIF('SEGUIMIENTO Y EVALUACIÓN'!K12:N12,"&lt;"&amp;FORMULACIÓN!Q12),'SEGUIMIENTO Y EVALUACIÓN'!P12)/IF($H12=Lists!$S$6,COUNTIF('SEGUIMIENTO Y EVALUACIÓN'!K12:N12,"&gt;"&amp;0),FORMULACIÓN!P12),0),0)</f>
        <v>0.13846153846153844</v>
      </c>
      <c r="AV12" s="93">
        <f ca="1">IFERROR(IF(AU12&gt;1,IF($AU$2=1,1,AU12),AU12)*R12,"")</f>
        <v>4.1538461538461529E-3</v>
      </c>
      <c r="AW12" s="93" cm="1">
        <f t="array" ref="AW12">IF(INDEX(AO12:AU12,1,$AV$3)&gt;1,IF($AU$2=1,1,INDEX(AO12:AU12,1,$AV$3)),INDEX(AO12:AU12,1,$AV$3))</f>
        <v>0</v>
      </c>
      <c r="AX12"/>
      <c r="AY12" s="119" t="str">
        <f>IFERROR(IF((W12/FORMULACIÓN!X12)&lt;&gt;0,W12/FORMULACIÓN!X12,0),"")</f>
        <v/>
      </c>
      <c r="AZ12" s="119" t="str">
        <f>IFERROR(IF((AA12/FORMULACIÓN!AB12)&lt;&gt;0,AA12/FORMULACIÓN!AB12,0),"")</f>
        <v/>
      </c>
      <c r="BA12" s="119" t="str">
        <f>IFERROR(IF((AE12/FORMULACIÓN!AF12)&lt;&gt;0,(AE12/FORMULACIÓN!AF12),0),"")</f>
        <v/>
      </c>
      <c r="BB12" s="119" t="str">
        <f>IFERROR(IF((AI12/FORMULACIÓN!AJ12)&lt;&gt;0,AI12/FORMULACIÓN!AJ12,0),"")</f>
        <v/>
      </c>
      <c r="BC12" s="120" t="str">
        <f>IF('SEGUIMIENTO Y EVALUACIÓN'!AI12=0,0,TEXT('SEGUIMIENTO Y EVALUACIÓN'!AI12,"$ ##.###")&amp;" / "&amp;TEXT(FORMULACIÓN!AK12,"$ ##.###"))</f>
        <v xml:space="preserve"> / $ 21.051.825.600</v>
      </c>
      <c r="BD12" s="57">
        <f>IFERROR(IF((AJ12/FORMULACIÓN!AK12)&lt;&gt;0,AJ12/FORMULACIÓN!AK12,0),0)</f>
        <v>0</v>
      </c>
      <c r="BS12" s="9"/>
      <c r="BT12" s="9"/>
      <c r="BU12" s="9"/>
      <c r="BV12" s="9"/>
      <c r="BW12" s="9"/>
      <c r="BX12" s="9"/>
      <c r="BY12" s="9"/>
      <c r="BZ12" s="9"/>
      <c r="CA12" s="9"/>
      <c r="CB12" s="9"/>
      <c r="CC12" s="10"/>
      <c r="CL12" s="7"/>
    </row>
    <row r="13" spans="1:90" s="1" customFormat="1" ht="67.5">
      <c r="A13" s="45">
        <f>IF(FORMULACIÓN!A13="","",FORMULACIÓN!A13)</f>
        <v>2</v>
      </c>
      <c r="B13" s="45" t="str">
        <f>IF(FORMULACIÓN!B13="","",FORMULACIÓN!B13)</f>
        <v>L1 - Formación Académica Integral</v>
      </c>
      <c r="C13" s="45" t="str">
        <f>IF(FORMULACIÓN!E13="","",FORMULACIÓN!E13)</f>
        <v>M1 - Internacionalización y multilingüismo.</v>
      </c>
      <c r="D13" s="45" t="str">
        <f>IF(FORMULACIÓN!F13="","",FORMULACIÓN!F13)</f>
        <v xml:space="preserve">Garantizar la Política de Enseñanza aprendizaje y evaluación de Lenguas Extranjeras para que mínimo 7000 estudiantes logren culminar los cursos de inglés establecidos, asimismo que 300 estudiantes de Licenciatura en Lenguas Extranjeras se formen mediante el Programa de Inmersión en inglés </v>
      </c>
      <c r="E13" s="45" t="str">
        <f>IF(FORMULACIÓN!G13="","",FORMULACIÓN!G13)</f>
        <v>Estudiantes formados mediante la Política de Enseñanza aprendizaje y evaluación de Lenguas Extranjeras</v>
      </c>
      <c r="F13" s="45" t="str">
        <f>IF(FORMULACIÓN!H13="","",FORMULACIÓN!H13)</f>
        <v>N° de estudiantes que culminaron los cursos de inglés establecidos en la Política de Enseñanza aprendizaje y evaluación de Lenguas Extranjeras</v>
      </c>
      <c r="G13" s="45" t="str">
        <f>IF(FORMULACIÓN!I13="","",FORMULACIÓN!I13)</f>
        <v>Unidad</v>
      </c>
      <c r="H13" s="45" t="str">
        <f>IF(FORMULACIÓN!J13="","",FORMULACIÓN!J13)</f>
        <v>Nuevo gestionado durante la vigencia</v>
      </c>
      <c r="I13" s="188" t="str">
        <f ca="1">IF($G13=Lists!$R$3,"PDI: "&amp;TEXT(FORMULACIÓN!Q13,"00,00%")&amp;CHAR(10)&amp;CHAR(10)&amp;"T1: "&amp;TEXT(FORMULACIÓN!L13,"00,00%")&amp;CHAR(10)&amp;"T2: "&amp;TEXT(FORMULACIÓN!M13,"00,00%")&amp;CHAR(10)&amp;"T3: "&amp;TEXT(FORMULACIÓN!N13,"00,00%")&amp;CHAR(10)&amp;"Tn: "&amp;TEXT(FORMULACIÓN!O13,"00,00%"),IF(FORMULACIÓN!Q13=0,0,"PDI: "&amp;TEXT(FORMULACIÓN!Q13,"##.###")&amp;CHAR(10)&amp;CHAR(10)&amp;"T1: "&amp;TEXT(FORMULACIÓN!L13,"##.###")&amp;CHAR(10)&amp;"T2: "&amp;TEXT(FORMULACIÓN!M13,"##.###")&amp;CHAR(10)&amp;"T3: "&amp;TEXT(FORMULACIÓN!N13,"##.###")&amp;CHAR(10)&amp;"Tn: "&amp;TEXT(FORMULACIÓN!O13,"##.###")))</f>
        <v>PDI: 7.000
T1: 2.100
T2: 2.100
T3: 2.100
Tn: 700</v>
      </c>
      <c r="J13" s="122">
        <f>IF(FORMULACIÓN!K13&lt;&gt;"",FORMULACIÓN!K13,"")</f>
        <v>400</v>
      </c>
      <c r="K13" s="310">
        <v>1152</v>
      </c>
      <c r="L13" s="58"/>
      <c r="M13" s="58"/>
      <c r="N13" s="58"/>
      <c r="O13" s="47">
        <f ca="1">IFERROR(IF($H13=Lists!$S$2,SUM('SEGUIMIENTO Y EVALUACIÓN'!J13:N13),IF('SEGUIMIENTO Y EVALUACIÓN'!$H13=Lists!$S$3,SUM('SEGUIMIENTO Y EVALUACIÓN'!K13:N13),IF('SEGUIMIENTO Y EVALUACIÓN'!$H13=Lists!$S$4,AVERAGE('SEGUIMIENTO Y EVALUACIÓN'!K13:N13),IF('SEGUIMIENTO Y EVALUACIÓN'!$H13=Lists!$S$5,OFFSET(J13,0,COUNTA(K13:N13)),IF($H13=Lists!$S$6,COUNTIF(K13:N13,"&lt;"&amp;FORMULACIÓN!Q13)/COUNT('SEGUIMIENTO Y EVALUACIÓN'!K13:N13),""))))),"")</f>
        <v>1152</v>
      </c>
      <c r="P13" s="51" t="str">
        <f ca="1">IF($G13=Lists!$R$3,TEXT('SEGUIMIENTO Y EVALUACIÓN'!O13,"00,00%"),IF('SEGUIMIENTO Y EVALUACIÓN'!O13=0,0,TEXT('SEGUIMIENTO Y EVALUACIÓN'!O13,"##.###")))</f>
        <v>1.152</v>
      </c>
      <c r="Q13" s="209" t="str">
        <f>IF(FORMULACIÓN!R13&lt;&gt;"",FORMULACIÓN!R13,"")</f>
        <v>P1 - Multilingüismo e interculturalidad</v>
      </c>
      <c r="R13" s="209">
        <f>IF(FORMULACIÓN!S13&lt;&gt;"",FORMULACIÓN!S13,"")</f>
        <v>0.03</v>
      </c>
      <c r="S13" s="209" t="str">
        <f>IF(FORMULACIÓN!T13&lt;&gt;"",FORMULACIÓN!T13,"")</f>
        <v>Vicerrector de Docencia</v>
      </c>
      <c r="T13" s="42"/>
      <c r="U13" s="42"/>
      <c r="V13" s="42"/>
      <c r="W13" s="43" t="str">
        <f t="shared" si="0"/>
        <v/>
      </c>
      <c r="X13" s="42"/>
      <c r="Y13" s="42"/>
      <c r="Z13" s="42"/>
      <c r="AA13" s="43" t="str">
        <f t="shared" si="1"/>
        <v/>
      </c>
      <c r="AB13" s="42"/>
      <c r="AC13" s="42"/>
      <c r="AD13" s="42"/>
      <c r="AE13" s="43" t="str">
        <f t="shared" si="2"/>
        <v/>
      </c>
      <c r="AF13" s="42"/>
      <c r="AG13" s="42"/>
      <c r="AH13" s="42"/>
      <c r="AI13" s="46" t="str">
        <f t="shared" si="3"/>
        <v/>
      </c>
      <c r="AJ13" s="46" t="str">
        <f>IF(SUM(AA13,AE13,W13,AI13)=0,"",SUM((AA13,AE13,W13,AI13)))</f>
        <v/>
      </c>
      <c r="AK13"/>
      <c r="AL13" s="1" t="str">
        <f t="shared" si="4"/>
        <v>L1M1P1</v>
      </c>
      <c r="AM13" s="112" t="str">
        <f t="shared" si="5"/>
        <v>Estudiantes formados mediante la Política de Enseñanza aprendizaje y evaluación de Lenguas Extranjeras</v>
      </c>
      <c r="AN13" s="112" t="str">
        <f ca="1">IF($G13=Lists!$R$3,"T1: "&amp;TEXT(FORMULACIÓN!L13,"00,00%")&amp;CHAR(10)&amp;"T2: "&amp;TEXT(FORMULACIÓN!M13,"00,00%")&amp;CHAR(10)&amp;"T3: "&amp;TEXT(FORMULACIÓN!N13,"00,00%")&amp;CHAR(10)&amp;"Tn: "&amp;TEXT(FORMULACIÓN!O13,"00,00%"),IF(FORMULACIÓN!Q13=0,0,"T1: "&amp;TEXT(FORMULACIÓN!L13,"##.###")&amp;CHAR(10)&amp;"T2: "&amp;TEXT(FORMULACIÓN!M13,"##.###")&amp;CHAR(10)&amp;"T3: "&amp;TEXT(FORMULACIÓN!N13,"##.###")&amp;CHAR(10)&amp;"Tn: "&amp;TEXT(FORMULACIÓN!O13,"##.###")))</f>
        <v>T1: 2.100
T2: 2.100
T3: 2.100
Tn: 700</v>
      </c>
      <c r="AO13" s="117">
        <f>IFERROR(IF($H13=Lists!$S$6,IF(AND(FORMULACIÓN!L13&gt;K13,K13&gt;0),1,0),IF((K13/FORMULACIÓN!L13)&lt;&gt;0,K13/FORMULACIÓN!L13,0)),"")</f>
        <v>0.5485714285714286</v>
      </c>
      <c r="AP13" s="117">
        <f>IFERROR(IF($H13=Lists!$S$6,IF(AND(FORMULACIÓN!M13&gt;L13,L13&gt;0),1,0),IF((L13/FORMULACIÓN!M13)&lt;&gt;0,L13/FORMULACIÓN!M13,0)),"")</f>
        <v>0</v>
      </c>
      <c r="AQ13" s="117">
        <f>IFERROR(IF($H13=Lists!$S$6,IF(AND(FORMULACIÓN!N13&gt;M13,M13&gt;0),1,0),IF((M13/FORMULACIÓN!N13)&lt;&gt;0,M13/FORMULACIÓN!N13,0)),"")</f>
        <v>0</v>
      </c>
      <c r="AR13" s="117">
        <f>IFERROR(IF($H13=Lists!$S$6,IF(AND(FORMULACIÓN!O13&gt;N13,N13&gt;0),1,0),IF((N13/FORMULACIÓN!O13)&lt;&gt;0,N13/FORMULACIÓN!O13,0)),"")</f>
        <v>0</v>
      </c>
      <c r="AS13" s="110"/>
      <c r="AT13" s="118" t="str">
        <f ca="1">IF($H13=Lists!$S$6,TEXT(COUNTIF('SEGUIMIENTO Y EVALUACIÓN'!K13:N13,"&lt;"&amp;FORMULACIÓN!Q13),"##.###")&amp;" / "&amp;TEXT(COUNTIF('SEGUIMIENTO Y EVALUACIÓN'!K13:N13,"&gt;"&amp;0),"##.###"),IF($G13=Lists!$R$3,TEXT('SEGUIMIENTO Y EVALUACIÓN'!O13,"00,00%")&amp;" / "&amp;TEXT(FORMULACIÓN!P13,"00,00%"),IF('SEGUIMIENTO Y EVALUACIÓN'!O13=0,0,TEXT('SEGUIMIENTO Y EVALUACIÓN'!O13,"##.###")&amp;" / "&amp;TEXT(FORMULACIÓN!P13,"##.###"))))</f>
        <v>1.152 / 7.000</v>
      </c>
      <c r="AU13" s="57">
        <f ca="1">IFERROR(IF((P13/FORMULACIÓN!Q13)&lt;&gt;0,IF($H13=Lists!$S$6,COUNTIF('SEGUIMIENTO Y EVALUACIÓN'!K13:N13,"&lt;"&amp;FORMULACIÓN!Q13),'SEGUIMIENTO Y EVALUACIÓN'!P13)/IF($H13=Lists!$S$6,COUNTIF('SEGUIMIENTO Y EVALUACIÓN'!K13:N13,"&gt;"&amp;0),FORMULACIÓN!P13),0),0)</f>
        <v>0.16457142857142856</v>
      </c>
      <c r="AV13" s="93">
        <f t="shared" ref="AV13:AV76" ca="1" si="6">IFERROR(IF(AU13&gt;1,IF($AU$2=1,1,AU13),AU13)*R13,"")</f>
        <v>4.937142857142857E-3</v>
      </c>
      <c r="AW13" s="93" cm="1">
        <f t="array" ref="AW13">IF(INDEX(AO13:AU13,1,$AV$3)&gt;1,IF($AU$2=1,1,INDEX(AO13:AU13,1,$AV$3)),INDEX(AO13:AU13,1,$AV$3))</f>
        <v>0.5485714285714286</v>
      </c>
      <c r="AX13"/>
      <c r="AY13" s="119" t="str">
        <f>IFERROR(IF((W13/FORMULACIÓN!X13)&lt;&gt;0,W13/FORMULACIÓN!X13,0),"")</f>
        <v/>
      </c>
      <c r="AZ13" s="119" t="str">
        <f>IFERROR(IF((AA13/FORMULACIÓN!AB13)&lt;&gt;0,AA13/FORMULACIÓN!AB13,0),"")</f>
        <v/>
      </c>
      <c r="BA13" s="119" t="str">
        <f>IFERROR(IF((AE13/FORMULACIÓN!AF13)&lt;&gt;0,(AE13/FORMULACIÓN!AF13),0),"")</f>
        <v/>
      </c>
      <c r="BB13" s="119" t="str">
        <f>IFERROR(IF((AI13/FORMULACIÓN!AJ13)&lt;&gt;0,AI13/FORMULACIÓN!AJ13,0),"")</f>
        <v/>
      </c>
      <c r="BC13" s="120" t="str">
        <f>IF('SEGUIMIENTO Y EVALUACIÓN'!AI13=0,0,TEXT('SEGUIMIENTO Y EVALUACIÓN'!AI13,"$ ##.###")&amp;" / "&amp;TEXT(FORMULACIÓN!AK13,"$ ##.###"))</f>
        <v xml:space="preserve"> / $ 33.815.894.233</v>
      </c>
      <c r="BD13" s="57">
        <f>IFERROR(IF((AJ13/FORMULACIÓN!AK13)&lt;&gt;0,AJ13/FORMULACIÓN!AK13,0),0)</f>
        <v>0</v>
      </c>
      <c r="BS13" s="9"/>
      <c r="BT13" s="9"/>
      <c r="BU13" s="9"/>
      <c r="BV13" s="9"/>
      <c r="BW13" s="9"/>
      <c r="BX13" s="9"/>
      <c r="BY13" s="9"/>
      <c r="BZ13" s="9"/>
      <c r="CA13" s="9"/>
      <c r="CB13" s="9"/>
      <c r="CC13" s="10"/>
      <c r="CL13" s="7"/>
    </row>
    <row r="14" spans="1:90" s="1" customFormat="1" ht="67.5">
      <c r="A14" s="45">
        <f>IF(FORMULACIÓN!A14="","",FORMULACIÓN!A14)</f>
        <v>3</v>
      </c>
      <c r="B14" s="45" t="str">
        <f>IF(FORMULACIÓN!B14="","",FORMULACIÓN!B14)</f>
        <v>L1 - Formación Académica Integral</v>
      </c>
      <c r="C14" s="45" t="str">
        <f>IF(FORMULACIÓN!E14="","",FORMULACIÓN!E14)</f>
        <v>M1 - Internacionalización y multilingüismo.</v>
      </c>
      <c r="D14" s="45" t="str">
        <f>IF(FORMULACIÓN!F14="","",FORMULACIÓN!F14)</f>
        <v xml:space="preserve">Garantizar la Política de Enseñanza aprendizaje y evaluación de Lenguas Extranjeras para que mínimo 7000 estudiantes logren culminar los cursos de inglés establecidos, asimismo que 300 estudiantes de Licenciatura en Lenguas Extranjeras se formen mediante el Programa de Inmersión en inglés </v>
      </c>
      <c r="E14" s="45" t="str">
        <f>IF(FORMULACIÓN!G14="","",FORMULACIÓN!G14)</f>
        <v>Estudiantes formados mediante la Política de Enseñanza aprendizaje y evaluación de Lenguas Extranjeras</v>
      </c>
      <c r="F14" s="45" t="str">
        <f>IF(FORMULACIÓN!H14="","",FORMULACIÓN!H14)</f>
        <v>N° de estudiantes formados mediante el Programa de Inmersión en inglés para Estudiantes de Licenciatura en Lenguas Extranjeras</v>
      </c>
      <c r="G14" s="45" t="str">
        <f>IF(FORMULACIÓN!I14="","",FORMULACIÓN!I14)</f>
        <v>Unidad</v>
      </c>
      <c r="H14" s="45" t="str">
        <f>IF(FORMULACIÓN!J14="","",FORMULACIÓN!J14)</f>
        <v>Nuevo gestionado durante la vigencia</v>
      </c>
      <c r="I14" s="188" t="str">
        <f ca="1">IF($G14=Lists!$R$3,"PDI: "&amp;TEXT(FORMULACIÓN!Q14,"00,00%")&amp;CHAR(10)&amp;CHAR(10)&amp;"T1: "&amp;TEXT(FORMULACIÓN!L14,"00,00%")&amp;CHAR(10)&amp;"T2: "&amp;TEXT(FORMULACIÓN!M14,"00,00%")&amp;CHAR(10)&amp;"T3: "&amp;TEXT(FORMULACIÓN!N14,"00,00%")&amp;CHAR(10)&amp;"Tn: "&amp;TEXT(FORMULACIÓN!O14,"00,00%"),IF(FORMULACIÓN!Q14=0,0,"PDI: "&amp;TEXT(FORMULACIÓN!Q14,"##.###")&amp;CHAR(10)&amp;CHAR(10)&amp;"T1: "&amp;TEXT(FORMULACIÓN!L14,"##.###")&amp;CHAR(10)&amp;"T2: "&amp;TEXT(FORMULACIÓN!M14,"##.###")&amp;CHAR(10)&amp;"T3: "&amp;TEXT(FORMULACIÓN!N14,"##.###")&amp;CHAR(10)&amp;"Tn: "&amp;TEXT(FORMULACIÓN!O14,"##.###")))</f>
        <v>PDI: 300
T1: 90
T2: 90
T3: 90
Tn: 30</v>
      </c>
      <c r="J14" s="122">
        <f>IF(FORMULACIÓN!K14&lt;&gt;"",FORMULACIÓN!K14,"")</f>
        <v>31</v>
      </c>
      <c r="K14" s="310">
        <v>80</v>
      </c>
      <c r="L14" s="58"/>
      <c r="M14" s="58"/>
      <c r="N14" s="58"/>
      <c r="O14" s="47">
        <f ca="1">IFERROR(IF($H14=Lists!$S$2,SUM('SEGUIMIENTO Y EVALUACIÓN'!J14:N14),IF('SEGUIMIENTO Y EVALUACIÓN'!$H14=Lists!$S$3,SUM('SEGUIMIENTO Y EVALUACIÓN'!K14:N14),IF('SEGUIMIENTO Y EVALUACIÓN'!$H14=Lists!$S$4,AVERAGE('SEGUIMIENTO Y EVALUACIÓN'!K14:N14),IF('SEGUIMIENTO Y EVALUACIÓN'!$H14=Lists!$S$5,OFFSET(J14,0,COUNTA(K14:N14)),IF($H14=Lists!$S$6,COUNTIF(K14:N14,"&lt;"&amp;FORMULACIÓN!Q14)/COUNT('SEGUIMIENTO Y EVALUACIÓN'!K14:N14),""))))),"")</f>
        <v>80</v>
      </c>
      <c r="P14" s="51" t="str">
        <f ca="1">IF($G14=Lists!$R$3,TEXT('SEGUIMIENTO Y EVALUACIÓN'!O14,"00,00%"),IF('SEGUIMIENTO Y EVALUACIÓN'!O14=0,0,TEXT('SEGUIMIENTO Y EVALUACIÓN'!O14,"##.###")))</f>
        <v>80</v>
      </c>
      <c r="Q14" s="209" t="str">
        <f>IF(FORMULACIÓN!R14&lt;&gt;"",FORMULACIÓN!R14,"")</f>
        <v>P1 - Multilingüismo e interculturalidad</v>
      </c>
      <c r="R14" s="209">
        <f>IF(FORMULACIÓN!S14&lt;&gt;"",FORMULACIÓN!S14,"")</f>
        <v>0.03</v>
      </c>
      <c r="S14" s="209" t="str">
        <f>IF(FORMULACIÓN!T14&lt;&gt;"",FORMULACIÓN!T14,"")</f>
        <v>Vicerrector de Docencia</v>
      </c>
      <c r="T14" s="42"/>
      <c r="U14" s="42"/>
      <c r="V14" s="42"/>
      <c r="W14" s="43" t="str">
        <f t="shared" si="0"/>
        <v/>
      </c>
      <c r="X14" s="42"/>
      <c r="Y14" s="42"/>
      <c r="Z14" s="42"/>
      <c r="AA14" s="43" t="str">
        <f t="shared" si="1"/>
        <v/>
      </c>
      <c r="AB14" s="42"/>
      <c r="AC14" s="42"/>
      <c r="AD14" s="42"/>
      <c r="AE14" s="43" t="str">
        <f t="shared" si="2"/>
        <v/>
      </c>
      <c r="AF14" s="42"/>
      <c r="AG14" s="42"/>
      <c r="AH14" s="42"/>
      <c r="AI14" s="46" t="str">
        <f t="shared" si="3"/>
        <v/>
      </c>
      <c r="AJ14" s="46" t="str">
        <f>IF(SUM(AA14,AE14,W14,AI14)=0,"",SUM((AA14,AE14,W14,AI14)))</f>
        <v/>
      </c>
      <c r="AK14"/>
      <c r="AL14" s="1" t="str">
        <f t="shared" si="4"/>
        <v>L1M1P1</v>
      </c>
      <c r="AM14" s="56" t="str">
        <f t="shared" si="5"/>
        <v>Estudiantes formados mediante la Política de Enseñanza aprendizaje y evaluación de Lenguas Extranjeras</v>
      </c>
      <c r="AN14" s="112" t="str">
        <f ca="1">IF($G14=Lists!$R$3,"T1: "&amp;TEXT(FORMULACIÓN!L14,"00,00%")&amp;CHAR(10)&amp;"T2: "&amp;TEXT(FORMULACIÓN!M14,"00,00%")&amp;CHAR(10)&amp;"T3: "&amp;TEXT(FORMULACIÓN!N14,"00,00%")&amp;CHAR(10)&amp;"Tn: "&amp;TEXT(FORMULACIÓN!O14,"00,00%"),IF(FORMULACIÓN!Q14=0,0,"T1: "&amp;TEXT(FORMULACIÓN!L14,"##.###")&amp;CHAR(10)&amp;"T2: "&amp;TEXT(FORMULACIÓN!M14,"##.###")&amp;CHAR(10)&amp;"T3: "&amp;TEXT(FORMULACIÓN!N14,"##.###")&amp;CHAR(10)&amp;"Tn: "&amp;TEXT(FORMULACIÓN!O14,"##.###")))</f>
        <v>T1: 90
T2: 90
T3: 90
Tn: 30</v>
      </c>
      <c r="AO14" s="117">
        <f>IFERROR(IF($H14=Lists!$S$6,IF(AND(FORMULACIÓN!L14&gt;K14,K14&gt;0),1,0),IF((K14/FORMULACIÓN!L14)&lt;&gt;0,K14/FORMULACIÓN!L14,0)),"")</f>
        <v>0.88888888888888884</v>
      </c>
      <c r="AP14" s="117">
        <f>IFERROR(IF($H14=Lists!$S$6,IF(AND(FORMULACIÓN!M14&gt;L14,L14&gt;0),1,0),IF((L14/FORMULACIÓN!M14)&lt;&gt;0,L14/FORMULACIÓN!M14,0)),"")</f>
        <v>0</v>
      </c>
      <c r="AQ14" s="117">
        <f>IFERROR(IF($H14=Lists!$S$6,IF(AND(FORMULACIÓN!N14&gt;M14,M14&gt;0),1,0),IF((M14/FORMULACIÓN!N14)&lt;&gt;0,M14/FORMULACIÓN!N14,0)),"")</f>
        <v>0</v>
      </c>
      <c r="AR14" s="117">
        <f>IFERROR(IF($H14=Lists!$S$6,IF(AND(FORMULACIÓN!O14&gt;N14,N14&gt;0),1,0),IF((N14/FORMULACIÓN!O14)&lt;&gt;0,N14/FORMULACIÓN!O14,0)),"")</f>
        <v>0</v>
      </c>
      <c r="AS14" s="110"/>
      <c r="AT14" s="118" t="str">
        <f ca="1">IF($H14=Lists!$S$6,TEXT(COUNTIF('SEGUIMIENTO Y EVALUACIÓN'!K14:N14,"&lt;"&amp;FORMULACIÓN!Q14),"##.###")&amp;" / "&amp;TEXT(COUNTIF('SEGUIMIENTO Y EVALUACIÓN'!K14:N14,"&gt;"&amp;0),"##.###"),IF($G14=Lists!$R$3,TEXT('SEGUIMIENTO Y EVALUACIÓN'!O14,"00,00%")&amp;" / "&amp;TEXT(FORMULACIÓN!P14,"00,00%"),IF('SEGUIMIENTO Y EVALUACIÓN'!O14=0,0,TEXT('SEGUIMIENTO Y EVALUACIÓN'!O14,"##.###")&amp;" / "&amp;TEXT(FORMULACIÓN!P14,"##.###"))))</f>
        <v>80 / 300</v>
      </c>
      <c r="AU14" s="57">
        <f ca="1">IFERROR(IF((P14/FORMULACIÓN!Q14)&lt;&gt;0,IF($H14=Lists!$S$6,COUNTIF('SEGUIMIENTO Y EVALUACIÓN'!K14:N14,"&lt;"&amp;FORMULACIÓN!Q14),'SEGUIMIENTO Y EVALUACIÓN'!P14)/IF($H14=Lists!$S$6,COUNTIF('SEGUIMIENTO Y EVALUACIÓN'!K14:N14,"&gt;"&amp;0),FORMULACIÓN!P14),0),0)</f>
        <v>0.26666666666666666</v>
      </c>
      <c r="AV14" s="93">
        <f t="shared" ca="1" si="6"/>
        <v>8.0000000000000002E-3</v>
      </c>
      <c r="AW14" s="93" cm="1">
        <f t="array" ref="AW14">IF(INDEX(AO14:AU14,1,$AV$3)&gt;1,IF($AU$2=1,1,INDEX(AO14:AU14,1,$AV$3)),INDEX(AO14:AU14,1,$AV$3))</f>
        <v>0.88888888888888884</v>
      </c>
      <c r="AX14"/>
      <c r="AY14" s="119" t="str">
        <f>IFERROR(IF((W14/FORMULACIÓN!X14)&lt;&gt;0,W14/FORMULACIÓN!X14,0),"")</f>
        <v/>
      </c>
      <c r="AZ14" s="119" t="str">
        <f>IFERROR(IF((AA14/FORMULACIÓN!AB14)&lt;&gt;0,AA14/FORMULACIÓN!AB14,0),"")</f>
        <v/>
      </c>
      <c r="BA14" s="119" t="str">
        <f>IFERROR(IF((AE14/FORMULACIÓN!AF14)&lt;&gt;0,(AE14/FORMULACIÓN!AF14),0),"")</f>
        <v/>
      </c>
      <c r="BB14" s="119" t="str">
        <f>IFERROR(IF((AI14/FORMULACIÓN!AJ14)&lt;&gt;0,AI14/FORMULACIÓN!AJ14,0),"")</f>
        <v/>
      </c>
      <c r="BC14" s="120" t="str">
        <f>IF('SEGUIMIENTO Y EVALUACIÓN'!AI14=0,0,TEXT('SEGUIMIENTO Y EVALUACIÓN'!AI14,"$ ##.###")&amp;" / "&amp;TEXT(FORMULACIÓN!AK14,"$ ##.###"))</f>
        <v xml:space="preserve"> / $ 22.875.263.976</v>
      </c>
      <c r="BD14" s="57">
        <f>IFERROR(IF((AJ14/FORMULACIÓN!AK14)&lt;&gt;0,AJ14/FORMULACIÓN!AK14,0),0)</f>
        <v>0</v>
      </c>
      <c r="BS14" s="9"/>
      <c r="BT14" s="9"/>
      <c r="BU14" s="9"/>
      <c r="BV14" s="9"/>
      <c r="BW14" s="9"/>
      <c r="BX14" s="9"/>
      <c r="BY14" s="9"/>
      <c r="BZ14" s="9"/>
      <c r="CA14" s="9"/>
      <c r="CB14" s="9"/>
      <c r="CC14" s="10"/>
      <c r="CL14" s="7"/>
    </row>
    <row r="15" spans="1:90" s="1" customFormat="1" ht="67.5">
      <c r="A15" s="45">
        <f>IF(FORMULACIÓN!A15="","",FORMULACIÓN!A15)</f>
        <v>4</v>
      </c>
      <c r="B15" s="45" t="str">
        <f>IF(FORMULACIÓN!B15="","",FORMULACIÓN!B15)</f>
        <v>L1 - Formación Académica Integral</v>
      </c>
      <c r="C15" s="45" t="str">
        <f>IF(FORMULACIÓN!E15="","",FORMULACIÓN!E15)</f>
        <v>M1 - Internacionalización y multilingüismo.</v>
      </c>
      <c r="D15" s="45" t="str">
        <f>IF(FORMULACIÓN!F15="","",FORMULACIÓN!F15)</f>
        <v xml:space="preserve">Propender por la movilidad de al menos 400 estudiantes desde y 
hacia la Universidad del Atlántico </v>
      </c>
      <c r="E15" s="45" t="str">
        <f>IF(FORMULACIÓN!G15="","",FORMULACIÓN!G15)</f>
        <v>Movilidad estudiantil nacional entrante</v>
      </c>
      <c r="F15" s="45" t="str">
        <f>IF(FORMULACIÓN!H15="","",FORMULACIÓN!H15)</f>
        <v>N° de estudiantes nacionales entrantes a la Universidad del Atlántico</v>
      </c>
      <c r="G15" s="45" t="str">
        <f>IF(FORMULACIÓN!I15="","",FORMULACIÓN!I15)</f>
        <v>Unidad</v>
      </c>
      <c r="H15" s="45" t="str">
        <f>IF(FORMULACIÓN!J15="","",FORMULACIÓN!J15)</f>
        <v>Nuevo gestionado durante la vigencia</v>
      </c>
      <c r="I15" s="188" t="str">
        <f ca="1">IF($G15=Lists!$R$3,"PDI: "&amp;TEXT(FORMULACIÓN!Q15,"00,00%")&amp;CHAR(10)&amp;CHAR(10)&amp;"T1: "&amp;TEXT(FORMULACIÓN!L15,"00,00%")&amp;CHAR(10)&amp;"T2: "&amp;TEXT(FORMULACIÓN!M15,"00,00%")&amp;CHAR(10)&amp;"T3: "&amp;TEXT(FORMULACIÓN!N15,"00,00%")&amp;CHAR(10)&amp;"Tn: "&amp;TEXT(FORMULACIÓN!O15,"00,00%"),IF(FORMULACIÓN!Q15=0,0,"PDI: "&amp;TEXT(FORMULACIÓN!Q15,"##.###")&amp;CHAR(10)&amp;CHAR(10)&amp;"T1: "&amp;TEXT(FORMULACIÓN!L15,"##.###")&amp;CHAR(10)&amp;"T2: "&amp;TEXT(FORMULACIÓN!M15,"##.###")&amp;CHAR(10)&amp;"T3: "&amp;TEXT(FORMULACIÓN!N15,"##.###")&amp;CHAR(10)&amp;"Tn: "&amp;TEXT(FORMULACIÓN!O15,"##.###")))</f>
        <v>PDI: 100
T1: 25
T2: 25
T3: 25
Tn: 25</v>
      </c>
      <c r="J15" s="122">
        <f>IF(FORMULACIÓN!K15&lt;&gt;"",FORMULACIÓN!K15,"")</f>
        <v>0</v>
      </c>
      <c r="K15" s="310">
        <v>553</v>
      </c>
      <c r="L15" s="58"/>
      <c r="M15" s="58"/>
      <c r="N15" s="58"/>
      <c r="O15" s="47">
        <f ca="1">IFERROR(IF($H15=Lists!$S$2,SUM('SEGUIMIENTO Y EVALUACIÓN'!J15:N15),IF('SEGUIMIENTO Y EVALUACIÓN'!$H15=Lists!$S$3,SUM('SEGUIMIENTO Y EVALUACIÓN'!K15:N15),IF('SEGUIMIENTO Y EVALUACIÓN'!$H15=Lists!$S$4,AVERAGE('SEGUIMIENTO Y EVALUACIÓN'!K15:N15),IF('SEGUIMIENTO Y EVALUACIÓN'!$H15=Lists!$S$5,OFFSET(J15,0,COUNTA(K15:N15)),IF($H15=Lists!$S$6,COUNTIF(K15:N15,"&lt;"&amp;FORMULACIÓN!Q15)/COUNT('SEGUIMIENTO Y EVALUACIÓN'!K15:N15),""))))),"")</f>
        <v>553</v>
      </c>
      <c r="P15" s="51" t="str">
        <f ca="1">IF($G15=Lists!$R$3,TEXT('SEGUIMIENTO Y EVALUACIÓN'!O15,"00,00%"),IF('SEGUIMIENTO Y EVALUACIÓN'!O15=0,0,TEXT('SEGUIMIENTO Y EVALUACIÓN'!O15,"##.###")))</f>
        <v>553</v>
      </c>
      <c r="Q15" s="209" t="str">
        <f>IF(FORMULACIÓN!R15&lt;&gt;"",FORMULACIÓN!R15,"")</f>
        <v>P2 - Movilidad académica estudiantil y docente</v>
      </c>
      <c r="R15" s="209">
        <f>IF(FORMULACIÓN!S15&lt;&gt;"",FORMULACIÓN!S15,"")</f>
        <v>0.02</v>
      </c>
      <c r="S15" s="209" t="str">
        <f>IF(FORMULACIÓN!T15&lt;&gt;"",FORMULACIÓN!T15,"")</f>
        <v>Vicerrector de Docencia</v>
      </c>
      <c r="T15" s="42"/>
      <c r="U15" s="42"/>
      <c r="V15" s="42"/>
      <c r="W15" s="43" t="str">
        <f t="shared" si="0"/>
        <v/>
      </c>
      <c r="X15" s="42"/>
      <c r="Y15" s="42"/>
      <c r="Z15" s="42"/>
      <c r="AA15" s="43" t="str">
        <f t="shared" si="1"/>
        <v/>
      </c>
      <c r="AB15" s="42"/>
      <c r="AC15" s="42"/>
      <c r="AD15" s="42"/>
      <c r="AE15" s="43" t="str">
        <f t="shared" si="2"/>
        <v/>
      </c>
      <c r="AF15" s="42"/>
      <c r="AG15" s="42"/>
      <c r="AH15" s="42"/>
      <c r="AI15" s="46" t="str">
        <f t="shared" si="3"/>
        <v/>
      </c>
      <c r="AJ15" s="46" t="str">
        <f>IF(SUM(AA15,AE15,W15,AI15)=0,"",SUM((AA15,AE15,W15,AI15)))</f>
        <v/>
      </c>
      <c r="AK15"/>
      <c r="AL15" s="1" t="str">
        <f t="shared" si="4"/>
        <v>L1M1P2</v>
      </c>
      <c r="AM15" s="56" t="str">
        <f t="shared" si="5"/>
        <v>Movilidad estudiantil nacional entrante</v>
      </c>
      <c r="AN15" s="112" t="str">
        <f ca="1">IF($G15=Lists!$R$3,"T1: "&amp;TEXT(FORMULACIÓN!L15,"00,00%")&amp;CHAR(10)&amp;"T2: "&amp;TEXT(FORMULACIÓN!M15,"00,00%")&amp;CHAR(10)&amp;"T3: "&amp;TEXT(FORMULACIÓN!N15,"00,00%")&amp;CHAR(10)&amp;"Tn: "&amp;TEXT(FORMULACIÓN!O15,"00,00%"),IF(FORMULACIÓN!Q15=0,0,"T1: "&amp;TEXT(FORMULACIÓN!L15,"##.###")&amp;CHAR(10)&amp;"T2: "&amp;TEXT(FORMULACIÓN!M15,"##.###")&amp;CHAR(10)&amp;"T3: "&amp;TEXT(FORMULACIÓN!N15,"##.###")&amp;CHAR(10)&amp;"Tn: "&amp;TEXT(FORMULACIÓN!O15,"##.###")))</f>
        <v>T1: 25
T2: 25
T3: 25
Tn: 25</v>
      </c>
      <c r="AO15" s="117">
        <f>IFERROR(IF($H15=Lists!$S$6,IF(AND(FORMULACIÓN!L15&gt;K15,K15&gt;0),1,0),IF((K15/FORMULACIÓN!L15)&lt;&gt;0,K15/FORMULACIÓN!L15,0)),"")</f>
        <v>22.12</v>
      </c>
      <c r="AP15" s="117">
        <f>IFERROR(IF($H15=Lists!$S$6,IF(AND(FORMULACIÓN!M15&gt;L15,L15&gt;0),1,0),IF((L15/FORMULACIÓN!M15)&lt;&gt;0,L15/FORMULACIÓN!M15,0)),"")</f>
        <v>0</v>
      </c>
      <c r="AQ15" s="117">
        <f>IFERROR(IF($H15=Lists!$S$6,IF(AND(FORMULACIÓN!N15&gt;M15,M15&gt;0),1,0),IF((M15/FORMULACIÓN!N15)&lt;&gt;0,M15/FORMULACIÓN!N15,0)),"")</f>
        <v>0</v>
      </c>
      <c r="AR15" s="117">
        <f>IFERROR(IF($H15=Lists!$S$6,IF(AND(FORMULACIÓN!O15&gt;N15,N15&gt;0),1,0),IF((N15/FORMULACIÓN!O15)&lt;&gt;0,N15/FORMULACIÓN!O15,0)),"")</f>
        <v>0</v>
      </c>
      <c r="AS15" s="110"/>
      <c r="AT15" s="118" t="str">
        <f ca="1">IF($H15=Lists!$S$6,TEXT(COUNTIF('SEGUIMIENTO Y EVALUACIÓN'!K15:N15,"&lt;"&amp;FORMULACIÓN!Q15),"##.###")&amp;" / "&amp;TEXT(COUNTIF('SEGUIMIENTO Y EVALUACIÓN'!K15:N15,"&gt;"&amp;0),"##.###"),IF($G15=Lists!$R$3,TEXT('SEGUIMIENTO Y EVALUACIÓN'!O15,"00,00%")&amp;" / "&amp;TEXT(FORMULACIÓN!P15,"00,00%"),IF('SEGUIMIENTO Y EVALUACIÓN'!O15=0,0,TEXT('SEGUIMIENTO Y EVALUACIÓN'!O15,"##.###")&amp;" / "&amp;TEXT(FORMULACIÓN!P15,"##.###"))))</f>
        <v>553 / 100</v>
      </c>
      <c r="AU15" s="57">
        <f ca="1">IFERROR(IF((P15/FORMULACIÓN!Q15)&lt;&gt;0,IF($H15=Lists!$S$6,COUNTIF('SEGUIMIENTO Y EVALUACIÓN'!K15:N15,"&lt;"&amp;FORMULACIÓN!Q15),'SEGUIMIENTO Y EVALUACIÓN'!P15)/IF($H15=Lists!$S$6,COUNTIF('SEGUIMIENTO Y EVALUACIÓN'!K15:N15,"&gt;"&amp;0),FORMULACIÓN!P15),0),0)</f>
        <v>5.53</v>
      </c>
      <c r="AV15" s="93">
        <f t="shared" ca="1" si="6"/>
        <v>0.02</v>
      </c>
      <c r="AW15" s="93" cm="1">
        <f t="array" ref="AW15">IF(INDEX(AO15:AU15,1,$AV$3)&gt;1,IF($AU$2=1,1,INDEX(AO15:AU15,1,$AV$3)),INDEX(AO15:AU15,1,$AV$3))</f>
        <v>1</v>
      </c>
      <c r="AX15"/>
      <c r="AY15" s="119" t="str">
        <f>IFERROR(IF((W15/FORMULACIÓN!X15)&lt;&gt;0,W15/FORMULACIÓN!X15,0),"")</f>
        <v/>
      </c>
      <c r="AZ15" s="119" t="str">
        <f>IFERROR(IF((AA15/FORMULACIÓN!AB15)&lt;&gt;0,AA15/FORMULACIÓN!AB15,0),"")</f>
        <v/>
      </c>
      <c r="BA15" s="119" t="str">
        <f>IFERROR(IF((AE15/FORMULACIÓN!AF15)&lt;&gt;0,(AE15/FORMULACIÓN!AF15),0),"")</f>
        <v/>
      </c>
      <c r="BB15" s="119" t="str">
        <f>IFERROR(IF((AI15/FORMULACIÓN!AJ15)&lt;&gt;0,AI15/FORMULACIÓN!AJ15,0),"")</f>
        <v/>
      </c>
      <c r="BC15" s="120" t="str">
        <f>IF('SEGUIMIENTO Y EVALUACIÓN'!AI15=0,0,TEXT('SEGUIMIENTO Y EVALUACIÓN'!AI15,"$ ##.###")&amp;" / "&amp;TEXT(FORMULACIÓN!AK15,"$ ##.###"))</f>
        <v xml:space="preserve"> / $ 12.025.058.097</v>
      </c>
      <c r="BD15" s="57">
        <f>IFERROR(IF((AJ15/FORMULACIÓN!AK15)&lt;&gt;0,AJ15/FORMULACIÓN!AK15,0),0)</f>
        <v>0</v>
      </c>
      <c r="BS15" s="9"/>
      <c r="BT15" s="9"/>
      <c r="BU15" s="9"/>
      <c r="BV15" s="9"/>
      <c r="BW15" s="9"/>
      <c r="BX15" s="9"/>
      <c r="BY15" s="9"/>
      <c r="BZ15" s="9"/>
      <c r="CA15" s="9"/>
      <c r="CB15" s="9"/>
      <c r="CC15" s="10"/>
      <c r="CL15" s="7"/>
    </row>
    <row r="16" spans="1:90" s="1" customFormat="1" ht="67.5">
      <c r="A16" s="45">
        <f>IF(FORMULACIÓN!A16="","",FORMULACIÓN!A16)</f>
        <v>5</v>
      </c>
      <c r="B16" s="45" t="str">
        <f>IF(FORMULACIÓN!B16="","",FORMULACIÓN!B16)</f>
        <v>L1 - Formación Académica Integral</v>
      </c>
      <c r="C16" s="45" t="str">
        <f>IF(FORMULACIÓN!E16="","",FORMULACIÓN!E16)</f>
        <v>M1 - Internacionalización y multilingüismo.</v>
      </c>
      <c r="D16" s="45" t="str">
        <f>IF(FORMULACIÓN!F16="","",FORMULACIÓN!F16)</f>
        <v xml:space="preserve">Propender por la movilidad de al menos 400 estudiantes desde y 
hacia la Universidad del Atlántico </v>
      </c>
      <c r="E16" s="45" t="str">
        <f>IF(FORMULACIÓN!G16="","",FORMULACIÓN!G16)</f>
        <v>Movilidad estudiantil nacional saliente</v>
      </c>
      <c r="F16" s="45" t="str">
        <f>IF(FORMULACIÓN!H16="","",FORMULACIÓN!H16)</f>
        <v>N° de estudiantes de la Universidad del Atlántico que realizaron movilidad saliente nacional</v>
      </c>
      <c r="G16" s="45" t="str">
        <f>IF(FORMULACIÓN!I16="","",FORMULACIÓN!I16)</f>
        <v>Unidad</v>
      </c>
      <c r="H16" s="45" t="str">
        <f>IF(FORMULACIÓN!J16="","",FORMULACIÓN!J16)</f>
        <v>Nuevo gestionado durante la vigencia</v>
      </c>
      <c r="I16" s="188" t="str">
        <f ca="1">IF($G16=Lists!$R$3,"PDI: "&amp;TEXT(FORMULACIÓN!Q16,"00,00%")&amp;CHAR(10)&amp;CHAR(10)&amp;"T1: "&amp;TEXT(FORMULACIÓN!L16,"00,00%")&amp;CHAR(10)&amp;"T2: "&amp;TEXT(FORMULACIÓN!M16,"00,00%")&amp;CHAR(10)&amp;"T3: "&amp;TEXT(FORMULACIÓN!N16,"00,00%")&amp;CHAR(10)&amp;"Tn: "&amp;TEXT(FORMULACIÓN!O16,"00,00%"),IF(FORMULACIÓN!Q16=0,0,"PDI: "&amp;TEXT(FORMULACIÓN!Q16,"##.###")&amp;CHAR(10)&amp;CHAR(10)&amp;"T1: "&amp;TEXT(FORMULACIÓN!L16,"##.###")&amp;CHAR(10)&amp;"T2: "&amp;TEXT(FORMULACIÓN!M16,"##.###")&amp;CHAR(10)&amp;"T3: "&amp;TEXT(FORMULACIÓN!N16,"##.###")&amp;CHAR(10)&amp;"Tn: "&amp;TEXT(FORMULACIÓN!O16,"##.###")))</f>
        <v>PDI: 100
T1: 30
T2: 30
T3: 30
Tn: 10</v>
      </c>
      <c r="J16" s="122">
        <f>IF(FORMULACIÓN!K16&lt;&gt;"",FORMULACIÓN!K16,"")</f>
        <v>1</v>
      </c>
      <c r="K16" s="310">
        <v>5661</v>
      </c>
      <c r="L16" s="58"/>
      <c r="M16" s="58"/>
      <c r="N16" s="58"/>
      <c r="O16" s="47">
        <f ca="1">IFERROR(IF($H16=Lists!$S$2,SUM('SEGUIMIENTO Y EVALUACIÓN'!J16:N16),IF('SEGUIMIENTO Y EVALUACIÓN'!$H16=Lists!$S$3,SUM('SEGUIMIENTO Y EVALUACIÓN'!K16:N16),IF('SEGUIMIENTO Y EVALUACIÓN'!$H16=Lists!$S$4,AVERAGE('SEGUIMIENTO Y EVALUACIÓN'!K16:N16),IF('SEGUIMIENTO Y EVALUACIÓN'!$H16=Lists!$S$5,OFFSET(J16,0,COUNTA(K16:N16)),IF($H16=Lists!$S$6,COUNTIF(K16:N16,"&lt;"&amp;FORMULACIÓN!Q16)/COUNT('SEGUIMIENTO Y EVALUACIÓN'!K16:N16),""))))),"")</f>
        <v>5661</v>
      </c>
      <c r="P16" s="51" t="str">
        <f ca="1">IF($G16=Lists!$R$3,TEXT('SEGUIMIENTO Y EVALUACIÓN'!O16,"00,00%"),IF('SEGUIMIENTO Y EVALUACIÓN'!O16=0,0,TEXT('SEGUIMIENTO Y EVALUACIÓN'!O16,"##.###")))</f>
        <v>5.661</v>
      </c>
      <c r="Q16" s="209" t="str">
        <f>IF(FORMULACIÓN!R16&lt;&gt;"",FORMULACIÓN!R16,"")</f>
        <v>P2 - Movilidad académica estudiantil y docente</v>
      </c>
      <c r="R16" s="209">
        <f>IF(FORMULACIÓN!S16&lt;&gt;"",FORMULACIÓN!S16,"")</f>
        <v>0.02</v>
      </c>
      <c r="S16" s="209" t="str">
        <f>IF(FORMULACIÓN!T16&lt;&gt;"",FORMULACIÓN!T16,"")</f>
        <v>Vicerrector de Docencia</v>
      </c>
      <c r="T16" s="42"/>
      <c r="U16" s="42"/>
      <c r="V16" s="42"/>
      <c r="W16" s="43" t="str">
        <f t="shared" si="0"/>
        <v/>
      </c>
      <c r="X16" s="42"/>
      <c r="Y16" s="42"/>
      <c r="Z16" s="42"/>
      <c r="AA16" s="43" t="str">
        <f t="shared" si="1"/>
        <v/>
      </c>
      <c r="AB16" s="42"/>
      <c r="AC16" s="42"/>
      <c r="AD16" s="42"/>
      <c r="AE16" s="43" t="str">
        <f t="shared" si="2"/>
        <v/>
      </c>
      <c r="AF16" s="42"/>
      <c r="AG16" s="42"/>
      <c r="AH16" s="42"/>
      <c r="AI16" s="46" t="str">
        <f t="shared" si="3"/>
        <v/>
      </c>
      <c r="AJ16" s="46" t="str">
        <f>IF(SUM(AA16,AE16,W16,AI16)=0,"",SUM((AA16,AE16,W16,AI16)))</f>
        <v/>
      </c>
      <c r="AK16"/>
      <c r="AL16" s="1" t="str">
        <f t="shared" si="4"/>
        <v>L1M1P2</v>
      </c>
      <c r="AM16" s="56" t="str">
        <f t="shared" si="5"/>
        <v>Movilidad estudiantil nacional saliente</v>
      </c>
      <c r="AN16" s="112" t="str">
        <f ca="1">IF($G16=Lists!$R$3,"T1: "&amp;TEXT(FORMULACIÓN!L16,"00,00%")&amp;CHAR(10)&amp;"T2: "&amp;TEXT(FORMULACIÓN!M16,"00,00%")&amp;CHAR(10)&amp;"T3: "&amp;TEXT(FORMULACIÓN!N16,"00,00%")&amp;CHAR(10)&amp;"Tn: "&amp;TEXT(FORMULACIÓN!O16,"00,00%"),IF(FORMULACIÓN!Q16=0,0,"T1: "&amp;TEXT(FORMULACIÓN!L16,"##.###")&amp;CHAR(10)&amp;"T2: "&amp;TEXT(FORMULACIÓN!M16,"##.###")&amp;CHAR(10)&amp;"T3: "&amp;TEXT(FORMULACIÓN!N16,"##.###")&amp;CHAR(10)&amp;"Tn: "&amp;TEXT(FORMULACIÓN!O16,"##.###")))</f>
        <v>T1: 30
T2: 30
T3: 30
Tn: 10</v>
      </c>
      <c r="AO16" s="117">
        <f>IFERROR(IF($H16=Lists!$S$6,IF(AND(FORMULACIÓN!L16&gt;K16,K16&gt;0),1,0),IF((K16/FORMULACIÓN!L16)&lt;&gt;0,K16/FORMULACIÓN!L16,0)),"")</f>
        <v>188.7</v>
      </c>
      <c r="AP16" s="117">
        <f>IFERROR(IF($H16=Lists!$S$6,IF(AND(FORMULACIÓN!M16&gt;L16,L16&gt;0),1,0),IF((L16/FORMULACIÓN!M16)&lt;&gt;0,L16/FORMULACIÓN!M16,0)),"")</f>
        <v>0</v>
      </c>
      <c r="AQ16" s="117">
        <f>IFERROR(IF($H16=Lists!$S$6,IF(AND(FORMULACIÓN!N16&gt;M16,M16&gt;0),1,0),IF((M16/FORMULACIÓN!N16)&lt;&gt;0,M16/FORMULACIÓN!N16,0)),"")</f>
        <v>0</v>
      </c>
      <c r="AR16" s="117">
        <f>IFERROR(IF($H16=Lists!$S$6,IF(AND(FORMULACIÓN!O16&gt;N16,N16&gt;0),1,0),IF((N16/FORMULACIÓN!O16)&lt;&gt;0,N16/FORMULACIÓN!O16,0)),"")</f>
        <v>0</v>
      </c>
      <c r="AS16" s="110"/>
      <c r="AT16" s="118" t="str">
        <f ca="1">IF($H16=Lists!$S$6,TEXT(COUNTIF('SEGUIMIENTO Y EVALUACIÓN'!K16:N16,"&lt;"&amp;FORMULACIÓN!Q16),"##.###")&amp;" / "&amp;TEXT(COUNTIF('SEGUIMIENTO Y EVALUACIÓN'!K16:N16,"&gt;"&amp;0),"##.###"),IF($G16=Lists!$R$3,TEXT('SEGUIMIENTO Y EVALUACIÓN'!O16,"00,00%")&amp;" / "&amp;TEXT(FORMULACIÓN!P16,"00,00%"),IF('SEGUIMIENTO Y EVALUACIÓN'!O16=0,0,TEXT('SEGUIMIENTO Y EVALUACIÓN'!O16,"##.###")&amp;" / "&amp;TEXT(FORMULACIÓN!P16,"##.###"))))</f>
        <v>5.661 / 100</v>
      </c>
      <c r="AU16" s="57">
        <f ca="1">IFERROR(IF((P16/FORMULACIÓN!Q16)&lt;&gt;0,IF($H16=Lists!$S$6,COUNTIF('SEGUIMIENTO Y EVALUACIÓN'!K16:N16,"&lt;"&amp;FORMULACIÓN!Q16),'SEGUIMIENTO Y EVALUACIÓN'!P16)/IF($H16=Lists!$S$6,COUNTIF('SEGUIMIENTO Y EVALUACIÓN'!K16:N16,"&gt;"&amp;0),FORMULACIÓN!P16),0),0)</f>
        <v>56.61</v>
      </c>
      <c r="AV16" s="93">
        <f t="shared" ca="1" si="6"/>
        <v>0.02</v>
      </c>
      <c r="AW16" s="93" cm="1">
        <f t="array" ref="AW16">IF(INDEX(AO16:AU16,1,$AV$3)&gt;1,IF($AU$2=1,1,INDEX(AO16:AU16,1,$AV$3)),INDEX(AO16:AU16,1,$AV$3))</f>
        <v>1</v>
      </c>
      <c r="AX16"/>
      <c r="AY16" s="119" t="str">
        <f>IFERROR(IF((W16/FORMULACIÓN!X16)&lt;&gt;0,W16/FORMULACIÓN!X16,0),"")</f>
        <v/>
      </c>
      <c r="AZ16" s="119" t="str">
        <f>IFERROR(IF((AA16/FORMULACIÓN!AB16)&lt;&gt;0,AA16/FORMULACIÓN!AB16,0),"")</f>
        <v/>
      </c>
      <c r="BA16" s="119" t="str">
        <f>IFERROR(IF((AE16/FORMULACIÓN!AF16)&lt;&gt;0,(AE16/FORMULACIÓN!AF16),0),"")</f>
        <v/>
      </c>
      <c r="BB16" s="119" t="str">
        <f>IFERROR(IF((AI16/FORMULACIÓN!AJ16)&lt;&gt;0,AI16/FORMULACIÓN!AJ16,0),"")</f>
        <v/>
      </c>
      <c r="BC16" s="120" t="str">
        <f>IF('SEGUIMIENTO Y EVALUACIÓN'!AI16=0,0,TEXT('SEGUIMIENTO Y EVALUACIÓN'!AI16,"$ ##.###")&amp;" / "&amp;TEXT(FORMULACIÓN!AK16,"$ ##.###"))</f>
        <v xml:space="preserve"> / $ 16.702.400.268</v>
      </c>
      <c r="BD16" s="57">
        <f>IFERROR(IF((AJ16/FORMULACIÓN!AK16)&lt;&gt;0,AJ16/FORMULACIÓN!AK16,0),0)</f>
        <v>0</v>
      </c>
      <c r="BS16" s="9"/>
      <c r="BT16" s="9"/>
      <c r="BU16" s="9"/>
      <c r="BV16" s="9"/>
      <c r="BW16" s="9"/>
      <c r="BX16" s="9"/>
      <c r="BY16" s="9"/>
      <c r="BZ16" s="9"/>
      <c r="CA16" s="9"/>
      <c r="CB16" s="9"/>
      <c r="CC16" s="18"/>
      <c r="CL16" s="7"/>
    </row>
    <row r="17" spans="1:90" s="1" customFormat="1" ht="67.5">
      <c r="A17" s="45">
        <f>IF(FORMULACIÓN!A17="","",FORMULACIÓN!A17)</f>
        <v>6</v>
      </c>
      <c r="B17" s="45" t="str">
        <f>IF(FORMULACIÓN!B17="","",FORMULACIÓN!B17)</f>
        <v>L1 - Formación Académica Integral</v>
      </c>
      <c r="C17" s="45" t="str">
        <f>IF(FORMULACIÓN!E17="","",FORMULACIÓN!E17)</f>
        <v>M1 - Internacionalización y multilingüismo.</v>
      </c>
      <c r="D17" s="45" t="str">
        <f>IF(FORMULACIÓN!F17="","",FORMULACIÓN!F17)</f>
        <v xml:space="preserve">Propender por la movilidad de al menos 400 estudiantes desde y 
hacia la Universidad del Atlántico </v>
      </c>
      <c r="E17" s="45" t="str">
        <f>IF(FORMULACIÓN!G17="","",FORMULACIÓN!G17)</f>
        <v>Movilidad estudiantil internacional entrante</v>
      </c>
      <c r="F17" s="45" t="str">
        <f>IF(FORMULACIÓN!H17="","",FORMULACIÓN!H17)</f>
        <v>N° de estudiantes extranjeros que realizaron movilidad a la Universidad del Atlántico</v>
      </c>
      <c r="G17" s="45" t="str">
        <f>IF(FORMULACIÓN!I17="","",FORMULACIÓN!I17)</f>
        <v>Unidad</v>
      </c>
      <c r="H17" s="45" t="str">
        <f>IF(FORMULACIÓN!J17="","",FORMULACIÓN!J17)</f>
        <v>Nuevo gestionado durante la vigencia</v>
      </c>
      <c r="I17" s="188" t="str">
        <f ca="1">IF($G17=Lists!$R$3,"PDI: "&amp;TEXT(FORMULACIÓN!Q17,"00,00%")&amp;CHAR(10)&amp;CHAR(10)&amp;"T1: "&amp;TEXT(FORMULACIÓN!L17,"00,00%")&amp;CHAR(10)&amp;"T2: "&amp;TEXT(FORMULACIÓN!M17,"00,00%")&amp;CHAR(10)&amp;"T3: "&amp;TEXT(FORMULACIÓN!N17,"00,00%")&amp;CHAR(10)&amp;"Tn: "&amp;TEXT(FORMULACIÓN!O17,"00,00%"),IF(FORMULACIÓN!Q17=0,0,"PDI: "&amp;TEXT(FORMULACIÓN!Q17,"##.###")&amp;CHAR(10)&amp;CHAR(10)&amp;"T1: "&amp;TEXT(FORMULACIÓN!L17,"##.###")&amp;CHAR(10)&amp;"T2: "&amp;TEXT(FORMULACIÓN!M17,"##.###")&amp;CHAR(10)&amp;"T3: "&amp;TEXT(FORMULACIÓN!N17,"##.###")&amp;CHAR(10)&amp;"Tn: "&amp;TEXT(FORMULACIÓN!O17,"##.###")))</f>
        <v>PDI: 100
T1: 25
T2: 25
T3: 25
Tn: 25</v>
      </c>
      <c r="J17" s="122">
        <f>IF(FORMULACIÓN!K17&lt;&gt;"",FORMULACIÓN!K17,"")</f>
        <v>9</v>
      </c>
      <c r="K17" s="310">
        <v>90</v>
      </c>
      <c r="L17" s="58"/>
      <c r="M17" s="58"/>
      <c r="N17" s="58"/>
      <c r="O17" s="47">
        <f ca="1">IFERROR(IF($H17=Lists!$S$2,SUM('SEGUIMIENTO Y EVALUACIÓN'!J17:N17),IF('SEGUIMIENTO Y EVALUACIÓN'!$H17=Lists!$S$3,SUM('SEGUIMIENTO Y EVALUACIÓN'!K17:N17),IF('SEGUIMIENTO Y EVALUACIÓN'!$H17=Lists!$S$4,AVERAGE('SEGUIMIENTO Y EVALUACIÓN'!K17:N17),IF('SEGUIMIENTO Y EVALUACIÓN'!$H17=Lists!$S$5,OFFSET(J17,0,COUNTA(K17:N17)),IF($H17=Lists!$S$6,COUNTIF(K17:N17,"&lt;"&amp;FORMULACIÓN!Q17)/COUNT('SEGUIMIENTO Y EVALUACIÓN'!K17:N17),""))))),"")</f>
        <v>90</v>
      </c>
      <c r="P17" s="51" t="str">
        <f ca="1">IF($G17=Lists!$R$3,TEXT('SEGUIMIENTO Y EVALUACIÓN'!O17,"00,00%"),IF('SEGUIMIENTO Y EVALUACIÓN'!O17=0,0,TEXT('SEGUIMIENTO Y EVALUACIÓN'!O17,"##.###")))</f>
        <v>90</v>
      </c>
      <c r="Q17" s="209" t="str">
        <f>IF(FORMULACIÓN!R17&lt;&gt;"",FORMULACIÓN!R17,"")</f>
        <v>P2 - Movilidad académica estudiantil y docente</v>
      </c>
      <c r="R17" s="209">
        <f>IF(FORMULACIÓN!S17&lt;&gt;"",FORMULACIÓN!S17,"")</f>
        <v>0.02</v>
      </c>
      <c r="S17" s="209" t="str">
        <f>IF(FORMULACIÓN!T17&lt;&gt;"",FORMULACIÓN!T17,"")</f>
        <v>Vicerrector de Docencia</v>
      </c>
      <c r="T17" s="42"/>
      <c r="U17" s="42"/>
      <c r="V17" s="42"/>
      <c r="W17" s="43" t="str">
        <f t="shared" si="0"/>
        <v/>
      </c>
      <c r="X17" s="42"/>
      <c r="Y17" s="42"/>
      <c r="Z17" s="42"/>
      <c r="AA17" s="43" t="str">
        <f t="shared" si="1"/>
        <v/>
      </c>
      <c r="AB17" s="42"/>
      <c r="AC17" s="42"/>
      <c r="AD17" s="42"/>
      <c r="AE17" s="43" t="str">
        <f t="shared" si="2"/>
        <v/>
      </c>
      <c r="AF17" s="42"/>
      <c r="AG17" s="42"/>
      <c r="AH17" s="42"/>
      <c r="AI17" s="46" t="str">
        <f t="shared" si="3"/>
        <v/>
      </c>
      <c r="AJ17" s="46" t="str">
        <f>IF(SUM(AA17,AE17,W17,AI17)=0,"",SUM((AA17,AE17,W17,AI17)))</f>
        <v/>
      </c>
      <c r="AK17"/>
      <c r="AL17" s="1" t="str">
        <f t="shared" si="4"/>
        <v>L1M1P2</v>
      </c>
      <c r="AM17" s="56" t="str">
        <f t="shared" si="5"/>
        <v>Movilidad estudiantil internacional entrante</v>
      </c>
      <c r="AN17" s="112" t="str">
        <f ca="1">IF($G17=Lists!$R$3,"T1: "&amp;TEXT(FORMULACIÓN!L17,"00,00%")&amp;CHAR(10)&amp;"T2: "&amp;TEXT(FORMULACIÓN!M17,"00,00%")&amp;CHAR(10)&amp;"T3: "&amp;TEXT(FORMULACIÓN!N17,"00,00%")&amp;CHAR(10)&amp;"Tn: "&amp;TEXT(FORMULACIÓN!O17,"00,00%"),IF(FORMULACIÓN!Q17=0,0,"T1: "&amp;TEXT(FORMULACIÓN!L17,"##.###")&amp;CHAR(10)&amp;"T2: "&amp;TEXT(FORMULACIÓN!M17,"##.###")&amp;CHAR(10)&amp;"T3: "&amp;TEXT(FORMULACIÓN!N17,"##.###")&amp;CHAR(10)&amp;"Tn: "&amp;TEXT(FORMULACIÓN!O17,"##.###")))</f>
        <v>T1: 25
T2: 25
T3: 25
Tn: 25</v>
      </c>
      <c r="AO17" s="117">
        <f>IFERROR(IF($H17=Lists!$S$6,IF(AND(FORMULACIÓN!L17&gt;K17,K17&gt;0),1,0),IF((K17/FORMULACIÓN!L17)&lt;&gt;0,K17/FORMULACIÓN!L17,0)),"")</f>
        <v>3.6</v>
      </c>
      <c r="AP17" s="117">
        <f>IFERROR(IF($H17=Lists!$S$6,IF(AND(FORMULACIÓN!M17&gt;L17,L17&gt;0),1,0),IF((L17/FORMULACIÓN!M17)&lt;&gt;0,L17/FORMULACIÓN!M17,0)),"")</f>
        <v>0</v>
      </c>
      <c r="AQ17" s="117">
        <f>IFERROR(IF($H17=Lists!$S$6,IF(AND(FORMULACIÓN!N17&gt;M17,M17&gt;0),1,0),IF((M17/FORMULACIÓN!N17)&lt;&gt;0,M17/FORMULACIÓN!N17,0)),"")</f>
        <v>0</v>
      </c>
      <c r="AR17" s="117">
        <f>IFERROR(IF($H17=Lists!$S$6,IF(AND(FORMULACIÓN!O17&gt;N17,N17&gt;0),1,0),IF((N17/FORMULACIÓN!O17)&lt;&gt;0,N17/FORMULACIÓN!O17,0)),"")</f>
        <v>0</v>
      </c>
      <c r="AS17" s="110"/>
      <c r="AT17" s="118" t="str">
        <f ca="1">IF($H17=Lists!$S$6,TEXT(COUNTIF('SEGUIMIENTO Y EVALUACIÓN'!K17:N17,"&lt;"&amp;FORMULACIÓN!Q17),"##.###")&amp;" / "&amp;TEXT(COUNTIF('SEGUIMIENTO Y EVALUACIÓN'!K17:N17,"&gt;"&amp;0),"##.###"),IF($G17=Lists!$R$3,TEXT('SEGUIMIENTO Y EVALUACIÓN'!O17,"00,00%")&amp;" / "&amp;TEXT(FORMULACIÓN!P17,"00,00%"),IF('SEGUIMIENTO Y EVALUACIÓN'!O17=0,0,TEXT('SEGUIMIENTO Y EVALUACIÓN'!O17,"##.###")&amp;" / "&amp;TEXT(FORMULACIÓN!P17,"##.###"))))</f>
        <v>90 / 100</v>
      </c>
      <c r="AU17" s="57">
        <f ca="1">IFERROR(IF((P17/FORMULACIÓN!Q17)&lt;&gt;0,IF($H17=Lists!$S$6,COUNTIF('SEGUIMIENTO Y EVALUACIÓN'!K17:N17,"&lt;"&amp;FORMULACIÓN!Q17),'SEGUIMIENTO Y EVALUACIÓN'!P17)/IF($H17=Lists!$S$6,COUNTIF('SEGUIMIENTO Y EVALUACIÓN'!K17:N17,"&gt;"&amp;0),FORMULACIÓN!P17),0),0)</f>
        <v>0.9</v>
      </c>
      <c r="AV17" s="93">
        <f t="shared" ca="1" si="6"/>
        <v>1.8000000000000002E-2</v>
      </c>
      <c r="AW17" s="93" cm="1">
        <f t="array" ref="AW17">IF(INDEX(AO17:AU17,1,$AV$3)&gt;1,IF($AU$2=1,1,INDEX(AO17:AU17,1,$AV$3)),INDEX(AO17:AU17,1,$AV$3))</f>
        <v>1</v>
      </c>
      <c r="AX17"/>
      <c r="AY17" s="119" t="str">
        <f>IFERROR(IF((W17/FORMULACIÓN!X17)&lt;&gt;0,W17/FORMULACIÓN!X17,0),"")</f>
        <v/>
      </c>
      <c r="AZ17" s="119" t="str">
        <f>IFERROR(IF((AA17/FORMULACIÓN!AB17)&lt;&gt;0,AA17/FORMULACIÓN!AB17,0),"")</f>
        <v/>
      </c>
      <c r="BA17" s="119" t="str">
        <f>IFERROR(IF((AE17/FORMULACIÓN!AF17)&lt;&gt;0,(AE17/FORMULACIÓN!AF17),0),"")</f>
        <v/>
      </c>
      <c r="BB17" s="119" t="str">
        <f>IFERROR(IF((AI17/FORMULACIÓN!AJ17)&lt;&gt;0,AI17/FORMULACIÓN!AJ17,0),"")</f>
        <v/>
      </c>
      <c r="BC17" s="120" t="str">
        <f>IF('SEGUIMIENTO Y EVALUACIÓN'!AI17=0,0,TEXT('SEGUIMIENTO Y EVALUACIÓN'!AI17,"$ ##.###")&amp;" / "&amp;TEXT(FORMULACIÓN!AK17,"$ ##.###"))</f>
        <v xml:space="preserve"> / $ 12.025.058.097</v>
      </c>
      <c r="BD17" s="57">
        <f>IFERROR(IF((AJ17/FORMULACIÓN!AK17)&lt;&gt;0,AJ17/FORMULACIÓN!AK17,0),0)</f>
        <v>0</v>
      </c>
      <c r="BG17"/>
      <c r="BH17"/>
      <c r="BI17"/>
      <c r="BJ17"/>
      <c r="BK17"/>
      <c r="BL17"/>
      <c r="BM17"/>
      <c r="BN17"/>
      <c r="BO17"/>
      <c r="BS17" s="9"/>
      <c r="BT17" s="9"/>
      <c r="BU17" s="9"/>
      <c r="BV17" s="9"/>
      <c r="BW17" s="9"/>
      <c r="BX17" s="9"/>
      <c r="BY17" s="9"/>
      <c r="BZ17" s="9"/>
      <c r="CA17" s="9"/>
      <c r="CB17" s="9"/>
      <c r="CC17" s="10"/>
      <c r="CL17" s="7"/>
    </row>
    <row r="18" spans="1:90" s="1" customFormat="1" ht="67.5">
      <c r="A18" s="45">
        <f>IF(FORMULACIÓN!A18="","",FORMULACIÓN!A18)</f>
        <v>7</v>
      </c>
      <c r="B18" s="45" t="str">
        <f>IF(FORMULACIÓN!B18="","",FORMULACIÓN!B18)</f>
        <v>L1 - Formación Académica Integral</v>
      </c>
      <c r="C18" s="45" t="str">
        <f>IF(FORMULACIÓN!E18="","",FORMULACIÓN!E18)</f>
        <v>M1 - Internacionalización y multilingüismo.</v>
      </c>
      <c r="D18" s="45" t="str">
        <f>IF(FORMULACIÓN!F18="","",FORMULACIÓN!F18)</f>
        <v xml:space="preserve">Propender por la movilidad de al menos 400 estudiantes desde y 
hacia la Universidad del Atlántico </v>
      </c>
      <c r="E18" s="45" t="str">
        <f>IF(FORMULACIÓN!G18="","",FORMULACIÓN!G18)</f>
        <v>Movilidad estudiantil internacional saliente</v>
      </c>
      <c r="F18" s="45" t="str">
        <f>IF(FORMULACIÓN!H18="","",FORMULACIÓN!H18)</f>
        <v>N° de estudiantes de la Universidad del Atlántico que realizaron movilidad saliente internacional</v>
      </c>
      <c r="G18" s="45" t="str">
        <f>IF(FORMULACIÓN!I18="","",FORMULACIÓN!I18)</f>
        <v>Unidad</v>
      </c>
      <c r="H18" s="45" t="str">
        <f>IF(FORMULACIÓN!J18="","",FORMULACIÓN!J18)</f>
        <v>Nuevo gestionado durante la vigencia</v>
      </c>
      <c r="I18" s="188" t="str">
        <f ca="1">IF($G18=Lists!$R$3,"PDI: "&amp;TEXT(FORMULACIÓN!Q18,"00,00%")&amp;CHAR(10)&amp;CHAR(10)&amp;"T1: "&amp;TEXT(FORMULACIÓN!L18,"00,00%")&amp;CHAR(10)&amp;"T2: "&amp;TEXT(FORMULACIÓN!M18,"00,00%")&amp;CHAR(10)&amp;"T3: "&amp;TEXT(FORMULACIÓN!N18,"00,00%")&amp;CHAR(10)&amp;"Tn: "&amp;TEXT(FORMULACIÓN!O18,"00,00%"),IF(FORMULACIÓN!Q18=0,0,"PDI: "&amp;TEXT(FORMULACIÓN!Q18,"##.###")&amp;CHAR(10)&amp;CHAR(10)&amp;"T1: "&amp;TEXT(FORMULACIÓN!L18,"##.###")&amp;CHAR(10)&amp;"T2: "&amp;TEXT(FORMULACIÓN!M18,"##.###")&amp;CHAR(10)&amp;"T3: "&amp;TEXT(FORMULACIÓN!N18,"##.###")&amp;CHAR(10)&amp;"Tn: "&amp;TEXT(FORMULACIÓN!O18,"##.###")))</f>
        <v>PDI: 100
T1: 30
T2: 30
T3: 30
Tn: 10</v>
      </c>
      <c r="J18" s="122">
        <f>IF(FORMULACIÓN!K18&lt;&gt;"",FORMULACIÓN!K18,"")</f>
        <v>28</v>
      </c>
      <c r="K18" s="310">
        <v>175</v>
      </c>
      <c r="L18" s="58"/>
      <c r="M18" s="58"/>
      <c r="N18" s="58"/>
      <c r="O18" s="47">
        <f ca="1">IFERROR(IF($H18=Lists!$S$2,SUM('SEGUIMIENTO Y EVALUACIÓN'!J18:N18),IF('SEGUIMIENTO Y EVALUACIÓN'!$H18=Lists!$S$3,SUM('SEGUIMIENTO Y EVALUACIÓN'!K18:N18),IF('SEGUIMIENTO Y EVALUACIÓN'!$H18=Lists!$S$4,AVERAGE('SEGUIMIENTO Y EVALUACIÓN'!K18:N18),IF('SEGUIMIENTO Y EVALUACIÓN'!$H18=Lists!$S$5,OFFSET(J18,0,COUNTA(K18:N18)),IF($H18=Lists!$S$6,COUNTIF(K18:N18,"&lt;"&amp;FORMULACIÓN!Q18)/COUNT('SEGUIMIENTO Y EVALUACIÓN'!K18:N18),""))))),"")</f>
        <v>175</v>
      </c>
      <c r="P18" s="51" t="str">
        <f ca="1">IF($G18=Lists!$R$3,TEXT('SEGUIMIENTO Y EVALUACIÓN'!O18,"00,00%"),IF('SEGUIMIENTO Y EVALUACIÓN'!O18=0,0,TEXT('SEGUIMIENTO Y EVALUACIÓN'!O18,"##.###")))</f>
        <v>175</v>
      </c>
      <c r="Q18" s="209" t="str">
        <f>IF(FORMULACIÓN!R18&lt;&gt;"",FORMULACIÓN!R18,"")</f>
        <v>P2 - Movilidad académica estudiantil y docente</v>
      </c>
      <c r="R18" s="209">
        <f>IF(FORMULACIÓN!S18&lt;&gt;"",FORMULACIÓN!S18,"")</f>
        <v>0.02</v>
      </c>
      <c r="S18" s="209" t="str">
        <f>IF(FORMULACIÓN!T18&lt;&gt;"",FORMULACIÓN!T18,"")</f>
        <v>Vicerrector de Docencia</v>
      </c>
      <c r="T18" s="42"/>
      <c r="U18" s="42"/>
      <c r="V18" s="42"/>
      <c r="W18" s="43" t="str">
        <f t="shared" si="0"/>
        <v/>
      </c>
      <c r="X18" s="42"/>
      <c r="Y18" s="42"/>
      <c r="Z18" s="42"/>
      <c r="AA18" s="43" t="str">
        <f t="shared" si="1"/>
        <v/>
      </c>
      <c r="AB18" s="42"/>
      <c r="AC18" s="42"/>
      <c r="AD18" s="42"/>
      <c r="AE18" s="43" t="str">
        <f t="shared" si="2"/>
        <v/>
      </c>
      <c r="AF18" s="42"/>
      <c r="AG18" s="42"/>
      <c r="AH18" s="42"/>
      <c r="AI18" s="46" t="str">
        <f t="shared" si="3"/>
        <v/>
      </c>
      <c r="AJ18" s="46" t="str">
        <f>IF(SUM(AA18,AE18,W18,AI18)=0,"",SUM((AA18,AE18,W18,AI18)))</f>
        <v/>
      </c>
      <c r="AK18"/>
      <c r="AL18" s="1" t="str">
        <f t="shared" si="4"/>
        <v>L1M1P2</v>
      </c>
      <c r="AM18" s="56" t="str">
        <f t="shared" si="5"/>
        <v>Movilidad estudiantil internacional saliente</v>
      </c>
      <c r="AN18" s="112" t="str">
        <f ca="1">IF($G18=Lists!$R$3,"T1: "&amp;TEXT(FORMULACIÓN!L18,"00,00%")&amp;CHAR(10)&amp;"T2: "&amp;TEXT(FORMULACIÓN!M18,"00,00%")&amp;CHAR(10)&amp;"T3: "&amp;TEXT(FORMULACIÓN!N18,"00,00%")&amp;CHAR(10)&amp;"Tn: "&amp;TEXT(FORMULACIÓN!O18,"00,00%"),IF(FORMULACIÓN!Q18=0,0,"T1: "&amp;TEXT(FORMULACIÓN!L18,"##.###")&amp;CHAR(10)&amp;"T2: "&amp;TEXT(FORMULACIÓN!M18,"##.###")&amp;CHAR(10)&amp;"T3: "&amp;TEXT(FORMULACIÓN!N18,"##.###")&amp;CHAR(10)&amp;"Tn: "&amp;TEXT(FORMULACIÓN!O18,"##.###")))</f>
        <v>T1: 30
T2: 30
T3: 30
Tn: 10</v>
      </c>
      <c r="AO18" s="117">
        <f>IFERROR(IF($H18=Lists!$S$6,IF(AND(FORMULACIÓN!L18&gt;K18,K18&gt;0),1,0),IF((K18/FORMULACIÓN!L18)&lt;&gt;0,K18/FORMULACIÓN!L18,0)),"")</f>
        <v>5.833333333333333</v>
      </c>
      <c r="AP18" s="117">
        <f>IFERROR(IF($H18=Lists!$S$6,IF(AND(FORMULACIÓN!M18&gt;L18,L18&gt;0),1,0),IF((L18/FORMULACIÓN!M18)&lt;&gt;0,L18/FORMULACIÓN!M18,0)),"")</f>
        <v>0</v>
      </c>
      <c r="AQ18" s="117">
        <f>IFERROR(IF($H18=Lists!$S$6,IF(AND(FORMULACIÓN!N18&gt;M18,M18&gt;0),1,0),IF((M18/FORMULACIÓN!N18)&lt;&gt;0,M18/FORMULACIÓN!N18,0)),"")</f>
        <v>0</v>
      </c>
      <c r="AR18" s="117">
        <f>IFERROR(IF($H18=Lists!$S$6,IF(AND(FORMULACIÓN!O18&gt;N18,N18&gt;0),1,0),IF((N18/FORMULACIÓN!O18)&lt;&gt;0,N18/FORMULACIÓN!O18,0)),"")</f>
        <v>0</v>
      </c>
      <c r="AS18" s="110"/>
      <c r="AT18" s="118" t="str">
        <f ca="1">IF($H18=Lists!$S$6,TEXT(COUNTIF('SEGUIMIENTO Y EVALUACIÓN'!K18:N18,"&lt;"&amp;FORMULACIÓN!Q18),"##.###")&amp;" / "&amp;TEXT(COUNTIF('SEGUIMIENTO Y EVALUACIÓN'!K18:N18,"&gt;"&amp;0),"##.###"),IF($G18=Lists!$R$3,TEXT('SEGUIMIENTO Y EVALUACIÓN'!O18,"00,00%")&amp;" / "&amp;TEXT(FORMULACIÓN!P18,"00,00%"),IF('SEGUIMIENTO Y EVALUACIÓN'!O18=0,0,TEXT('SEGUIMIENTO Y EVALUACIÓN'!O18,"##.###")&amp;" / "&amp;TEXT(FORMULACIÓN!P18,"##.###"))))</f>
        <v>175 / 100</v>
      </c>
      <c r="AU18" s="57">
        <f ca="1">IFERROR(IF((P18/FORMULACIÓN!Q18)&lt;&gt;0,IF($H18=Lists!$S$6,COUNTIF('SEGUIMIENTO Y EVALUACIÓN'!K18:N18,"&lt;"&amp;FORMULACIÓN!Q18),'SEGUIMIENTO Y EVALUACIÓN'!P18)/IF($H18=Lists!$S$6,COUNTIF('SEGUIMIENTO Y EVALUACIÓN'!K18:N18,"&gt;"&amp;0),FORMULACIÓN!P18),0),0)</f>
        <v>1.75</v>
      </c>
      <c r="AV18" s="93">
        <f t="shared" ca="1" si="6"/>
        <v>0.02</v>
      </c>
      <c r="AW18" s="93" cm="1">
        <f t="array" ref="AW18">IF(INDEX(AO18:AU18,1,$AV$3)&gt;1,IF($AU$2=1,1,INDEX(AO18:AU18,1,$AV$3)),INDEX(AO18:AU18,1,$AV$3))</f>
        <v>1</v>
      </c>
      <c r="AX18"/>
      <c r="AY18" s="119" t="str">
        <f>IFERROR(IF((W18/FORMULACIÓN!X18)&lt;&gt;0,W18/FORMULACIÓN!X18,0),"")</f>
        <v/>
      </c>
      <c r="AZ18" s="119" t="str">
        <f>IFERROR(IF((AA18/FORMULACIÓN!AB18)&lt;&gt;0,AA18/FORMULACIÓN!AB18,0),"")</f>
        <v/>
      </c>
      <c r="BA18" s="119" t="str">
        <f>IFERROR(IF((AE18/FORMULACIÓN!AF18)&lt;&gt;0,(AE18/FORMULACIÓN!AF18),0),"")</f>
        <v/>
      </c>
      <c r="BB18" s="119" t="str">
        <f>IFERROR(IF((AI18/FORMULACIÓN!AJ18)&lt;&gt;0,AI18/FORMULACIÓN!AJ18,0),"")</f>
        <v/>
      </c>
      <c r="BC18" s="120" t="str">
        <f>IF('SEGUIMIENTO Y EVALUACIÓN'!AI18=0,0,TEXT('SEGUIMIENTO Y EVALUACIÓN'!AI18,"$ ##.###")&amp;" / "&amp;TEXT(FORMULACIÓN!AK18,"$ ##.###"))</f>
        <v xml:space="preserve"> / $ 17.326.045.891</v>
      </c>
      <c r="BD18" s="57">
        <f>IFERROR(IF((AJ18/FORMULACIÓN!AK18)&lt;&gt;0,AJ18/FORMULACIÓN!AK18,0),0)</f>
        <v>0</v>
      </c>
      <c r="BG18"/>
      <c r="BH18"/>
      <c r="BI18"/>
      <c r="BJ18"/>
      <c r="BK18"/>
      <c r="BL18"/>
      <c r="BM18"/>
      <c r="BN18"/>
      <c r="BO18"/>
      <c r="BS18" s="9"/>
      <c r="BT18" s="9"/>
      <c r="BU18" s="9"/>
      <c r="BV18" s="9"/>
      <c r="BW18" s="9"/>
      <c r="BX18" s="9"/>
      <c r="BY18" s="9"/>
      <c r="BZ18" s="9"/>
      <c r="CA18" s="9"/>
      <c r="CB18" s="9"/>
      <c r="CC18" s="10"/>
      <c r="CL18" s="7"/>
    </row>
    <row r="19" spans="1:90" s="1" customFormat="1" ht="83.25" customHeight="1">
      <c r="A19" s="45">
        <f>IF(FORMULACIÓN!A19="","",FORMULACIÓN!A19)</f>
        <v>8</v>
      </c>
      <c r="B19" s="45" t="str">
        <f>IF(FORMULACIÓN!B19="","",FORMULACIÓN!B19)</f>
        <v>L1 - Formación Académica Integral</v>
      </c>
      <c r="C19" s="45" t="str">
        <f>IF(FORMULACIÓN!E19="","",FORMULACIÓN!E19)</f>
        <v>M1 - Internacionalización y multilingüismo.</v>
      </c>
      <c r="D19" s="45" t="str">
        <f>IF(FORMULACIÓN!F19="","",FORMULACIÓN!F19)</f>
        <v>Fortalecer la movilidad docente, desde las funciones sustantivas de docencia, extensión, proyección social e internacionalización, con un mínimo de 250 registros de movilidad saliente internacional y 200 de movilidad saliente nacional</v>
      </c>
      <c r="E19" s="45" t="str">
        <f>IF(FORMULACIÓN!G19="","",FORMULACIÓN!G19)</f>
        <v>Movilidad docente internacional saliente, desde las funciones sustantivas docencia, extensión, proyección social e internacionalización</v>
      </c>
      <c r="F19" s="45" t="str">
        <f>IF(FORMULACIÓN!H19="","",FORMULACIÓN!H19)</f>
        <v>N° de docentes que realizaron movilidad saliente internacional, desde las funciones sustantivas docencia, extensión, proyección social e internacionalización</v>
      </c>
      <c r="G19" s="45" t="str">
        <f>IF(FORMULACIÓN!I19="","",FORMULACIÓN!I19)</f>
        <v>Unidad</v>
      </c>
      <c r="H19" s="45" t="str">
        <f>IF(FORMULACIÓN!J19="","",FORMULACIÓN!J19)</f>
        <v>Nuevo gestionado durante la vigencia</v>
      </c>
      <c r="I19" s="188" t="str">
        <f ca="1">IF($G19=Lists!$R$3,"PDI: "&amp;TEXT(FORMULACIÓN!Q19,"00,00%")&amp;CHAR(10)&amp;CHAR(10)&amp;"T1: "&amp;TEXT(FORMULACIÓN!L19,"00,00%")&amp;CHAR(10)&amp;"T2: "&amp;TEXT(FORMULACIÓN!M19,"00,00%")&amp;CHAR(10)&amp;"T3: "&amp;TEXT(FORMULACIÓN!N19,"00,00%")&amp;CHAR(10)&amp;"Tn: "&amp;TEXT(FORMULACIÓN!O19,"00,00%"),IF(FORMULACIÓN!Q19=0,0,"PDI: "&amp;TEXT(FORMULACIÓN!Q19,"##.###")&amp;CHAR(10)&amp;CHAR(10)&amp;"T1: "&amp;TEXT(FORMULACIÓN!L19,"##.###")&amp;CHAR(10)&amp;"T2: "&amp;TEXT(FORMULACIÓN!M19,"##.###")&amp;CHAR(10)&amp;"T3: "&amp;TEXT(FORMULACIÓN!N19,"##.###")&amp;CHAR(10)&amp;"Tn: "&amp;TEXT(FORMULACIÓN!O19,"##.###")))</f>
        <v>PDI: 250
T1: 75
T2: 75
T3: 75
Tn: 25</v>
      </c>
      <c r="J19" s="122">
        <f>IF(FORMULACIÓN!K19&lt;&gt;"",FORMULACIÓN!K19,"")</f>
        <v>5</v>
      </c>
      <c r="K19" s="310">
        <v>116</v>
      </c>
      <c r="L19" s="58"/>
      <c r="M19" s="58"/>
      <c r="N19" s="58"/>
      <c r="O19" s="47">
        <f ca="1">IFERROR(IF($H19=Lists!$S$2,SUM('SEGUIMIENTO Y EVALUACIÓN'!J19:N19),IF('SEGUIMIENTO Y EVALUACIÓN'!$H19=Lists!$S$3,SUM('SEGUIMIENTO Y EVALUACIÓN'!K19:N19),IF('SEGUIMIENTO Y EVALUACIÓN'!$H19=Lists!$S$4,AVERAGE('SEGUIMIENTO Y EVALUACIÓN'!K19:N19),IF('SEGUIMIENTO Y EVALUACIÓN'!$H19=Lists!$S$5,OFFSET(J19,0,COUNTA(K19:N19)),IF($H19=Lists!$S$6,COUNTIF(K19:N19,"&lt;"&amp;FORMULACIÓN!Q19)/COUNT('SEGUIMIENTO Y EVALUACIÓN'!K19:N19),""))))),"")</f>
        <v>116</v>
      </c>
      <c r="P19" s="51" t="str">
        <f ca="1">IF($G19=Lists!$R$3,TEXT('SEGUIMIENTO Y EVALUACIÓN'!O19,"00,00%"),IF('SEGUIMIENTO Y EVALUACIÓN'!O19=0,0,TEXT('SEGUIMIENTO Y EVALUACIÓN'!O19,"##.###")))</f>
        <v>116</v>
      </c>
      <c r="Q19" s="209" t="str">
        <f>IF(FORMULACIÓN!R19&lt;&gt;"",FORMULACIÓN!R19,"")</f>
        <v>P2 - Movilidad académica estudiantil y docente</v>
      </c>
      <c r="R19" s="209">
        <f>IF(FORMULACIÓN!S19&lt;&gt;"",FORMULACIÓN!S19,"")</f>
        <v>0.02</v>
      </c>
      <c r="S19" s="209" t="str">
        <f>IF(FORMULACIÓN!T19&lt;&gt;"",FORMULACIÓN!T19,"")</f>
        <v>Vicerrector de Docencia</v>
      </c>
      <c r="T19" s="42"/>
      <c r="U19" s="42"/>
      <c r="V19" s="42"/>
      <c r="W19" s="43" t="str">
        <f t="shared" si="0"/>
        <v/>
      </c>
      <c r="X19" s="42"/>
      <c r="Y19" s="42"/>
      <c r="Z19" s="42"/>
      <c r="AA19" s="43" t="str">
        <f t="shared" si="1"/>
        <v/>
      </c>
      <c r="AB19" s="42"/>
      <c r="AC19" s="42"/>
      <c r="AD19" s="42"/>
      <c r="AE19" s="43" t="str">
        <f t="shared" si="2"/>
        <v/>
      </c>
      <c r="AF19" s="42"/>
      <c r="AG19" s="42"/>
      <c r="AH19" s="42"/>
      <c r="AI19" s="46" t="str">
        <f t="shared" si="3"/>
        <v/>
      </c>
      <c r="AJ19" s="46" t="str">
        <f>IF(SUM(AA19,AE19,W19,AI19)=0,"",SUM((AA19,AE19,W19,AI19)))</f>
        <v/>
      </c>
      <c r="AK19"/>
      <c r="AL19" s="1" t="str">
        <f t="shared" si="4"/>
        <v>L1M1P2</v>
      </c>
      <c r="AM19" s="56" t="str">
        <f t="shared" si="5"/>
        <v>Movilidad docente internacional saliente, desde las funciones sustantivas docencia, extensión, proyección social e internacionalización</v>
      </c>
      <c r="AN19" s="112" t="str">
        <f ca="1">IF($G19=Lists!$R$3,"T1: "&amp;TEXT(FORMULACIÓN!L19,"00,00%")&amp;CHAR(10)&amp;"T2: "&amp;TEXT(FORMULACIÓN!M19,"00,00%")&amp;CHAR(10)&amp;"T3: "&amp;TEXT(FORMULACIÓN!N19,"00,00%")&amp;CHAR(10)&amp;"Tn: "&amp;TEXT(FORMULACIÓN!O19,"00,00%"),IF(FORMULACIÓN!Q19=0,0,"T1: "&amp;TEXT(FORMULACIÓN!L19,"##.###")&amp;CHAR(10)&amp;"T2: "&amp;TEXT(FORMULACIÓN!M19,"##.###")&amp;CHAR(10)&amp;"T3: "&amp;TEXT(FORMULACIÓN!N19,"##.###")&amp;CHAR(10)&amp;"Tn: "&amp;TEXT(FORMULACIÓN!O19,"##.###")))</f>
        <v>T1: 75
T2: 75
T3: 75
Tn: 25</v>
      </c>
      <c r="AO19" s="117">
        <f>IFERROR(IF($H19=Lists!$S$6,IF(AND(FORMULACIÓN!L19&gt;K19,K19&gt;0),1,0),IF((K19/FORMULACIÓN!L19)&lt;&gt;0,K19/FORMULACIÓN!L19,0)),"")</f>
        <v>1.5466666666666666</v>
      </c>
      <c r="AP19" s="117">
        <f>IFERROR(IF($H19=Lists!$S$6,IF(AND(FORMULACIÓN!M19&gt;L19,L19&gt;0),1,0),IF((L19/FORMULACIÓN!M19)&lt;&gt;0,L19/FORMULACIÓN!M19,0)),"")</f>
        <v>0</v>
      </c>
      <c r="AQ19" s="117">
        <f>IFERROR(IF($H19=Lists!$S$6,IF(AND(FORMULACIÓN!N19&gt;M19,M19&gt;0),1,0),IF((M19/FORMULACIÓN!N19)&lt;&gt;0,M19/FORMULACIÓN!N19,0)),"")</f>
        <v>0</v>
      </c>
      <c r="AR19" s="117">
        <f>IFERROR(IF($H19=Lists!$S$6,IF(AND(FORMULACIÓN!O19&gt;N19,N19&gt;0),1,0),IF((N19/FORMULACIÓN!O19)&lt;&gt;0,N19/FORMULACIÓN!O19,0)),"")</f>
        <v>0</v>
      </c>
      <c r="AS19" s="110"/>
      <c r="AT19" s="118" t="str">
        <f ca="1">IF($H19=Lists!$S$6,TEXT(COUNTIF('SEGUIMIENTO Y EVALUACIÓN'!K19:N19,"&lt;"&amp;FORMULACIÓN!Q19),"##.###")&amp;" / "&amp;TEXT(COUNTIF('SEGUIMIENTO Y EVALUACIÓN'!K19:N19,"&gt;"&amp;0),"##.###"),IF($G19=Lists!$R$3,TEXT('SEGUIMIENTO Y EVALUACIÓN'!O19,"00,00%")&amp;" / "&amp;TEXT(FORMULACIÓN!P19,"00,00%"),IF('SEGUIMIENTO Y EVALUACIÓN'!O19=0,0,TEXT('SEGUIMIENTO Y EVALUACIÓN'!O19,"##.###")&amp;" / "&amp;TEXT(FORMULACIÓN!P19,"##.###"))))</f>
        <v>116 / 250</v>
      </c>
      <c r="AU19" s="57">
        <f ca="1">IFERROR(IF((P19/FORMULACIÓN!Q19)&lt;&gt;0,IF($H19=Lists!$S$6,COUNTIF('SEGUIMIENTO Y EVALUACIÓN'!K19:N19,"&lt;"&amp;FORMULACIÓN!Q19),'SEGUIMIENTO Y EVALUACIÓN'!P19)/IF($H19=Lists!$S$6,COUNTIF('SEGUIMIENTO Y EVALUACIÓN'!K19:N19,"&gt;"&amp;0),FORMULACIÓN!P19),0),0)</f>
        <v>0.46400000000000002</v>
      </c>
      <c r="AV19" s="93">
        <f t="shared" ca="1" si="6"/>
        <v>9.2800000000000001E-3</v>
      </c>
      <c r="AW19" s="93" cm="1">
        <f t="array" ref="AW19">IF(INDEX(AO19:AU19,1,$AV$3)&gt;1,IF($AU$2=1,1,INDEX(AO19:AU19,1,$AV$3)),INDEX(AO19:AU19,1,$AV$3))</f>
        <v>1</v>
      </c>
      <c r="AX19"/>
      <c r="AY19" s="119" t="str">
        <f>IFERROR(IF((W19/FORMULACIÓN!X19)&lt;&gt;0,W19/FORMULACIÓN!X19,0),"")</f>
        <v/>
      </c>
      <c r="AZ19" s="119" t="str">
        <f>IFERROR(IF((AA19/FORMULACIÓN!AB19)&lt;&gt;0,AA19/FORMULACIÓN!AB19,0),"")</f>
        <v/>
      </c>
      <c r="BA19" s="119" t="str">
        <f>IFERROR(IF((AE19/FORMULACIÓN!AF19)&lt;&gt;0,(AE19/FORMULACIÓN!AF19),0),"")</f>
        <v/>
      </c>
      <c r="BB19" s="119" t="str">
        <f>IFERROR(IF((AI19/FORMULACIÓN!AJ19)&lt;&gt;0,AI19/FORMULACIÓN!AJ19,0),"")</f>
        <v/>
      </c>
      <c r="BC19" s="120" t="str">
        <f>IF('SEGUIMIENTO Y EVALUACIÓN'!AI19=0,0,TEXT('SEGUIMIENTO Y EVALUACIÓN'!AI19,"$ ##.###")&amp;" / "&amp;TEXT(FORMULACIÓN!AK19,"$ ##.###"))</f>
        <v xml:space="preserve"> / $ 9.842.298.417</v>
      </c>
      <c r="BD19" s="57">
        <f>IFERROR(IF((AJ19/FORMULACIÓN!AK19)&lt;&gt;0,AJ19/FORMULACIÓN!AK19,0),0)</f>
        <v>0</v>
      </c>
      <c r="BG19"/>
      <c r="BH19"/>
      <c r="BI19"/>
      <c r="BJ19"/>
      <c r="BK19"/>
      <c r="BL19"/>
      <c r="BM19"/>
      <c r="BN19"/>
      <c r="BO19"/>
      <c r="BS19" s="10"/>
      <c r="BT19" s="10"/>
      <c r="BU19" s="10"/>
      <c r="BV19" s="10"/>
      <c r="BW19" s="10"/>
      <c r="BX19" s="10"/>
      <c r="BY19" s="10"/>
      <c r="BZ19" s="10"/>
      <c r="CA19" s="10"/>
      <c r="CB19" s="9"/>
      <c r="CC19" s="10"/>
      <c r="CL19" s="7"/>
    </row>
    <row r="20" spans="1:90" s="1" customFormat="1" ht="67.5">
      <c r="A20" s="45">
        <f>IF(FORMULACIÓN!A20="","",FORMULACIÓN!A20)</f>
        <v>9</v>
      </c>
      <c r="B20" s="45" t="str">
        <f>IF(FORMULACIÓN!B20="","",FORMULACIÓN!B20)</f>
        <v>L1 - Formación Académica Integral</v>
      </c>
      <c r="C20" s="45" t="str">
        <f>IF(FORMULACIÓN!E20="","",FORMULACIÓN!E20)</f>
        <v>M1 - Internacionalización y multilingüismo.</v>
      </c>
      <c r="D20" s="45" t="str">
        <f>IF(FORMULACIÓN!F20="","",FORMULACIÓN!F20)</f>
        <v>Fortalecer la movilidad docente, desde las funciones sustantivas de docencia, extensión, proyección social e internacionalización, con un mínimo de 250 registros de movilidad saliente internacional y 200 de movilidad saliente nacional</v>
      </c>
      <c r="E20" s="45" t="str">
        <f>IF(FORMULACIÓN!G20="","",FORMULACIÓN!G20)</f>
        <v>Movilidad docente nacional saliente, desde las funciones sustantivas docencia, extensión, proyección social e internacionalización</v>
      </c>
      <c r="F20" s="45" t="str">
        <f>IF(FORMULACIÓN!H20="","",FORMULACIÓN!H20)</f>
        <v>N° de docentes que realizaron movilidad saliente nacional, desde las funciones sustantivas docencia, extensión, proyección social e internacionalización</v>
      </c>
      <c r="G20" s="45" t="str">
        <f>IF(FORMULACIÓN!I20="","",FORMULACIÓN!I20)</f>
        <v>Unidad</v>
      </c>
      <c r="H20" s="45" t="str">
        <f>IF(FORMULACIÓN!J20="","",FORMULACIÓN!J20)</f>
        <v>Nuevo gestionado durante la vigencia</v>
      </c>
      <c r="I20" s="188" t="str">
        <f ca="1">IF($G20=Lists!$R$3,"PDI: "&amp;TEXT(FORMULACIÓN!Q20,"00,00%")&amp;CHAR(10)&amp;CHAR(10)&amp;"T1: "&amp;TEXT(FORMULACIÓN!L20,"00,00%")&amp;CHAR(10)&amp;"T2: "&amp;TEXT(FORMULACIÓN!M20,"00,00%")&amp;CHAR(10)&amp;"T3: "&amp;TEXT(FORMULACIÓN!N20,"00,00%")&amp;CHAR(10)&amp;"Tn: "&amp;TEXT(FORMULACIÓN!O20,"00,00%"),IF(FORMULACIÓN!Q20=0,0,"PDI: "&amp;TEXT(FORMULACIÓN!Q20,"##.###")&amp;CHAR(10)&amp;CHAR(10)&amp;"T1: "&amp;TEXT(FORMULACIÓN!L20,"##.###")&amp;CHAR(10)&amp;"T2: "&amp;TEXT(FORMULACIÓN!M20,"##.###")&amp;CHAR(10)&amp;"T3: "&amp;TEXT(FORMULACIÓN!N20,"##.###")&amp;CHAR(10)&amp;"Tn: "&amp;TEXT(FORMULACIÓN!O20,"##.###")))</f>
        <v>PDI: 200
T1: 60
T2: 60
T3: 60
Tn: 20</v>
      </c>
      <c r="J20" s="122">
        <f>IF(FORMULACIÓN!K20&lt;&gt;"",FORMULACIÓN!K20,"")</f>
        <v>7</v>
      </c>
      <c r="K20" s="310">
        <v>250</v>
      </c>
      <c r="L20" s="58"/>
      <c r="M20" s="58"/>
      <c r="N20" s="58"/>
      <c r="O20" s="47">
        <f ca="1">IFERROR(IF($H20=Lists!$S$2,SUM('SEGUIMIENTO Y EVALUACIÓN'!J20:N20),IF('SEGUIMIENTO Y EVALUACIÓN'!$H20=Lists!$S$3,SUM('SEGUIMIENTO Y EVALUACIÓN'!K20:N20),IF('SEGUIMIENTO Y EVALUACIÓN'!$H20=Lists!$S$4,AVERAGE('SEGUIMIENTO Y EVALUACIÓN'!K20:N20),IF('SEGUIMIENTO Y EVALUACIÓN'!$H20=Lists!$S$5,OFFSET(J20,0,COUNTA(K20:N20)),IF($H20=Lists!$S$6,COUNTIF(K20:N20,"&lt;"&amp;FORMULACIÓN!Q20)/COUNT('SEGUIMIENTO Y EVALUACIÓN'!K20:N20),""))))),"")</f>
        <v>250</v>
      </c>
      <c r="P20" s="51" t="str">
        <f ca="1">IF($G20=Lists!$R$3,TEXT('SEGUIMIENTO Y EVALUACIÓN'!O20,"00,00%"),IF('SEGUIMIENTO Y EVALUACIÓN'!O20=0,0,TEXT('SEGUIMIENTO Y EVALUACIÓN'!O20,"##.###")))</f>
        <v>250</v>
      </c>
      <c r="Q20" s="209" t="str">
        <f>IF(FORMULACIÓN!R20&lt;&gt;"",FORMULACIÓN!R20,"")</f>
        <v>P2 - Movilidad académica estudiantil y docente</v>
      </c>
      <c r="R20" s="209">
        <f>IF(FORMULACIÓN!S20&lt;&gt;"",FORMULACIÓN!S20,"")</f>
        <v>0.02</v>
      </c>
      <c r="S20" s="209" t="str">
        <f>IF(FORMULACIÓN!T20&lt;&gt;"",FORMULACIÓN!T20,"")</f>
        <v>Vicerrector de Docencia</v>
      </c>
      <c r="T20" s="42"/>
      <c r="U20" s="42"/>
      <c r="V20" s="42"/>
      <c r="W20" s="43" t="str">
        <f t="shared" si="0"/>
        <v/>
      </c>
      <c r="X20" s="42"/>
      <c r="Y20" s="42"/>
      <c r="Z20" s="42"/>
      <c r="AA20" s="43" t="str">
        <f t="shared" si="1"/>
        <v/>
      </c>
      <c r="AB20" s="42"/>
      <c r="AC20" s="42"/>
      <c r="AD20" s="42"/>
      <c r="AE20" s="43" t="str">
        <f t="shared" si="2"/>
        <v/>
      </c>
      <c r="AF20" s="42"/>
      <c r="AG20" s="42"/>
      <c r="AH20" s="42"/>
      <c r="AI20" s="46" t="str">
        <f t="shared" si="3"/>
        <v/>
      </c>
      <c r="AJ20" s="46" t="str">
        <f>IF(SUM(AA20,AE20,W20,AI20)=0,"",SUM((AA20,AE20,W20,AI20)))</f>
        <v/>
      </c>
      <c r="AK20"/>
      <c r="AL20" s="1" t="str">
        <f t="shared" si="4"/>
        <v>L1M1P2</v>
      </c>
      <c r="AM20" s="56" t="str">
        <f t="shared" si="5"/>
        <v>Movilidad docente nacional saliente, desde las funciones sustantivas docencia, extensión, proyección social e internacionalización</v>
      </c>
      <c r="AN20" s="112" t="str">
        <f ca="1">IF($G20=Lists!$R$3,"T1: "&amp;TEXT(FORMULACIÓN!L20,"00,00%")&amp;CHAR(10)&amp;"T2: "&amp;TEXT(FORMULACIÓN!M20,"00,00%")&amp;CHAR(10)&amp;"T3: "&amp;TEXT(FORMULACIÓN!N20,"00,00%")&amp;CHAR(10)&amp;"Tn: "&amp;TEXT(FORMULACIÓN!O20,"00,00%"),IF(FORMULACIÓN!Q20=0,0,"T1: "&amp;TEXT(FORMULACIÓN!L20,"##.###")&amp;CHAR(10)&amp;"T2: "&amp;TEXT(FORMULACIÓN!M20,"##.###")&amp;CHAR(10)&amp;"T3: "&amp;TEXT(FORMULACIÓN!N20,"##.###")&amp;CHAR(10)&amp;"Tn: "&amp;TEXT(FORMULACIÓN!O20,"##.###")))</f>
        <v>T1: 60
T2: 60
T3: 60
Tn: 20</v>
      </c>
      <c r="AO20" s="117">
        <f>IFERROR(IF($H20=Lists!$S$6,IF(AND(FORMULACIÓN!L20&gt;K20,K20&gt;0),1,0),IF((K20/FORMULACIÓN!L20)&lt;&gt;0,K20/FORMULACIÓN!L20,0)),"")</f>
        <v>4.166666666666667</v>
      </c>
      <c r="AP20" s="117">
        <f>IFERROR(IF($H20=Lists!$S$6,IF(AND(FORMULACIÓN!M20&gt;L20,L20&gt;0),1,0),IF((L20/FORMULACIÓN!M20)&lt;&gt;0,L20/FORMULACIÓN!M20,0)),"")</f>
        <v>0</v>
      </c>
      <c r="AQ20" s="117">
        <f>IFERROR(IF($H20=Lists!$S$6,IF(AND(FORMULACIÓN!N20&gt;M20,M20&gt;0),1,0),IF((M20/FORMULACIÓN!N20)&lt;&gt;0,M20/FORMULACIÓN!N20,0)),"")</f>
        <v>0</v>
      </c>
      <c r="AR20" s="117">
        <f>IFERROR(IF($H20=Lists!$S$6,IF(AND(FORMULACIÓN!O20&gt;N20,N20&gt;0),1,0),IF((N20/FORMULACIÓN!O20)&lt;&gt;0,N20/FORMULACIÓN!O20,0)),"")</f>
        <v>0</v>
      </c>
      <c r="AS20" s="110"/>
      <c r="AT20" s="118" t="str">
        <f ca="1">IF($H20=Lists!$S$6,TEXT(COUNTIF('SEGUIMIENTO Y EVALUACIÓN'!J20:N20,"&lt;"&amp;FORMULACIÓN!Q20),"##.###")&amp;" / "&amp;TEXT(COUNTIF('SEGUIMIENTO Y EVALUACIÓN'!J20:N20,"&gt;"&amp;0),"##.###"),IF($G20=Lists!$R$3,TEXT('SEGUIMIENTO Y EVALUACIÓN'!O20,"00,00%")&amp;" / "&amp;TEXT(FORMULACIÓN!P20,"00,00%"),IF('SEGUIMIENTO Y EVALUACIÓN'!O20=0,0,TEXT('SEGUIMIENTO Y EVALUACIÓN'!O20,"##.###")&amp;" / "&amp;TEXT(FORMULACIÓN!P20,"##.###"))))</f>
        <v>250 / 200</v>
      </c>
      <c r="AU20" s="57">
        <f ca="1">IFERROR(IF((P20/FORMULACIÓN!Q20)&lt;&gt;0,IF($H20=Lists!$S$6,COUNTIF('SEGUIMIENTO Y EVALUACIÓN'!J20:N20,"&lt;"&amp;FORMULACIÓN!Q20),'SEGUIMIENTO Y EVALUACIÓN'!P20)/IF($H20=Lists!$S$6,COUNTIF('SEGUIMIENTO Y EVALUACIÓN'!J20:N20,"&gt;"&amp;0),FORMULACIÓN!P20),0),0)</f>
        <v>1.25</v>
      </c>
      <c r="AV20" s="93">
        <f t="shared" ca="1" si="6"/>
        <v>0.02</v>
      </c>
      <c r="AW20" s="93" cm="1">
        <f t="array" ref="AW20">IF(INDEX(AO20:AU20,1,$AV$3)&gt;1,IF($AU$2=1,1,INDEX(AO20:AU20,1,$AV$3)),INDEX(AO20:AU20,1,$AV$3))</f>
        <v>1</v>
      </c>
      <c r="AX20"/>
      <c r="AY20" s="119" t="str">
        <f>IFERROR(IF((W20/FORMULACIÓN!X20)&lt;&gt;0,W20/FORMULACIÓN!X20,0),"")</f>
        <v/>
      </c>
      <c r="AZ20" s="119" t="str">
        <f>IFERROR(IF((AA20/FORMULACIÓN!AB20)&lt;&gt;0,AA20/FORMULACIÓN!AB20,0),"")</f>
        <v/>
      </c>
      <c r="BA20" s="119" t="str">
        <f>IFERROR(IF((AE20/FORMULACIÓN!AF20)&lt;&gt;0,(AE20/FORMULACIÓN!AF20),0),"")</f>
        <v/>
      </c>
      <c r="BB20" s="119" t="str">
        <f>IFERROR(IF((AI20/FORMULACIÓN!AJ20)&lt;&gt;0,AI20/FORMULACIÓN!AJ20,0),"")</f>
        <v/>
      </c>
      <c r="BC20" s="120" t="str">
        <f>IF('SEGUIMIENTO Y EVALUACIÓN'!AI20=0,0,TEXT('SEGUIMIENTO Y EVALUACIÓN'!AI20,"$ ##.###")&amp;" / "&amp;TEXT(FORMULACIÓN!AK20,"$ ##.###"))</f>
        <v xml:space="preserve"> / $ 9.842.298.417</v>
      </c>
      <c r="BD20" s="57">
        <f>IFERROR(IF((AJ20/FORMULACIÓN!AK20)&lt;&gt;0,AJ20/FORMULACIÓN!AK20,0),0)</f>
        <v>0</v>
      </c>
      <c r="BG20"/>
      <c r="BH20"/>
      <c r="BI20"/>
      <c r="BJ20"/>
      <c r="BK20"/>
      <c r="BL20"/>
      <c r="BM20"/>
      <c r="BN20"/>
      <c r="BO20"/>
      <c r="CL20" s="7"/>
    </row>
    <row r="21" spans="1:90" s="1" customFormat="1" ht="67.5">
      <c r="A21" s="45">
        <f>IF(FORMULACIÓN!A21="","",FORMULACIÓN!A21)</f>
        <v>10</v>
      </c>
      <c r="B21" s="45" t="str">
        <f>IF(FORMULACIÓN!B21="","",FORMULACIÓN!B21)</f>
        <v>L1 - Formación Académica Integral</v>
      </c>
      <c r="C21" s="45" t="str">
        <f>IF(FORMULACIÓN!E21="","",FORMULACIÓN!E21)</f>
        <v>M1 - Internacionalización y multilingüismo.</v>
      </c>
      <c r="D21" s="45" t="str">
        <f>IF(FORMULACIÓN!F21="","",FORMULACIÓN!F21)</f>
        <v>Fomentar la internacionalización en curricular garantizando el 40% de los programas académicos con componente internacional. Asimismo, propender para que el 60% de los programas desarrollen actividades con componente internacional desde el aula y de manera extracurricular.</v>
      </c>
      <c r="E21" s="45" t="str">
        <f>IF(FORMULACIÓN!G21="","",FORMULACIÓN!G21)</f>
        <v xml:space="preserve">Porcentaje de programas académicos con componente internacional (clases en inglés, análisis disciplinar comparado; entre otros).  </v>
      </c>
      <c r="F21" s="45" t="str">
        <f>IF(FORMULACIÓN!H21="","",FORMULACIÓN!H21)</f>
        <v>N° de programas académicos con componente internacional / Total de programas académicos * 100</v>
      </c>
      <c r="G21" s="45" t="str">
        <f>IF(FORMULACIÓN!I21="","",FORMULACIÓN!I21)</f>
        <v>Porcentaje</v>
      </c>
      <c r="H21" s="45" t="str">
        <f>IF(FORMULACIÓN!J21="","",FORMULACIÓN!J21)</f>
        <v>Acumulado</v>
      </c>
      <c r="I21" s="188" t="str">
        <f ca="1">IF($G21=Lists!$R$3,"PDI: "&amp;TEXT(FORMULACIÓN!Q21,"00,00%")&amp;CHAR(10)&amp;CHAR(10)&amp;"T1: "&amp;TEXT(FORMULACIÓN!L21,"00,00%")&amp;CHAR(10)&amp;"T2: "&amp;TEXT(FORMULACIÓN!M21,"00,00%")&amp;CHAR(10)&amp;"T3: "&amp;TEXT(FORMULACIÓN!N21,"00,00%")&amp;CHAR(10)&amp;"Tn: "&amp;TEXT(FORMULACIÓN!O21,"00,00%"),IF(FORMULACIÓN!Q21=0,0,"PDI: "&amp;TEXT(FORMULACIÓN!Q21,"##.###")&amp;CHAR(10)&amp;CHAR(10)&amp;"T1: "&amp;TEXT(FORMULACIÓN!L21,"##.###")&amp;CHAR(10)&amp;"T2: "&amp;TEXT(FORMULACIÓN!M21,"##.###")&amp;CHAR(10)&amp;"T3: "&amp;TEXT(FORMULACIÓN!N21,"##.###")&amp;CHAR(10)&amp;"Tn: "&amp;TEXT(FORMULACIÓN!O21,"##.###")))</f>
        <v>PDI: 41,03%
T1: 10,00%
T2: 15,00%
T3: 15,00%
Tn: 01,00%</v>
      </c>
      <c r="J21" s="209">
        <f>IF(FORMULACIÓN!K21&lt;&gt;"",FORMULACIÓN!K21,"")</f>
        <v>3.1578947368421053E-4</v>
      </c>
      <c r="K21" s="309">
        <v>0</v>
      </c>
      <c r="L21" s="203"/>
      <c r="M21" s="70"/>
      <c r="N21" s="70"/>
      <c r="O21" s="47">
        <f ca="1">IFERROR(IF($H21=Lists!$S$2,SUM('SEGUIMIENTO Y EVALUACIÓN'!J21:N21),IF('SEGUIMIENTO Y EVALUACIÓN'!$H21=Lists!$S$3,SUM('SEGUIMIENTO Y EVALUACIÓN'!K21:N21),IF('SEGUIMIENTO Y EVALUACIÓN'!$H21=Lists!$S$4,AVERAGE('SEGUIMIENTO Y EVALUACIÓN'!K21:N21),IF('SEGUIMIENTO Y EVALUACIÓN'!$H21=Lists!$S$5,OFFSET(J21,0,COUNTA(K21:N21)),IF($H21=Lists!$S$6,COUNTIF(K21:N21,"&lt;"&amp;FORMULACIÓN!Q21)/COUNT('SEGUIMIENTO Y EVALUACIÓN'!K21:N21),""))))),"")</f>
        <v>3.1578947368421053E-4</v>
      </c>
      <c r="P21" s="210" t="str">
        <f ca="1">IF($G21=Lists!$R$3,TEXT('SEGUIMIENTO Y EVALUACIÓN'!O21,"00,00%"),IF('SEGUIMIENTO Y EVALUACIÓN'!O21=0,0,TEXT('SEGUIMIENTO Y EVALUACIÓN'!O21,"##.###")))</f>
        <v>00,03%</v>
      </c>
      <c r="Q21" s="209" t="str">
        <f>IF(FORMULACIÓN!R21&lt;&gt;"",FORMULACIÓN!R21,"")</f>
        <v>P3 - Internacionalización en casa y curricular</v>
      </c>
      <c r="R21" s="209">
        <f>IF(FORMULACIÓN!S21&lt;&gt;"",FORMULACIÓN!S21,"")</f>
        <v>0.02</v>
      </c>
      <c r="S21" s="209" t="str">
        <f>IF(FORMULACIÓN!T21&lt;&gt;"",FORMULACIÓN!T21,"")</f>
        <v>Vicerrector de Docencia</v>
      </c>
      <c r="T21" s="42"/>
      <c r="U21" s="42"/>
      <c r="V21" s="42"/>
      <c r="W21" s="43" t="str">
        <f t="shared" si="0"/>
        <v/>
      </c>
      <c r="X21" s="42"/>
      <c r="Y21" s="42"/>
      <c r="Z21" s="42"/>
      <c r="AA21" s="43" t="str">
        <f t="shared" si="1"/>
        <v/>
      </c>
      <c r="AB21" s="42"/>
      <c r="AC21" s="42"/>
      <c r="AD21" s="42"/>
      <c r="AE21" s="43" t="str">
        <f t="shared" si="2"/>
        <v/>
      </c>
      <c r="AF21" s="42"/>
      <c r="AG21" s="42"/>
      <c r="AH21" s="42"/>
      <c r="AI21" s="46" t="str">
        <f t="shared" si="3"/>
        <v/>
      </c>
      <c r="AJ21" s="46" t="str">
        <f>IF(SUM(AA21,AE21,W21,AI21)=0,"",SUM((AA21,AE21,W21,AI21)))</f>
        <v/>
      </c>
      <c r="AK21"/>
      <c r="AL21" s="1" t="str">
        <f t="shared" si="4"/>
        <v>L1M1P3</v>
      </c>
      <c r="AM21" s="56" t="str">
        <f t="shared" si="5"/>
        <v xml:space="preserve">Porcentaje de programas académicos con componente internacional (clases en inglés, análisis disciplinar comparado; entre otros).  </v>
      </c>
      <c r="AN21" s="112" t="str">
        <f>IF($G21=Lists!$R$3,"T1: "&amp;TEXT(FORMULACIÓN!L21,"00,00%")&amp;CHAR(10)&amp;"T2: "&amp;TEXT(FORMULACIÓN!M21,"00,00%")&amp;CHAR(10)&amp;"T3: "&amp;TEXT(FORMULACIÓN!N21,"00,00%")&amp;CHAR(10)&amp;"Tn: "&amp;TEXT(FORMULACIÓN!O21,"00,00%"),IF(FORMULACIÓN!Q21=0,0,"T1: "&amp;TEXT(FORMULACIÓN!L21,"##.###")&amp;CHAR(10)&amp;"T2: "&amp;TEXT(FORMULACIÓN!M21,"##.###")&amp;CHAR(10)&amp;"T3: "&amp;TEXT(FORMULACIÓN!N21,"##.###")&amp;CHAR(10)&amp;"Tn: "&amp;TEXT(FORMULACIÓN!O21,"##.###")))</f>
        <v>T1: 10,00%
T2: 15,00%
T3: 15,00%
Tn: 01,00%</v>
      </c>
      <c r="AO21" s="117">
        <f>IFERROR(IF($H21=Lists!$S$6,IF(AND(FORMULACIÓN!L21&gt;K21,K21&gt;0),1,0),IF((K21/FORMULACIÓN!L21)&lt;&gt;0,K21/FORMULACIÓN!L21,0)),"")</f>
        <v>0</v>
      </c>
      <c r="AP21" s="117">
        <f>IFERROR(IF($H21=Lists!$S$6,IF(AND(FORMULACIÓN!M21&gt;L21,L21&gt;0),1,0),IF((L21/FORMULACIÓN!M21)&lt;&gt;0,L21/FORMULACIÓN!M21,0)),"")</f>
        <v>0</v>
      </c>
      <c r="AQ21" s="117">
        <f>IFERROR(IF($H21=Lists!$S$6,IF(AND(FORMULACIÓN!N21&gt;M21,M21&gt;0),1,0),IF((M21/FORMULACIÓN!N21)&lt;&gt;0,M21/FORMULACIÓN!N21,0)),"")</f>
        <v>0</v>
      </c>
      <c r="AR21" s="117">
        <f>IFERROR(IF($H21=Lists!$S$6,IF(AND(FORMULACIÓN!O21&gt;N21,N21&gt;0),1,0),IF((N21/FORMULACIÓN!O21)&lt;&gt;0,N21/FORMULACIÓN!O21,0)),"")</f>
        <v>0</v>
      </c>
      <c r="AS21" s="110"/>
      <c r="AT21" s="118" t="str">
        <f ca="1">IF($H21=Lists!$S$6,TEXT(COUNTIF('SEGUIMIENTO Y EVALUACIÓN'!K21:N21,"&lt;"&amp;FORMULACIÓN!Q21),"##.###")&amp;" / "&amp;TEXT(COUNTIF('SEGUIMIENTO Y EVALUACIÓN'!K21:N21,"&gt;"&amp;0),"##.###"),IF($G21=Lists!$R$3,TEXT('SEGUIMIENTO Y EVALUACIÓN'!O21,"00,00%")&amp;" / "&amp;TEXT(FORMULACIÓN!P21,"00,00%"),IF('SEGUIMIENTO Y EVALUACIÓN'!O21=0,0,TEXT('SEGUIMIENTO Y EVALUACIÓN'!O21,"##.###")&amp;" / "&amp;TEXT(FORMULACIÓN!P21,"##.###"))))</f>
        <v>00,03% / 41,03%</v>
      </c>
      <c r="AU21" s="57">
        <f ca="1">IFERROR(IF((P21/FORMULACIÓN!Q21)&lt;&gt;0,IF($H21=Lists!$S$6,COUNTIF('SEGUIMIENTO Y EVALUACIÓN'!K21:N21,"&lt;"&amp;FORMULACIÓN!Q21),'SEGUIMIENTO Y EVALUACIÓN'!P21)/IF($H21=Lists!$S$6,COUNTIF('SEGUIMIENTO Y EVALUACIÓN'!K21:N21,"&gt;"&amp;0),FORMULACIÓN!P21),0),0)</f>
        <v>7.311441765007696E-4</v>
      </c>
      <c r="AV21" s="93">
        <f t="shared" ca="1" si="6"/>
        <v>1.4622883530015392E-5</v>
      </c>
      <c r="AW21" s="93" cm="1">
        <f t="array" ref="AW21">IF(INDEX(AO21:AU21,1,$AV$3)&gt;1,IF($AU$2=1,1,INDEX(AO21:AU21,1,$AV$3)),INDEX(AO21:AU21,1,$AV$3))</f>
        <v>0</v>
      </c>
      <c r="AX21"/>
      <c r="AY21" s="119" t="str">
        <f>IFERROR(IF((W21/FORMULACIÓN!X21)&lt;&gt;0,W21/FORMULACIÓN!X21,0),"")</f>
        <v/>
      </c>
      <c r="AZ21" s="119" t="str">
        <f>IFERROR(IF((AA21/FORMULACIÓN!AB21)&lt;&gt;0,AA21/FORMULACIÓN!AB21,0),"")</f>
        <v/>
      </c>
      <c r="BA21" s="119" t="str">
        <f>IFERROR(IF((AE21/FORMULACIÓN!AF21)&lt;&gt;0,(AE21/FORMULACIÓN!AF21),0),"")</f>
        <v/>
      </c>
      <c r="BB21" s="119" t="str">
        <f>IFERROR(IF((AI21/FORMULACIÓN!AJ21)&lt;&gt;0,AI21/FORMULACIÓN!AJ21,0),"")</f>
        <v/>
      </c>
      <c r="BC21" s="120" t="str">
        <f>IF('SEGUIMIENTO Y EVALUACIÓN'!AI21=0,0,TEXT('SEGUIMIENTO Y EVALUACIÓN'!AI21,"$ ##.###")&amp;" / "&amp;TEXT(FORMULACIÓN!AK21,"$ ##.###"))</f>
        <v xml:space="preserve"> / $ 23.071.605.940</v>
      </c>
      <c r="BD21" s="57">
        <f>IFERROR(IF((AJ21/FORMULACIÓN!AK21)&lt;&gt;0,AJ21/FORMULACIÓN!AK21,0),0)</f>
        <v>0</v>
      </c>
      <c r="BG21"/>
      <c r="BH21"/>
      <c r="BI21"/>
      <c r="BJ21"/>
      <c r="BK21"/>
      <c r="BL21"/>
      <c r="BM21"/>
      <c r="BN21"/>
      <c r="BO21"/>
      <c r="CL21" s="7"/>
    </row>
    <row r="22" spans="1:90" s="1" customFormat="1" ht="144" customHeight="1">
      <c r="A22" s="45">
        <f>IF(FORMULACIÓN!A22="","",FORMULACIÓN!A22)</f>
        <v>11</v>
      </c>
      <c r="B22" s="45" t="str">
        <f>IF(FORMULACIÓN!B22="","",FORMULACIÓN!B22)</f>
        <v>L1 - Formación Académica Integral</v>
      </c>
      <c r="C22" s="45" t="str">
        <f>IF(FORMULACIÓN!E22="","",FORMULACIÓN!E22)</f>
        <v>M1 - Internacionalización y multilingüismo.</v>
      </c>
      <c r="D22" s="45" t="str">
        <f>IF(FORMULACIÓN!F22="","",FORMULACIÓN!F22)</f>
        <v>Fomentar la internacionalización en curricular garantizando el 40% de los programas académicos con componente internacional. Asimismo, propender para que el 60% de los programas desarrollen actividades con componente internacional desde el aula y de manera extracurricular.</v>
      </c>
      <c r="E22" s="45" t="str">
        <f>IF(FORMULACIÓN!G22="","",FORMULACIÓN!G22)</f>
        <v>Porcentaje de programas académicos que desarrollan actividades con componente internacional en el aula (clases espejo, proyectos de aprendizaje colaborativo, actividades con comunidades académicas homólogas; entre otros) y extracurricular (seminarios, talleres, ferias, encuentros; entre otros).</v>
      </c>
      <c r="F22" s="45" t="str">
        <f>IF(FORMULACIÓN!H22="","",FORMULACIÓN!H22)</f>
        <v>N° de programas académicos que realizan actividades con componente internacional en el aula de clases / total de programas académicos *100</v>
      </c>
      <c r="G22" s="45" t="str">
        <f>IF(FORMULACIÓN!I22="","",FORMULACIÓN!I22)</f>
        <v>Porcentaje</v>
      </c>
      <c r="H22" s="45" t="str">
        <f>IF(FORMULACIÓN!J22="","",FORMULACIÓN!J22)</f>
        <v>Acumulado</v>
      </c>
      <c r="I22" s="188" t="str">
        <f ca="1">IF($G22=Lists!$R$3,"PDI: "&amp;TEXT(FORMULACIÓN!Q22,"00,00%")&amp;CHAR(10)&amp;CHAR(10)&amp;"T1: "&amp;TEXT(FORMULACIÓN!L22,"00,00%")&amp;CHAR(10)&amp;"T2: "&amp;TEXT(FORMULACIÓN!M22,"00,00%")&amp;CHAR(10)&amp;"T3: "&amp;TEXT(FORMULACIÓN!N22,"00,00%")&amp;CHAR(10)&amp;"Tn: "&amp;TEXT(FORMULACIÓN!O22,"00,00%"),IF(FORMULACIÓN!Q22=0,0,"PDI: "&amp;TEXT(FORMULACIÓN!Q22,"##.###")&amp;CHAR(10)&amp;CHAR(10)&amp;"T1: "&amp;TEXT(FORMULACIÓN!L22,"##.###")&amp;CHAR(10)&amp;"T2: "&amp;TEXT(FORMULACIÓN!M22,"##.###")&amp;CHAR(10)&amp;"T3: "&amp;TEXT(FORMULACIÓN!N22,"##.###")&amp;CHAR(10)&amp;"Tn: "&amp;TEXT(FORMULACIÓN!O22,"##.###")))</f>
        <v>PDI: 40,00%
T1: 10,00%
T2: 10,00%
T3: 15,00%
Tn: 05,00%</v>
      </c>
      <c r="J22" s="122">
        <f>IF(FORMULACIÓN!K22&lt;&gt;"",FORMULACIÓN!K22,"")</f>
        <v>0</v>
      </c>
      <c r="K22" s="309">
        <v>0.14000000000000001</v>
      </c>
      <c r="L22" s="59"/>
      <c r="M22" s="59"/>
      <c r="N22" s="59"/>
      <c r="O22" s="47">
        <f ca="1">IFERROR(IF($H22=Lists!$S$2,SUM('SEGUIMIENTO Y EVALUACIÓN'!J22:N22),IF('SEGUIMIENTO Y EVALUACIÓN'!$H22=Lists!$S$3,SUM('SEGUIMIENTO Y EVALUACIÓN'!K22:N22),IF('SEGUIMIENTO Y EVALUACIÓN'!$H22=Lists!$S$4,AVERAGE('SEGUIMIENTO Y EVALUACIÓN'!K22:N22),IF('SEGUIMIENTO Y EVALUACIÓN'!$H22=Lists!$S$5,OFFSET(J22,0,COUNTA(K22:N22)),IF($H22=Lists!$S$6,COUNTIF(K22:N22,"&lt;"&amp;FORMULACIÓN!Q22)/COUNT('SEGUIMIENTO Y EVALUACIÓN'!K22:N22),""))))),"")</f>
        <v>0.14000000000000001</v>
      </c>
      <c r="P22" s="51" t="str">
        <f ca="1">IF($G22=Lists!$R$3,TEXT('SEGUIMIENTO Y EVALUACIÓN'!O22,"00,00%"),IF('SEGUIMIENTO Y EVALUACIÓN'!O22=0,0,TEXT('SEGUIMIENTO Y EVALUACIÓN'!O22,"##.###")))</f>
        <v>14,00%</v>
      </c>
      <c r="Q22" s="209" t="str">
        <f>IF(FORMULACIÓN!R22&lt;&gt;"",FORMULACIÓN!R22,"")</f>
        <v>P3 - Internacionalización en casa y curricular</v>
      </c>
      <c r="R22" s="209">
        <f>IF(FORMULACIÓN!S22&lt;&gt;"",FORMULACIÓN!S22,"")</f>
        <v>0.02</v>
      </c>
      <c r="S22" s="209" t="str">
        <f>IF(FORMULACIÓN!T22&lt;&gt;"",FORMULACIÓN!T22,"")</f>
        <v>Vicerrector de Docencia</v>
      </c>
      <c r="T22" s="42"/>
      <c r="U22" s="42"/>
      <c r="V22" s="42"/>
      <c r="W22" s="43" t="str">
        <f t="shared" si="0"/>
        <v/>
      </c>
      <c r="X22" s="42"/>
      <c r="Y22" s="42"/>
      <c r="Z22" s="42"/>
      <c r="AA22" s="43" t="str">
        <f t="shared" si="1"/>
        <v/>
      </c>
      <c r="AB22" s="42"/>
      <c r="AC22" s="42"/>
      <c r="AD22" s="42"/>
      <c r="AE22" s="43" t="str">
        <f t="shared" si="2"/>
        <v/>
      </c>
      <c r="AF22" s="42"/>
      <c r="AG22" s="42"/>
      <c r="AH22" s="42"/>
      <c r="AI22" s="46" t="str">
        <f t="shared" si="3"/>
        <v/>
      </c>
      <c r="AJ22" s="46" t="str">
        <f>IF(SUM(AA22,AE22,W22,AI22)=0,"",SUM((AA22,AE22,W22,AI22)))</f>
        <v/>
      </c>
      <c r="AK22"/>
      <c r="AL22" s="1" t="str">
        <f t="shared" si="4"/>
        <v>L1M1P3</v>
      </c>
      <c r="AM22" s="56" t="str">
        <f t="shared" si="5"/>
        <v>Porcentaje de programas académicos que desarrollan actividades con componente internacional en el aula (clases espejo, proyectos de aprendizaje colaborativo, actividades con comunidades académicas homólogas; entre otros) y extracurricular (seminarios, talleres, ferias, encuentros; entre otros).</v>
      </c>
      <c r="AN22" s="112" t="str">
        <f>IF($G22=Lists!$R$3,"T1: "&amp;TEXT(FORMULACIÓN!L22,"00,00%")&amp;CHAR(10)&amp;"T2: "&amp;TEXT(FORMULACIÓN!M22,"00,00%")&amp;CHAR(10)&amp;"T3: "&amp;TEXT(FORMULACIÓN!N22,"00,00%")&amp;CHAR(10)&amp;"Tn: "&amp;TEXT(FORMULACIÓN!O22,"00,00%"),IF(FORMULACIÓN!Q22=0,0,"T1: "&amp;TEXT(FORMULACIÓN!L22,"##.###")&amp;CHAR(10)&amp;"T2: "&amp;TEXT(FORMULACIÓN!M22,"##.###")&amp;CHAR(10)&amp;"T3: "&amp;TEXT(FORMULACIÓN!N22,"##.###")&amp;CHAR(10)&amp;"Tn: "&amp;TEXT(FORMULACIÓN!O22,"##.###")))</f>
        <v>T1: 10,00%
T2: 10,00%
T3: 15,00%
Tn: 05,00%</v>
      </c>
      <c r="AO22" s="117">
        <f>IFERROR(IF($H22=Lists!$S$6,IF(AND(FORMULACIÓN!L22&gt;K22,K22&gt;0),1,0),IF((K22/FORMULACIÓN!L22)&lt;&gt;0,K22/FORMULACIÓN!L22,0)),"")</f>
        <v>1.4000000000000001</v>
      </c>
      <c r="AP22" s="117">
        <f>IFERROR(IF($H22=Lists!$S$6,IF(AND(FORMULACIÓN!M22&gt;L22,L22&gt;0),1,0),IF((L22/FORMULACIÓN!M22)&lt;&gt;0,L22/FORMULACIÓN!M22,0)),"")</f>
        <v>0</v>
      </c>
      <c r="AQ22" s="117">
        <f>IFERROR(IF($H22=Lists!$S$6,IF(AND(FORMULACIÓN!N22&gt;M22,M22&gt;0),1,0),IF((M22/FORMULACIÓN!N22)&lt;&gt;0,M22/FORMULACIÓN!N22,0)),"")</f>
        <v>0</v>
      </c>
      <c r="AR22" s="117">
        <f>IFERROR(IF($H22=Lists!$S$6,IF(AND(FORMULACIÓN!O22&gt;N22,N22&gt;0),1,0),IF((N22/FORMULACIÓN!O22)&lt;&gt;0,N22/FORMULACIÓN!O22,0)),"")</f>
        <v>0</v>
      </c>
      <c r="AS22" s="110"/>
      <c r="AT22" s="118" t="str">
        <f ca="1">IF($H22=Lists!$S$6,TEXT(COUNTIF('SEGUIMIENTO Y EVALUACIÓN'!K22:N22,"&lt;"&amp;FORMULACIÓN!Q22),"##.###")&amp;" / "&amp;TEXT(COUNTIF('SEGUIMIENTO Y EVALUACIÓN'!K22:N22,"&gt;"&amp;0),"##.###"),IF($G22=Lists!$R$3,TEXT('SEGUIMIENTO Y EVALUACIÓN'!O22,"00,00%")&amp;" / "&amp;TEXT(FORMULACIÓN!P22,"00,00%"),IF('SEGUIMIENTO Y EVALUACIÓN'!O22=0,0,TEXT('SEGUIMIENTO Y EVALUACIÓN'!O22,"##.###")&amp;" / "&amp;TEXT(FORMULACIÓN!P22,"##.###"))))</f>
        <v>14,00% / 40,00%</v>
      </c>
      <c r="AU22" s="57">
        <f ca="1">IFERROR(IF((P22/FORMULACIÓN!Q22)&lt;&gt;0,IF($H22=Lists!$S$6,COUNTIF('SEGUIMIENTO Y EVALUACIÓN'!K22:N22,"&lt;"&amp;FORMULACIÓN!Q22),'SEGUIMIENTO Y EVALUACIÓN'!P22)/IF($H22=Lists!$S$6,COUNTIF('SEGUIMIENTO Y EVALUACIÓN'!K22:N22,"&gt;"&amp;0),FORMULACIÓN!P22),0),0)</f>
        <v>0.35000000000000009</v>
      </c>
      <c r="AV22" s="93">
        <f t="shared" ca="1" si="6"/>
        <v>7.0000000000000019E-3</v>
      </c>
      <c r="AW22" s="93" cm="1">
        <f t="array" ref="AW22">IF(INDEX(AO22:AU22,1,$AV$3)&gt;1,IF($AU$2=1,1,INDEX(AO22:AU22,1,$AV$3)),INDEX(AO22:AU22,1,$AV$3))</f>
        <v>1</v>
      </c>
      <c r="AX22"/>
      <c r="AY22" s="119" t="str">
        <f>IFERROR(IF((W22/FORMULACIÓN!X22)&lt;&gt;0,W22/FORMULACIÓN!X22,0),"")</f>
        <v/>
      </c>
      <c r="AZ22" s="119" t="str">
        <f>IFERROR(IF((AA22/FORMULACIÓN!AB22)&lt;&gt;0,AA22/FORMULACIÓN!AB22,0),"")</f>
        <v/>
      </c>
      <c r="BA22" s="119" t="str">
        <f>IFERROR(IF((AE22/FORMULACIÓN!AF22)&lt;&gt;0,(AE22/FORMULACIÓN!AF22),0),"")</f>
        <v/>
      </c>
      <c r="BB22" s="119" t="str">
        <f>IFERROR(IF((AI22/FORMULACIÓN!AJ22)&lt;&gt;0,AI22/FORMULACIÓN!AJ22,0),"")</f>
        <v/>
      </c>
      <c r="BC22" s="120" t="str">
        <f>IF('SEGUIMIENTO Y EVALUACIÓN'!AI22=0,0,TEXT('SEGUIMIENTO Y EVALUACIÓN'!AI22,"$ ##.###")&amp;" / "&amp;TEXT(FORMULACIÓN!AK22,"$ ##.###"))</f>
        <v xml:space="preserve"> / $ 23.071.605.940</v>
      </c>
      <c r="BD22" s="57">
        <f>IFERROR(IF((AJ22/FORMULACIÓN!AK22)&lt;&gt;0,AJ22/FORMULACIÓN!AK22,0),0)</f>
        <v>0</v>
      </c>
      <c r="BG22"/>
      <c r="BH22"/>
      <c r="BI22"/>
      <c r="BJ22"/>
      <c r="BK22"/>
      <c r="BL22"/>
      <c r="BM22"/>
      <c r="BN22"/>
      <c r="BO22"/>
      <c r="CL22" s="7"/>
    </row>
    <row r="23" spans="1:90" s="1" customFormat="1" ht="123.75">
      <c r="A23" s="45">
        <f>IF(FORMULACIÓN!A23="","",FORMULACIÓN!A23)</f>
        <v>12</v>
      </c>
      <c r="B23" s="45" t="str">
        <f>IF(FORMULACIÓN!B23="","",FORMULACIÓN!B23)</f>
        <v>L1 - Formación Académica Integral</v>
      </c>
      <c r="C23" s="45" t="str">
        <f>IF(FORMULACIÓN!E23="","",FORMULACIÓN!E23)</f>
        <v>M1 - Internacionalización y multilingüismo.</v>
      </c>
      <c r="D23" s="45" t="str">
        <f>IF(FORMULACIÓN!F23="","",FORMULACIÓN!F23)</f>
        <v>Fomentar la internacionalización en curricular garantizando el 40% de los programas académicos con componente internacional. Asimismo, propender para que el 60% de los programas desarrollen actividades con componente internacional desde el aula y de manera extracurricular.</v>
      </c>
      <c r="E23" s="45" t="str">
        <f>IF(FORMULACIÓN!G23="","",FORMULACIÓN!G23)</f>
        <v>Porcentaje de programas académicos que desarrollan actividades con componente internacional en el aula (clases espejo, proyectos de aprendizaje colaborativo, actividades con comunidades académicas homólogas; entre otros) y extracurricular (seminarios, talleres, ferias, encuentros; entre otros).</v>
      </c>
      <c r="F23" s="45" t="str">
        <f>IF(FORMULACIÓN!H23="","",FORMULACIÓN!H23)</f>
        <v>N° de programas académicos que realizan actividades extracurriculares con componente internacional / total de programas académicos *100</v>
      </c>
      <c r="G23" s="45" t="str">
        <f>IF(FORMULACIÓN!I23="","",FORMULACIÓN!I23)</f>
        <v>Porcentaje</v>
      </c>
      <c r="H23" s="45" t="str">
        <f>IF(FORMULACIÓN!J23="","",FORMULACIÓN!J23)</f>
        <v>Acumulado</v>
      </c>
      <c r="I23" s="188" t="str">
        <f ca="1">IF($G23=Lists!$R$3,"PDI: "&amp;TEXT(FORMULACIÓN!Q23,"00,00%")&amp;CHAR(10)&amp;CHAR(10)&amp;"T1: "&amp;TEXT(FORMULACIÓN!L23,"00,00%")&amp;CHAR(10)&amp;"T2: "&amp;TEXT(FORMULACIÓN!M23,"00,00%")&amp;CHAR(10)&amp;"T3: "&amp;TEXT(FORMULACIÓN!N23,"00,00%")&amp;CHAR(10)&amp;"Tn: "&amp;TEXT(FORMULACIÓN!O23,"00,00%"),IF(FORMULACIÓN!Q23=0,0,"PDI: "&amp;TEXT(FORMULACIÓN!Q23,"##.###")&amp;CHAR(10)&amp;CHAR(10)&amp;"T1: "&amp;TEXT(FORMULACIÓN!L23,"##.###")&amp;CHAR(10)&amp;"T2: "&amp;TEXT(FORMULACIÓN!M23,"##.###")&amp;CHAR(10)&amp;"T3: "&amp;TEXT(FORMULACIÓN!N23,"##.###")&amp;CHAR(10)&amp;"Tn: "&amp;TEXT(FORMULACIÓN!O23,"##.###")))</f>
        <v>PDI: 60,00%
T1: 20,00%
T2: 20,00%
T3: 15,00%
Tn: 05,00%</v>
      </c>
      <c r="J23" s="122">
        <f>IF(FORMULACIÓN!K23&lt;&gt;"",FORMULACIÓN!K23,"")</f>
        <v>0</v>
      </c>
      <c r="K23" s="309">
        <v>0.33</v>
      </c>
      <c r="L23" s="59"/>
      <c r="M23" s="59"/>
      <c r="N23" s="59"/>
      <c r="O23" s="47">
        <f ca="1">IFERROR(IF($H23=Lists!$S$2,SUM('SEGUIMIENTO Y EVALUACIÓN'!J23:N23),IF('SEGUIMIENTO Y EVALUACIÓN'!$H23=Lists!$S$3,SUM('SEGUIMIENTO Y EVALUACIÓN'!K23:N23),IF('SEGUIMIENTO Y EVALUACIÓN'!$H23=Lists!$S$4,AVERAGE('SEGUIMIENTO Y EVALUACIÓN'!K23:N23),IF('SEGUIMIENTO Y EVALUACIÓN'!$H23=Lists!$S$5,OFFSET(J23,0,COUNTA(K23:N23)),IF($H23=Lists!$S$6,COUNTIF(K23:N23,"&lt;"&amp;FORMULACIÓN!Q23)/COUNT('SEGUIMIENTO Y EVALUACIÓN'!K23:N23),""))))),"")</f>
        <v>0.33</v>
      </c>
      <c r="P23" s="51" t="str">
        <f ca="1">IF($G23=Lists!$R$3,TEXT('SEGUIMIENTO Y EVALUACIÓN'!O23,"00,00%"),IF('SEGUIMIENTO Y EVALUACIÓN'!O23=0,0,TEXT('SEGUIMIENTO Y EVALUACIÓN'!O23,"##.###")))</f>
        <v>33,00%</v>
      </c>
      <c r="Q23" s="209" t="str">
        <f>IF(FORMULACIÓN!R23&lt;&gt;"",FORMULACIÓN!R23,"")</f>
        <v>P3 - Internacionalización en casa y curricular</v>
      </c>
      <c r="R23" s="209">
        <f>IF(FORMULACIÓN!S23&lt;&gt;"",FORMULACIÓN!S23,"")</f>
        <v>0.02</v>
      </c>
      <c r="S23" s="209" t="str">
        <f>IF(FORMULACIÓN!T23&lt;&gt;"",FORMULACIÓN!T23,"")</f>
        <v>Vicerrector de Docencia</v>
      </c>
      <c r="T23" s="42"/>
      <c r="U23" s="42"/>
      <c r="V23" s="42"/>
      <c r="W23" s="43" t="str">
        <f t="shared" si="0"/>
        <v/>
      </c>
      <c r="X23" s="42"/>
      <c r="Y23" s="42"/>
      <c r="Z23" s="42"/>
      <c r="AA23" s="43" t="str">
        <f t="shared" si="1"/>
        <v/>
      </c>
      <c r="AB23" s="42"/>
      <c r="AC23" s="42"/>
      <c r="AD23" s="42"/>
      <c r="AE23" s="43" t="str">
        <f t="shared" si="2"/>
        <v/>
      </c>
      <c r="AF23" s="42"/>
      <c r="AG23" s="42"/>
      <c r="AH23" s="42"/>
      <c r="AI23" s="46" t="str">
        <f t="shared" si="3"/>
        <v/>
      </c>
      <c r="AJ23" s="46" t="str">
        <f>IF(SUM(AA23,AE23,W23,AI23)=0,"",SUM((AA23,AE23,W23,AI23)))</f>
        <v/>
      </c>
      <c r="AK23"/>
      <c r="AL23" s="1" t="str">
        <f t="shared" si="4"/>
        <v>L1M1P3</v>
      </c>
      <c r="AM23" s="56" t="str">
        <f t="shared" si="5"/>
        <v>Porcentaje de programas académicos que desarrollan actividades con componente internacional en el aula (clases espejo, proyectos de aprendizaje colaborativo, actividades con comunidades académicas homólogas; entre otros) y extracurricular (seminarios, talleres, ferias, encuentros; entre otros).</v>
      </c>
      <c r="AN23" s="112" t="str">
        <f>IF($G23=Lists!$R$3,"T1: "&amp;TEXT(FORMULACIÓN!L23,"00,00%")&amp;CHAR(10)&amp;"T2: "&amp;TEXT(FORMULACIÓN!M23,"00,00%")&amp;CHAR(10)&amp;"T3: "&amp;TEXT(FORMULACIÓN!N23,"00,00%")&amp;CHAR(10)&amp;"Tn: "&amp;TEXT(FORMULACIÓN!O23,"00,00%"),IF(FORMULACIÓN!Q23=0,0,"T1: "&amp;TEXT(FORMULACIÓN!L23,"##.###")&amp;CHAR(10)&amp;"T2: "&amp;TEXT(FORMULACIÓN!M23,"##.###")&amp;CHAR(10)&amp;"T3: "&amp;TEXT(FORMULACIÓN!N23,"##.###")&amp;CHAR(10)&amp;"Tn: "&amp;TEXT(FORMULACIÓN!O23,"##.###")))</f>
        <v>T1: 20,00%
T2: 20,00%
T3: 15,00%
Tn: 05,00%</v>
      </c>
      <c r="AO23" s="117">
        <f>IFERROR(IF($H23=Lists!$S$6,IF(AND(FORMULACIÓN!L23&gt;K23,K23&gt;0),1,0),IF((K23/FORMULACIÓN!L23)&lt;&gt;0,K23/FORMULACIÓN!L23,0)),"")</f>
        <v>1.65</v>
      </c>
      <c r="AP23" s="117">
        <f>IFERROR(IF($H23=Lists!$S$6,IF(AND(FORMULACIÓN!M23&gt;L23,L23&gt;0),1,0),IF((L23/FORMULACIÓN!M23)&lt;&gt;0,L23/FORMULACIÓN!M23,0)),"")</f>
        <v>0</v>
      </c>
      <c r="AQ23" s="117">
        <f>IFERROR(IF($H23=Lists!$S$6,IF(AND(FORMULACIÓN!N23&gt;M23,M23&gt;0),1,0),IF((M23/FORMULACIÓN!N23)&lt;&gt;0,M23/FORMULACIÓN!N23,0)),"")</f>
        <v>0</v>
      </c>
      <c r="AR23" s="117">
        <f>IFERROR(IF($H23=Lists!$S$6,IF(AND(FORMULACIÓN!O23&gt;N23,N23&gt;0),1,0),IF((N23/FORMULACIÓN!O23)&lt;&gt;0,N23/FORMULACIÓN!O23,0)),"")</f>
        <v>0</v>
      </c>
      <c r="AS23" s="110"/>
      <c r="AT23" s="118" t="str">
        <f ca="1">IF($H23=Lists!$S$6,TEXT(COUNTIF('SEGUIMIENTO Y EVALUACIÓN'!K23:N23,"&lt;"&amp;FORMULACIÓN!Q23),"##.###")&amp;" / "&amp;TEXT(COUNTIF('SEGUIMIENTO Y EVALUACIÓN'!K23:N23,"&gt;"&amp;0),"##.###"),IF($G23=Lists!$R$3,TEXT('SEGUIMIENTO Y EVALUACIÓN'!O23,"00,00%")&amp;" / "&amp;TEXT(FORMULACIÓN!P23,"00,00%"),IF('SEGUIMIENTO Y EVALUACIÓN'!O23=0,0,TEXT('SEGUIMIENTO Y EVALUACIÓN'!O23,"##.###")&amp;" / "&amp;TEXT(FORMULACIÓN!P23,"##.###"))))</f>
        <v>33,00% / 60,00%</v>
      </c>
      <c r="AU23" s="57">
        <f ca="1">IFERROR(IF((P23/FORMULACIÓN!Q23)&lt;&gt;0,IF($H23=Lists!$S$6,COUNTIF('SEGUIMIENTO Y EVALUACIÓN'!K23:N23,"&lt;"&amp;FORMULACIÓN!Q23),'SEGUIMIENTO Y EVALUACIÓN'!P23)/IF($H23=Lists!$S$6,COUNTIF('SEGUIMIENTO Y EVALUACIÓN'!K23:N23,"&gt;"&amp;0),FORMULACIÓN!P23),0),0)</f>
        <v>0.54999999999999993</v>
      </c>
      <c r="AV23" s="93">
        <f t="shared" ca="1" si="6"/>
        <v>1.0999999999999999E-2</v>
      </c>
      <c r="AW23" s="93" cm="1">
        <f t="array" ref="AW23">IF(INDEX(AO23:AU23,1,$AV$3)&gt;1,IF($AU$2=1,1,INDEX(AO23:AU23,1,$AV$3)),INDEX(AO23:AU23,1,$AV$3))</f>
        <v>1</v>
      </c>
      <c r="AX23"/>
      <c r="AY23" s="119" t="str">
        <f>IFERROR(IF((W23/FORMULACIÓN!X23)&lt;&gt;0,W23/FORMULACIÓN!X23,0),"")</f>
        <v/>
      </c>
      <c r="AZ23" s="119" t="str">
        <f>IFERROR(IF((AA23/FORMULACIÓN!AB23)&lt;&gt;0,AA23/FORMULACIÓN!AB23,0),"")</f>
        <v/>
      </c>
      <c r="BA23" s="119" t="str">
        <f>IFERROR(IF((AE23/FORMULACIÓN!AF23)&lt;&gt;0,(AE23/FORMULACIÓN!AF23),0),"")</f>
        <v/>
      </c>
      <c r="BB23" s="119" t="str">
        <f>IFERROR(IF((AI23/FORMULACIÓN!AJ23)&lt;&gt;0,AI23/FORMULACIÓN!AJ23,0),"")</f>
        <v/>
      </c>
      <c r="BC23" s="120" t="str">
        <f>IF('SEGUIMIENTO Y EVALUACIÓN'!AI23=0,0,TEXT('SEGUIMIENTO Y EVALUACIÓN'!AI23,"$ ##.###")&amp;" / "&amp;TEXT(FORMULACIÓN!AK23,"$ ##.###"))</f>
        <v xml:space="preserve"> / $ 23.071.605.940</v>
      </c>
      <c r="BD23" s="57">
        <f>IFERROR(IF((AJ23/FORMULACIÓN!AK23)&lt;&gt;0,AJ23/FORMULACIÓN!AK23,0),0)</f>
        <v>0</v>
      </c>
      <c r="BG23"/>
      <c r="BH23"/>
      <c r="BI23"/>
      <c r="BJ23"/>
      <c r="BK23"/>
      <c r="BL23"/>
      <c r="BM23"/>
      <c r="BN23"/>
      <c r="BO23"/>
      <c r="CL23" s="7"/>
    </row>
    <row r="24" spans="1:90" s="1" customFormat="1" ht="67.5">
      <c r="A24" s="45">
        <f>IF(FORMULACIÓN!A24="","",FORMULACIÓN!A24)</f>
        <v>13</v>
      </c>
      <c r="B24" s="45" t="str">
        <f>IF(FORMULACIÓN!B24="","",FORMULACIÓN!B24)</f>
        <v>L1 - Formación Académica Integral</v>
      </c>
      <c r="C24" s="45" t="str">
        <f>IF(FORMULACIÓN!E24="","",FORMULACIÓN!E24)</f>
        <v>M2 - Transformación digital</v>
      </c>
      <c r="D24" s="45" t="str">
        <f>IF(FORMULACIÓN!F24="","",FORMULACIÓN!F24)</f>
        <v>Implementar la Política de uso y apropiación de las TIC en la Universidad del Atlántico</v>
      </c>
      <c r="E24" s="45" t="str">
        <f>IF(FORMULACIÓN!G24="","",FORMULACIÓN!G24)</f>
        <v>Diseño e implementación de la Política de uso y apropiación de las TIC en la Universidad del Atlántico</v>
      </c>
      <c r="F24" s="45" t="str">
        <f>IF(FORMULACIÓN!H24="","",FORMULACIÓN!H24)</f>
        <v>N° de lineamientos implementados de la Política / total de lineamientos de la Política de uso y apropiación de las TIC en la Universidad del Atlántico * 100</v>
      </c>
      <c r="G24" s="45" t="str">
        <f>IF(FORMULACIÓN!I24="","",FORMULACIÓN!I24)</f>
        <v>Porcentaje</v>
      </c>
      <c r="H24" s="45" t="str">
        <f>IF(FORMULACIÓN!J24="","",FORMULACIÓN!J24)</f>
        <v>Acumulado</v>
      </c>
      <c r="I24" s="188" t="str">
        <f ca="1">IF($G24=Lists!$R$3,"PDI: "&amp;TEXT(FORMULACIÓN!Q24,"00,00%")&amp;CHAR(10)&amp;CHAR(10)&amp;"T1: "&amp;TEXT(FORMULACIÓN!L24,"00,00%")&amp;CHAR(10)&amp;"T2: "&amp;TEXT(FORMULACIÓN!M24,"00,00%")&amp;CHAR(10)&amp;"T3: "&amp;TEXT(FORMULACIÓN!N24,"00,00%")&amp;CHAR(10)&amp;"Tn: "&amp;TEXT(FORMULACIÓN!O24,"00,00%"),IF(FORMULACIÓN!Q24=0,0,"PDI: "&amp;TEXT(FORMULACIÓN!Q24,"##.###")&amp;CHAR(10)&amp;CHAR(10)&amp;"T1: "&amp;TEXT(FORMULACIÓN!L24,"##.###")&amp;CHAR(10)&amp;"T2: "&amp;TEXT(FORMULACIÓN!M24,"##.###")&amp;CHAR(10)&amp;"T3: "&amp;TEXT(FORMULACIÓN!N24,"##.###")&amp;CHAR(10)&amp;"Tn: "&amp;TEXT(FORMULACIÓN!O24,"##.###")))</f>
        <v>PDI: 100,00%
T1: 40,00%
T2: 20,00%
T3: 20,00%
Tn: 10,00%</v>
      </c>
      <c r="J24" s="122">
        <f>IF(FORMULACIÓN!K24&lt;&gt;"",FORMULACIÓN!K24,"")</f>
        <v>0.1</v>
      </c>
      <c r="K24" s="309">
        <v>0.54</v>
      </c>
      <c r="L24" s="58"/>
      <c r="M24" s="58"/>
      <c r="N24" s="58"/>
      <c r="O24" s="47">
        <f ca="1">IFERROR(IF($H24=Lists!$S$2,SUM('SEGUIMIENTO Y EVALUACIÓN'!J24:N24),IF('SEGUIMIENTO Y EVALUACIÓN'!$H24=Lists!$S$3,SUM('SEGUIMIENTO Y EVALUACIÓN'!K24:N24),IF('SEGUIMIENTO Y EVALUACIÓN'!$H24=Lists!$S$4,AVERAGE('SEGUIMIENTO Y EVALUACIÓN'!K24:N24),IF('SEGUIMIENTO Y EVALUACIÓN'!$H24=Lists!$S$5,OFFSET(J24,0,COUNTA(K24:N24)),IF($H24=Lists!$S$6,COUNTIF(K24:N24,"&lt;"&amp;FORMULACIÓN!Q24)/COUNT('SEGUIMIENTO Y EVALUACIÓN'!K24:N24),""))))),"")</f>
        <v>0.64</v>
      </c>
      <c r="P24" s="51" t="str">
        <f ca="1">IF($G24=Lists!$R$3,TEXT('SEGUIMIENTO Y EVALUACIÓN'!O24,"00,00%"),IF('SEGUIMIENTO Y EVALUACIÓN'!O24=0,0,TEXT('SEGUIMIENTO Y EVALUACIÓN'!O24,"##.###")))</f>
        <v>64,00%</v>
      </c>
      <c r="Q24" s="209" t="str">
        <f>IF(FORMULACIÓN!R24&lt;&gt;"",FORMULACIÓN!R24,"")</f>
        <v>P1 - Competencias digitales</v>
      </c>
      <c r="R24" s="209">
        <f>IF(FORMULACIÓN!S24&lt;&gt;"",FORMULACIÓN!S24,"")</f>
        <v>2.5000000000000001E-2</v>
      </c>
      <c r="S24" s="209" t="str">
        <f>IF(FORMULACIÓN!T24&lt;&gt;"",FORMULACIÓN!T24,"")</f>
        <v>Vicerrector de Docencia</v>
      </c>
      <c r="T24" s="42"/>
      <c r="U24" s="42"/>
      <c r="V24" s="42"/>
      <c r="W24" s="43" t="str">
        <f t="shared" si="0"/>
        <v/>
      </c>
      <c r="X24" s="42"/>
      <c r="Y24" s="42"/>
      <c r="Z24" s="42"/>
      <c r="AA24" s="43" t="str">
        <f t="shared" si="1"/>
        <v/>
      </c>
      <c r="AB24" s="42"/>
      <c r="AC24" s="42"/>
      <c r="AD24" s="42"/>
      <c r="AE24" s="43" t="str">
        <f t="shared" si="2"/>
        <v/>
      </c>
      <c r="AF24" s="42"/>
      <c r="AG24" s="42"/>
      <c r="AH24" s="42"/>
      <c r="AI24" s="46" t="str">
        <f t="shared" si="3"/>
        <v/>
      </c>
      <c r="AJ24" s="46" t="str">
        <f>IF(SUM(AA24,AE24,W24,AI24)=0,"",SUM((AA24,AE24,W24,AI24)))</f>
        <v/>
      </c>
      <c r="AK24"/>
      <c r="AL24" s="1" t="str">
        <f t="shared" si="4"/>
        <v>L1M2P1</v>
      </c>
      <c r="AM24" s="56" t="str">
        <f t="shared" si="5"/>
        <v>Diseño e implementación de la Política de uso y apropiación de las TIC en la Universidad del Atlántico</v>
      </c>
      <c r="AN24" s="112" t="str">
        <f>IF($G24=Lists!$R$3,"T1: "&amp;TEXT(FORMULACIÓN!L24,"00,00%")&amp;CHAR(10)&amp;"T2: "&amp;TEXT(FORMULACIÓN!M24,"00,00%")&amp;CHAR(10)&amp;"T3: "&amp;TEXT(FORMULACIÓN!N24,"00,00%")&amp;CHAR(10)&amp;"Tn: "&amp;TEXT(FORMULACIÓN!O24,"00,00%"),IF(FORMULACIÓN!Q24=0,0,"T1: "&amp;TEXT(FORMULACIÓN!L24,"##.###")&amp;CHAR(10)&amp;"T2: "&amp;TEXT(FORMULACIÓN!M24,"##.###")&amp;CHAR(10)&amp;"T3: "&amp;TEXT(FORMULACIÓN!N24,"##.###")&amp;CHAR(10)&amp;"Tn: "&amp;TEXT(FORMULACIÓN!O24,"##.###")))</f>
        <v>T1: 40,00%
T2: 20,00%
T3: 20,00%
Tn: 10,00%</v>
      </c>
      <c r="AO24" s="117">
        <f>IFERROR(IF($H24=Lists!$S$6,IF(AND(FORMULACIÓN!L24&gt;K24,K24&gt;0),1,0),IF((K24/FORMULACIÓN!L24)&lt;&gt;0,K24/FORMULACIÓN!L24,0)),"")</f>
        <v>1.35</v>
      </c>
      <c r="AP24" s="117">
        <f>IFERROR(IF($H24=Lists!$S$6,IF(AND(FORMULACIÓN!M24&gt;L24,L24&gt;0),1,0),IF((L24/FORMULACIÓN!M24)&lt;&gt;0,L24/FORMULACIÓN!M24,0)),"")</f>
        <v>0</v>
      </c>
      <c r="AQ24" s="117">
        <f>IFERROR(IF($H24=Lists!$S$6,IF(AND(FORMULACIÓN!N24&gt;M24,M24&gt;0),1,0),IF((M24/FORMULACIÓN!N24)&lt;&gt;0,M24/FORMULACIÓN!N24,0)),"")</f>
        <v>0</v>
      </c>
      <c r="AR24" s="117">
        <f>IFERROR(IF($H24=Lists!$S$6,IF(AND(FORMULACIÓN!O24&gt;N24,N24&gt;0),1,0),IF((N24/FORMULACIÓN!O24)&lt;&gt;0,N24/FORMULACIÓN!O24,0)),"")</f>
        <v>0</v>
      </c>
      <c r="AS24" s="110"/>
      <c r="AT24" s="118" t="str">
        <f ca="1">IF($H24=Lists!$S$6,TEXT(COUNTIF('SEGUIMIENTO Y EVALUACIÓN'!K24:N24,"&lt;"&amp;FORMULACIÓN!Q24),"##.###")&amp;" / "&amp;TEXT(COUNTIF('SEGUIMIENTO Y EVALUACIÓN'!K24:N24,"&gt;"&amp;0),"##.###"),IF($G24=Lists!$R$3,TEXT('SEGUIMIENTO Y EVALUACIÓN'!O24,"00,00%")&amp;" / "&amp;TEXT(FORMULACIÓN!P24,"00,00%"),IF('SEGUIMIENTO Y EVALUACIÓN'!O24=0,0,TEXT('SEGUIMIENTO Y EVALUACIÓN'!O24,"##.###")&amp;" / "&amp;TEXT(FORMULACIÓN!P24,"##.###"))))</f>
        <v>64,00% / 100,00%</v>
      </c>
      <c r="AU24" s="57">
        <f ca="1">IFERROR(IF((P24/FORMULACIÓN!Q24)&lt;&gt;0,IF($H24=Lists!$S$6,COUNTIF('SEGUIMIENTO Y EVALUACIÓN'!K24:N24,"&lt;"&amp;FORMULACIÓN!Q24),'SEGUIMIENTO Y EVALUACIÓN'!P24)/IF($H24=Lists!$S$6,COUNTIF('SEGUIMIENTO Y EVALUACIÓN'!K24:N24,"&gt;"&amp;0),FORMULACIÓN!P24),0),0)</f>
        <v>0.64000000000000012</v>
      </c>
      <c r="AV24" s="93">
        <f t="shared" ca="1" si="6"/>
        <v>1.6000000000000004E-2</v>
      </c>
      <c r="AW24" s="93" cm="1">
        <f t="array" ref="AW24">IF(INDEX(AO24:AU24,1,$AV$3)&gt;1,IF($AU$2=1,1,INDEX(AO24:AU24,1,$AV$3)),INDEX(AO24:AU24,1,$AV$3))</f>
        <v>1</v>
      </c>
      <c r="AX24"/>
      <c r="AY24" s="119" t="str">
        <f>IFERROR(IF((W24/FORMULACIÓN!X24)&lt;&gt;0,W24/FORMULACIÓN!X24,0),"")</f>
        <v/>
      </c>
      <c r="AZ24" s="119" t="str">
        <f>IFERROR(IF((AA24/FORMULACIÓN!AB24)&lt;&gt;0,AA24/FORMULACIÓN!AB24,0),"")</f>
        <v/>
      </c>
      <c r="BA24" s="119" t="str">
        <f>IFERROR(IF((AE24/FORMULACIÓN!AF24)&lt;&gt;0,(AE24/FORMULACIÓN!AF24),0),"")</f>
        <v/>
      </c>
      <c r="BB24" s="119" t="str">
        <f>IFERROR(IF((AI24/FORMULACIÓN!AJ24)&lt;&gt;0,AI24/FORMULACIÓN!AJ24,0),"")</f>
        <v/>
      </c>
      <c r="BC24" s="120" t="str">
        <f>IF('SEGUIMIENTO Y EVALUACIÓN'!AI24=0,0,TEXT('SEGUIMIENTO Y EVALUACIÓN'!AI24,"$ ##.###")&amp;" / "&amp;TEXT(FORMULACIÓN!AK24,"$ ##.###"))</f>
        <v xml:space="preserve"> / $ 31.421.422.727</v>
      </c>
      <c r="BD24" s="57">
        <f>IFERROR(IF((AJ24/FORMULACIÓN!AK24)&lt;&gt;0,AJ24/FORMULACIÓN!AK24,0),0)</f>
        <v>0</v>
      </c>
      <c r="BG24"/>
      <c r="BH24"/>
      <c r="BI24"/>
      <c r="BJ24"/>
      <c r="BK24"/>
      <c r="BL24"/>
      <c r="BM24"/>
      <c r="BN24"/>
      <c r="BO24"/>
      <c r="CL24" s="7"/>
    </row>
    <row r="25" spans="1:90" s="1" customFormat="1" ht="67.5">
      <c r="A25" s="45">
        <f>IF(FORMULACIÓN!A25="","",FORMULACIÓN!A25)</f>
        <v>14</v>
      </c>
      <c r="B25" s="45" t="str">
        <f>IF(FORMULACIÓN!B25="","",FORMULACIÓN!B25)</f>
        <v>L1 - Formación Académica Integral</v>
      </c>
      <c r="C25" s="45" t="str">
        <f>IF(FORMULACIÓN!E25="","",FORMULACIÓN!E25)</f>
        <v>M2 - Transformación digital</v>
      </c>
      <c r="D25" s="45" t="str">
        <f>IF(FORMULACIÓN!F25="","",FORMULACIÓN!F25)</f>
        <v xml:space="preserve">Lograr que al menos el 50% de los programas académicos apliquen prácticas de innovación educativa y crear al menos 800 recursos digitales para la docencia con impacto positivo en la población.
(Ejemplos: aplica aprendizaje inverso, automatización de las prácticas de laboratorio, simuladores, plataformas, construcción de ebook)  </v>
      </c>
      <c r="E25" s="45" t="str">
        <f>IF(FORMULACIÓN!G25="","",FORMULACIÓN!G25)</f>
        <v>N° de prácticas de innovación educativa con TIC por programa académico</v>
      </c>
      <c r="F25" s="45" t="str">
        <f>IF(FORMULACIÓN!H25="","",FORMULACIÓN!H25)</f>
        <v xml:space="preserve">N° de programas académicos que ha implementado prácticas de innovación educativa mediadas por TIC   / total de programas académicos * 100  </v>
      </c>
      <c r="G25" s="45" t="str">
        <f>IF(FORMULACIÓN!I25="","",FORMULACIÓN!I25)</f>
        <v>Porcentaje</v>
      </c>
      <c r="H25" s="45" t="str">
        <f>IF(FORMULACIÓN!J25="","",FORMULACIÓN!J25)</f>
        <v>Acumulado</v>
      </c>
      <c r="I25" s="188" t="str">
        <f ca="1">IF($G25=Lists!$R$3,"PDI: "&amp;TEXT(FORMULACIÓN!Q25,"00,00%")&amp;CHAR(10)&amp;CHAR(10)&amp;"T1: "&amp;TEXT(FORMULACIÓN!L25,"00,00%")&amp;CHAR(10)&amp;"T2: "&amp;TEXT(FORMULACIÓN!M25,"00,00%")&amp;CHAR(10)&amp;"T3: "&amp;TEXT(FORMULACIÓN!N25,"00,00%")&amp;CHAR(10)&amp;"Tn: "&amp;TEXT(FORMULACIÓN!O25,"00,00%"),IF(FORMULACIÓN!Q25=0,0,"PDI: "&amp;TEXT(FORMULACIÓN!Q25,"##.###")&amp;CHAR(10)&amp;CHAR(10)&amp;"T1: "&amp;TEXT(FORMULACIÓN!L25,"##.###")&amp;CHAR(10)&amp;"T2: "&amp;TEXT(FORMULACIÓN!M25,"##.###")&amp;CHAR(10)&amp;"T3: "&amp;TEXT(FORMULACIÓN!N25,"##.###")&amp;CHAR(10)&amp;"Tn: "&amp;TEXT(FORMULACIÓN!O25,"##.###")))</f>
        <v>PDI: 50,00%
T1: 20,00%
T2: 15,00%
T3: 10,00%
Tn: 05,00%</v>
      </c>
      <c r="J25" s="122">
        <f>IF(FORMULACIÓN!K25&lt;&gt;"",FORMULACIÓN!K25,"")</f>
        <v>0</v>
      </c>
      <c r="K25" s="309">
        <v>0.1368</v>
      </c>
      <c r="L25" s="58"/>
      <c r="M25" s="58"/>
      <c r="N25" s="58"/>
      <c r="O25" s="47">
        <f ca="1">IFERROR(IF($H25=Lists!$S$2,SUM('SEGUIMIENTO Y EVALUACIÓN'!J25:N25),IF('SEGUIMIENTO Y EVALUACIÓN'!$H25=Lists!$S$3,SUM('SEGUIMIENTO Y EVALUACIÓN'!K25:N25),IF('SEGUIMIENTO Y EVALUACIÓN'!$H25=Lists!$S$4,AVERAGE('SEGUIMIENTO Y EVALUACIÓN'!K25:N25),IF('SEGUIMIENTO Y EVALUACIÓN'!$H25=Lists!$S$5,OFFSET(J25,0,COUNTA(K25:N25)),IF($H25=Lists!$S$6,COUNTIF(K25:N25,"&lt;"&amp;FORMULACIÓN!Q25)/COUNT('SEGUIMIENTO Y EVALUACIÓN'!K25:N25),""))))),"")</f>
        <v>0.1368</v>
      </c>
      <c r="P25" s="51" t="str">
        <f ca="1">IF($G25=Lists!$R$3,TEXT('SEGUIMIENTO Y EVALUACIÓN'!O25,"00,00%"),IF('SEGUIMIENTO Y EVALUACIÓN'!O25=0,0,TEXT('SEGUIMIENTO Y EVALUACIÓN'!O25,"##.###")))</f>
        <v>13,68%</v>
      </c>
      <c r="Q25" s="209" t="str">
        <f>IF(FORMULACIÓN!R25&lt;&gt;"",FORMULACIÓN!R25,"")</f>
        <v>P1 - Competencias digitales</v>
      </c>
      <c r="R25" s="209">
        <f>IF(FORMULACIÓN!S25&lt;&gt;"",FORMULACIÓN!S25,"")</f>
        <v>2.5000000000000001E-2</v>
      </c>
      <c r="S25" s="209" t="str">
        <f>IF(FORMULACIÓN!T25&lt;&gt;"",FORMULACIÓN!T25,"")</f>
        <v>Vicerrector de Docencia</v>
      </c>
      <c r="T25" s="42"/>
      <c r="U25" s="42"/>
      <c r="V25" s="42"/>
      <c r="W25" s="43" t="str">
        <f t="shared" si="0"/>
        <v/>
      </c>
      <c r="X25" s="42"/>
      <c r="Y25" s="42"/>
      <c r="Z25" s="42"/>
      <c r="AA25" s="43" t="str">
        <f t="shared" si="1"/>
        <v/>
      </c>
      <c r="AB25" s="42"/>
      <c r="AC25" s="42"/>
      <c r="AD25" s="42"/>
      <c r="AE25" s="43" t="str">
        <f t="shared" si="2"/>
        <v/>
      </c>
      <c r="AF25" s="42"/>
      <c r="AG25" s="42"/>
      <c r="AH25" s="42"/>
      <c r="AI25" s="46" t="str">
        <f t="shared" si="3"/>
        <v/>
      </c>
      <c r="AJ25" s="46" t="str">
        <f>IF(SUM(AA25,AE25,W25,AI25)=0,"",SUM((AA25,AE25,W25,AI25)))</f>
        <v/>
      </c>
      <c r="AK25"/>
      <c r="AL25" s="1" t="str">
        <f t="shared" si="4"/>
        <v>L1M2P1</v>
      </c>
      <c r="AM25" s="56" t="str">
        <f t="shared" si="5"/>
        <v>N° de prácticas de innovación educativa con TIC por programa académico</v>
      </c>
      <c r="AN25" s="112" t="str">
        <f>IF($G25=Lists!$R$3,"T1: "&amp;TEXT(FORMULACIÓN!L25,"00,00%")&amp;CHAR(10)&amp;"T2: "&amp;TEXT(FORMULACIÓN!M25,"00,00%")&amp;CHAR(10)&amp;"T3: "&amp;TEXT(FORMULACIÓN!N25,"00,00%")&amp;CHAR(10)&amp;"Tn: "&amp;TEXT(FORMULACIÓN!O25,"00,00%"),IF(FORMULACIÓN!Q25=0,0,"T1: "&amp;TEXT(FORMULACIÓN!L25,"##.###")&amp;CHAR(10)&amp;"T2: "&amp;TEXT(FORMULACIÓN!M25,"##.###")&amp;CHAR(10)&amp;"T3: "&amp;TEXT(FORMULACIÓN!N25,"##.###")&amp;CHAR(10)&amp;"Tn: "&amp;TEXT(FORMULACIÓN!O25,"##.###")))</f>
        <v>T1: 20,00%
T2: 15,00%
T3: 10,00%
Tn: 05,00%</v>
      </c>
      <c r="AO25" s="117">
        <f>IFERROR(IF($H25=Lists!$S$6,IF(AND(FORMULACIÓN!L25&gt;K25,K25&gt;0),1,0),IF((K25/FORMULACIÓN!L25)&lt;&gt;0,K25/FORMULACIÓN!L25,0)),"")</f>
        <v>0.68399999999999994</v>
      </c>
      <c r="AP25" s="117">
        <f>IFERROR(IF($H25=Lists!$S$6,IF(AND(FORMULACIÓN!M25&gt;L25,L25&gt;0),1,0),IF((L25/FORMULACIÓN!M25)&lt;&gt;0,L25/FORMULACIÓN!M25,0)),"")</f>
        <v>0</v>
      </c>
      <c r="AQ25" s="117">
        <f>IFERROR(IF($H25=Lists!$S$6,IF(AND(FORMULACIÓN!N25&gt;M25,M25&gt;0),1,0),IF((M25/FORMULACIÓN!N25)&lt;&gt;0,M25/FORMULACIÓN!N25,0)),"")</f>
        <v>0</v>
      </c>
      <c r="AR25" s="117">
        <f>IFERROR(IF($H25=Lists!$S$6,IF(AND(FORMULACIÓN!O25&gt;N25,N25&gt;0),1,0),IF((N25/FORMULACIÓN!O25)&lt;&gt;0,N25/FORMULACIÓN!O25,0)),"")</f>
        <v>0</v>
      </c>
      <c r="AS25" s="110"/>
      <c r="AT25" s="118" t="str">
        <f ca="1">IF($H25=Lists!$S$6,TEXT(COUNTIF('SEGUIMIENTO Y EVALUACIÓN'!K25:N25,"&lt;"&amp;FORMULACIÓN!Q25),"##.###")&amp;" / "&amp;TEXT(COUNTIF('SEGUIMIENTO Y EVALUACIÓN'!K25:N25,"&gt;"&amp;0),"##.###"),IF($G25=Lists!$R$3,TEXT('SEGUIMIENTO Y EVALUACIÓN'!O25,"00,00%")&amp;" / "&amp;TEXT(FORMULACIÓN!P25,"00,00%"),IF('SEGUIMIENTO Y EVALUACIÓN'!O25=0,0,TEXT('SEGUIMIENTO Y EVALUACIÓN'!O25,"##.###")&amp;" / "&amp;TEXT(FORMULACIÓN!P25,"##.###"))))</f>
        <v>13,68% / 50,00%</v>
      </c>
      <c r="AU25" s="57">
        <f ca="1">IFERROR(IF((P25/FORMULACIÓN!Q25)&lt;&gt;0,IF($H25=Lists!$S$6,COUNTIF('SEGUIMIENTO Y EVALUACIÓN'!K25:N25,"&lt;"&amp;FORMULACIÓN!Q25),'SEGUIMIENTO Y EVALUACIÓN'!P25)/IF($H25=Lists!$S$6,COUNTIF('SEGUIMIENTO Y EVALUACIÓN'!K25:N25,"&gt;"&amp;0),FORMULACIÓN!P25),0),0)</f>
        <v>0.27360000000000007</v>
      </c>
      <c r="AV25" s="93">
        <f t="shared" ca="1" si="6"/>
        <v>6.8400000000000023E-3</v>
      </c>
      <c r="AW25" s="93" cm="1">
        <f t="array" ref="AW25">IF(INDEX(AO25:AU25,1,$AV$3)&gt;1,IF($AU$2=1,1,INDEX(AO25:AU25,1,$AV$3)),INDEX(AO25:AU25,1,$AV$3))</f>
        <v>0.68399999999999994</v>
      </c>
      <c r="AX25"/>
      <c r="AY25" s="119" t="str">
        <f>IFERROR(IF((W25/FORMULACIÓN!X25)&lt;&gt;0,W25/FORMULACIÓN!X25,0),"")</f>
        <v/>
      </c>
      <c r="AZ25" s="119" t="str">
        <f>IFERROR(IF((AA25/FORMULACIÓN!AB25)&lt;&gt;0,AA25/FORMULACIÓN!AB25,0),"")</f>
        <v/>
      </c>
      <c r="BA25" s="119" t="str">
        <f>IFERROR(IF((AE25/FORMULACIÓN!AF25)&lt;&gt;0,(AE25/FORMULACIÓN!AF25),0),"")</f>
        <v/>
      </c>
      <c r="BB25" s="119" t="str">
        <f>IFERROR(IF((AI25/FORMULACIÓN!AJ25)&lt;&gt;0,AI25/FORMULACIÓN!AJ25,0),"")</f>
        <v/>
      </c>
      <c r="BC25" s="120" t="str">
        <f>IF('SEGUIMIENTO Y EVALUACIÓN'!AI25=0,0,TEXT('SEGUIMIENTO Y EVALUACIÓN'!AI25,"$ ##.###")&amp;" / "&amp;TEXT(FORMULACIÓN!AK25,"$ ##.###"))</f>
        <v xml:space="preserve"> / $ 37.379.518.068</v>
      </c>
      <c r="BD25" s="57">
        <f>IFERROR(IF((AJ25/FORMULACIÓN!AK25)&lt;&gt;0,AJ25/FORMULACIÓN!AK25,0),0)</f>
        <v>0</v>
      </c>
      <c r="BG25"/>
      <c r="BH25"/>
      <c r="BI25"/>
      <c r="BJ25"/>
      <c r="BK25"/>
      <c r="BL25"/>
      <c r="BM25"/>
      <c r="BN25"/>
      <c r="BO25"/>
      <c r="CL25" s="7"/>
    </row>
    <row r="26" spans="1:90" s="1" customFormat="1" ht="67.5">
      <c r="A26" s="45">
        <f>IF(FORMULACIÓN!A26="","",FORMULACIÓN!A26)</f>
        <v>15</v>
      </c>
      <c r="B26" s="45" t="str">
        <f>IF(FORMULACIÓN!B26="","",FORMULACIÓN!B26)</f>
        <v>L1 - Formación Académica Integral</v>
      </c>
      <c r="C26" s="45" t="str">
        <f>IF(FORMULACIÓN!E26="","",FORMULACIÓN!E26)</f>
        <v>M2 - Transformación digital</v>
      </c>
      <c r="D26" s="45" t="str">
        <f>IF(FORMULACIÓN!F26="","",FORMULACIÓN!F26)</f>
        <v xml:space="preserve">Lograr que al menos el 50% de los programas académicos apliquen prácticas de innovación educativa y crear al menos 800 recursos digitales para la docencia con impacto positivo en la población.
(Ejemplos: aplica aprendizaje inverso, automatización de las prácticas de laboratorio, simuladores, plataformas, construcción de ebook)  </v>
      </c>
      <c r="E26" s="45" t="str">
        <f>IF(FORMULACIÓN!G26="","",FORMULACIÓN!G26)</f>
        <v>Disponibilidad de recursos digitales para apoyo a la docencia (plataformas que ofrece la UA)</v>
      </c>
      <c r="F26" s="45" t="str">
        <f>IF(FORMULACIÓN!H26="","",FORMULACIÓN!H26)</f>
        <v>N° de recursos digitales educativos habilitados por la UA para el desarrollo de la docencia</v>
      </c>
      <c r="G26" s="45" t="str">
        <f>IF(FORMULACIÓN!I26="","",FORMULACIÓN!I26)</f>
        <v>Unidad</v>
      </c>
      <c r="H26" s="45" t="str">
        <f>IF(FORMULACIÓN!J26="","",FORMULACIÓN!J26)</f>
        <v>Acumulado</v>
      </c>
      <c r="I26" s="188" t="str">
        <f ca="1">IF($G26=Lists!$R$3,"PDI: "&amp;TEXT(FORMULACIÓN!Q26,"00,00%")&amp;CHAR(10)&amp;CHAR(10)&amp;"T1: "&amp;TEXT(FORMULACIÓN!L26,"00,00%")&amp;CHAR(10)&amp;"T2: "&amp;TEXT(FORMULACIÓN!M26,"00,00%")&amp;CHAR(10)&amp;"T3: "&amp;TEXT(FORMULACIÓN!N26,"00,00%")&amp;CHAR(10)&amp;"Tn: "&amp;TEXT(FORMULACIÓN!O26,"00,00%"),IF(FORMULACIÓN!Q26=0,0,"PDI: "&amp;TEXT(FORMULACIÓN!Q26,"##.###")&amp;CHAR(10)&amp;CHAR(10)&amp;"T1: "&amp;TEXT(FORMULACIÓN!L26,"##.###")&amp;CHAR(10)&amp;"T2: "&amp;TEXT(FORMULACIÓN!M26,"##.###")&amp;CHAR(10)&amp;"T3: "&amp;TEXT(FORMULACIÓN!N26,"##.###")&amp;CHAR(10)&amp;"Tn: "&amp;TEXT(FORMULACIÓN!O26,"##.###")))</f>
        <v>PDI: 70
T1: 5
T2: 5
T3: 5
Tn: 5</v>
      </c>
      <c r="J26" s="122">
        <f>IF(FORMULACIÓN!K26&lt;&gt;"",FORMULACIÓN!K26,"")</f>
        <v>50</v>
      </c>
      <c r="K26" s="310">
        <v>4</v>
      </c>
      <c r="L26" s="58"/>
      <c r="M26" s="58"/>
      <c r="N26" s="58"/>
      <c r="O26" s="47">
        <f ca="1">IFERROR(IF($H26=Lists!$S$2,SUM('SEGUIMIENTO Y EVALUACIÓN'!J26:N26),IF('SEGUIMIENTO Y EVALUACIÓN'!$H26=Lists!$S$3,SUM('SEGUIMIENTO Y EVALUACIÓN'!K26:N26),IF('SEGUIMIENTO Y EVALUACIÓN'!$H26=Lists!$S$4,AVERAGE('SEGUIMIENTO Y EVALUACIÓN'!K26:N26),IF('SEGUIMIENTO Y EVALUACIÓN'!$H26=Lists!$S$5,OFFSET(J26,0,COUNTA(K26:N26)),IF($H26=Lists!$S$6,COUNTIF(K26:N26,"&lt;"&amp;FORMULACIÓN!Q26)/COUNT('SEGUIMIENTO Y EVALUACIÓN'!K26:N26),""))))),"")</f>
        <v>54</v>
      </c>
      <c r="P26" s="51" t="str">
        <f ca="1">IF($G26=Lists!$R$3,TEXT('SEGUIMIENTO Y EVALUACIÓN'!O26,"00,00%"),IF('SEGUIMIENTO Y EVALUACIÓN'!O26=0,0,TEXT('SEGUIMIENTO Y EVALUACIÓN'!O26,"##.###")))</f>
        <v>54</v>
      </c>
      <c r="Q26" s="209" t="str">
        <f>IF(FORMULACIÓN!R26&lt;&gt;"",FORMULACIÓN!R26,"")</f>
        <v>P2 - Fortalecimiento de recursos digitales para la docencia</v>
      </c>
      <c r="R26" s="209">
        <f>IF(FORMULACIÓN!S26&lt;&gt;"",FORMULACIÓN!S26,"")</f>
        <v>2.5000000000000001E-2</v>
      </c>
      <c r="S26" s="209" t="str">
        <f>IF(FORMULACIÓN!T26&lt;&gt;"",FORMULACIÓN!T26,"")</f>
        <v>Vicerrector de Docencia</v>
      </c>
      <c r="T26" s="42"/>
      <c r="U26" s="42"/>
      <c r="V26" s="42"/>
      <c r="W26" s="43" t="str">
        <f t="shared" si="0"/>
        <v/>
      </c>
      <c r="X26" s="42"/>
      <c r="Y26" s="42"/>
      <c r="Z26" s="42"/>
      <c r="AA26" s="43" t="str">
        <f t="shared" si="1"/>
        <v/>
      </c>
      <c r="AB26" s="42"/>
      <c r="AC26" s="42"/>
      <c r="AD26" s="42"/>
      <c r="AE26" s="43" t="str">
        <f t="shared" si="2"/>
        <v/>
      </c>
      <c r="AF26" s="42"/>
      <c r="AG26" s="42"/>
      <c r="AH26" s="42"/>
      <c r="AI26" s="46" t="str">
        <f t="shared" si="3"/>
        <v/>
      </c>
      <c r="AJ26" s="46" t="str">
        <f>IF(SUM(AA26,AE26,W26,AI26)=0,"",SUM((AA26,AE26,W26,AI26)))</f>
        <v/>
      </c>
      <c r="AK26"/>
      <c r="AL26" s="1" t="str">
        <f t="shared" si="4"/>
        <v>L1M2P2</v>
      </c>
      <c r="AM26" s="56" t="str">
        <f t="shared" si="5"/>
        <v>Disponibilidad de recursos digitales para apoyo a la docencia (plataformas que ofrece la UA)</v>
      </c>
      <c r="AN26" s="112" t="str">
        <f ca="1">IF($G26=Lists!$R$3,"T1: "&amp;TEXT(FORMULACIÓN!L26,"00,00%")&amp;CHAR(10)&amp;"T2: "&amp;TEXT(FORMULACIÓN!M26,"00,00%")&amp;CHAR(10)&amp;"T3: "&amp;TEXT(FORMULACIÓN!N26,"00,00%")&amp;CHAR(10)&amp;"Tn: "&amp;TEXT(FORMULACIÓN!O26,"00,00%"),IF(FORMULACIÓN!Q26=0,0,"T1: "&amp;TEXT(FORMULACIÓN!L26,"##.###")&amp;CHAR(10)&amp;"T2: "&amp;TEXT(FORMULACIÓN!M26,"##.###")&amp;CHAR(10)&amp;"T3: "&amp;TEXT(FORMULACIÓN!N26,"##.###")&amp;CHAR(10)&amp;"Tn: "&amp;TEXT(FORMULACIÓN!O26,"##.###")))</f>
        <v>T1: 5
T2: 5
T3: 5
Tn: 5</v>
      </c>
      <c r="AO26" s="117">
        <f>IFERROR(IF($H26=Lists!$S$6,IF(AND(FORMULACIÓN!L26&gt;K26,K26&gt;0),1,0),IF((K26/FORMULACIÓN!L26)&lt;&gt;0,K26/FORMULACIÓN!L26,0)),"")</f>
        <v>0.8</v>
      </c>
      <c r="AP26" s="117">
        <f>IFERROR(IF($H26=Lists!$S$6,IF(AND(FORMULACIÓN!M26&gt;L26,L26&gt;0),1,0),IF((L26/FORMULACIÓN!M26)&lt;&gt;0,L26/FORMULACIÓN!M26,0)),"")</f>
        <v>0</v>
      </c>
      <c r="AQ26" s="117">
        <f>IFERROR(IF($H26=Lists!$S$6,IF(AND(FORMULACIÓN!N26&gt;M26,M26&gt;0),1,0),IF((M26/FORMULACIÓN!N26)&lt;&gt;0,M26/FORMULACIÓN!N26,0)),"")</f>
        <v>0</v>
      </c>
      <c r="AR26" s="117">
        <f>IFERROR(IF($H26=Lists!$S$6,IF(AND(FORMULACIÓN!O26&gt;N26,N26&gt;0),1,0),IF((N26/FORMULACIÓN!O26)&lt;&gt;0,N26/FORMULACIÓN!O26,0)),"")</f>
        <v>0</v>
      </c>
      <c r="AS26" s="110"/>
      <c r="AT26" s="118" t="str">
        <f ca="1">IF($H26=Lists!$S$6,TEXT(COUNTIF('SEGUIMIENTO Y EVALUACIÓN'!K26:N26,"&lt;"&amp;FORMULACIÓN!Q26),"##.###")&amp;" / "&amp;TEXT(COUNTIF('SEGUIMIENTO Y EVALUACIÓN'!K26:N26,"&gt;"&amp;0),"##.###"),IF($G26=Lists!$R$3,TEXT('SEGUIMIENTO Y EVALUACIÓN'!O26,"00,00%")&amp;" / "&amp;TEXT(FORMULACIÓN!P26,"00,00%"),IF('SEGUIMIENTO Y EVALUACIÓN'!O26=0,0,TEXT('SEGUIMIENTO Y EVALUACIÓN'!O26,"##.###")&amp;" / "&amp;TEXT(FORMULACIÓN!P26,"##.###"))))</f>
        <v>54 / 70</v>
      </c>
      <c r="AU26" s="57">
        <f ca="1">IFERROR(IF((P26/FORMULACIÓN!Q26)&lt;&gt;0,IF($H26=Lists!$S$6,COUNTIF('SEGUIMIENTO Y EVALUACIÓN'!K26:N26,"&lt;"&amp;FORMULACIÓN!Q26),'SEGUIMIENTO Y EVALUACIÓN'!P26)/IF($H26=Lists!$S$6,COUNTIF('SEGUIMIENTO Y EVALUACIÓN'!K26:N26,"&gt;"&amp;0),FORMULACIÓN!P26),0),0)</f>
        <v>0.77142857142857146</v>
      </c>
      <c r="AV26" s="93">
        <f t="shared" ca="1" si="6"/>
        <v>1.9285714285714288E-2</v>
      </c>
      <c r="AW26" s="93" cm="1">
        <f t="array" ref="AW26">IF(INDEX(AO26:AU26,1,$AV$3)&gt;1,IF($AU$2=1,1,INDEX(AO26:AU26,1,$AV$3)),INDEX(AO26:AU26,1,$AV$3))</f>
        <v>0.8</v>
      </c>
      <c r="AX26"/>
      <c r="AY26" s="119" t="str">
        <f>IFERROR(IF((W26/FORMULACIÓN!X26)&lt;&gt;0,W26/FORMULACIÓN!X26,0),"")</f>
        <v/>
      </c>
      <c r="AZ26" s="119" t="str">
        <f>IFERROR(IF((AA26/FORMULACIÓN!AB26)&lt;&gt;0,AA26/FORMULACIÓN!AB26,0),"")</f>
        <v/>
      </c>
      <c r="BA26" s="119" t="str">
        <f>IFERROR(IF((AE26/FORMULACIÓN!AF26)&lt;&gt;0,(AE26/FORMULACIÓN!AF26),0),"")</f>
        <v/>
      </c>
      <c r="BB26" s="119" t="str">
        <f>IFERROR(IF((AI26/FORMULACIÓN!AJ26)&lt;&gt;0,AI26/FORMULACIÓN!AJ26,0),"")</f>
        <v/>
      </c>
      <c r="BC26" s="120" t="str">
        <f>IF('SEGUIMIENTO Y EVALUACIÓN'!AI26=0,0,TEXT('SEGUIMIENTO Y EVALUACIÓN'!AI26,"$ ##.###")&amp;" / "&amp;TEXT(FORMULACIÓN!AK26,"$ ##.###"))</f>
        <v xml:space="preserve"> / $ 37.869.725.888</v>
      </c>
      <c r="BD26" s="57">
        <f>IFERROR(IF((AJ26/FORMULACIÓN!AK26)&lt;&gt;0,AJ26/FORMULACIÓN!AK26,0),0)</f>
        <v>0</v>
      </c>
      <c r="BG26"/>
      <c r="BH26"/>
      <c r="BI26"/>
      <c r="BJ26"/>
      <c r="BK26"/>
      <c r="BL26"/>
      <c r="BM26"/>
      <c r="BN26"/>
      <c r="BO26"/>
      <c r="CL26" s="7"/>
    </row>
    <row r="27" spans="1:90" s="1" customFormat="1" ht="67.5">
      <c r="A27" s="45">
        <f>IF(FORMULACIÓN!A27="","",FORMULACIÓN!A27)</f>
        <v>16</v>
      </c>
      <c r="B27" s="45" t="str">
        <f>IF(FORMULACIÓN!B27="","",FORMULACIÓN!B27)</f>
        <v>L1 - Formación Académica Integral</v>
      </c>
      <c r="C27" s="45" t="str">
        <f>IF(FORMULACIÓN!E27="","",FORMULACIÓN!E27)</f>
        <v>M2 - Transformación digital</v>
      </c>
      <c r="D27" s="45" t="str">
        <f>IF(FORMULACIÓN!F27="","",FORMULACIÓN!F27)</f>
        <v xml:space="preserve">Lograr que al menos el 50% de los programas académicos apliquen prácticas de innovación educativa y crear al menos 800 recursos digitales para la docencia con impacto positivo en la población.
(Ejemplos: aplica aprendizaje inverso, automatización de las prácticas de laboratorio, simuladores, plataformas, construcción de ebook)  </v>
      </c>
      <c r="E27" s="45" t="str">
        <f>IF(FORMULACIÓN!G27="","",FORMULACIÓN!G27)</f>
        <v>Creación de recursos digitales por docentes</v>
      </c>
      <c r="F27" s="45" t="str">
        <f>IF(FORMULACIÓN!H27="","",FORMULACIÓN!H27)</f>
        <v>N° de recursos digitales creados por los docentes con disponibilidad en el Repositorio Institucional de la Biblioteca Digital</v>
      </c>
      <c r="G27" s="45" t="str">
        <f>IF(FORMULACIÓN!I27="","",FORMULACIÓN!I27)</f>
        <v>Unidad</v>
      </c>
      <c r="H27" s="45" t="str">
        <f>IF(FORMULACIÓN!J27="","",FORMULACIÓN!J27)</f>
        <v>Nuevo gestionado durante la vigencia</v>
      </c>
      <c r="I27" s="188" t="str">
        <f ca="1">IF($G27=Lists!$R$3,"PDI: "&amp;TEXT(FORMULACIÓN!Q27,"00,00%")&amp;CHAR(10)&amp;CHAR(10)&amp;"T1: "&amp;TEXT(FORMULACIÓN!L27,"00,00%")&amp;CHAR(10)&amp;"T2: "&amp;TEXT(FORMULACIÓN!M27,"00,00%")&amp;CHAR(10)&amp;"T3: "&amp;TEXT(FORMULACIÓN!N27,"00,00%")&amp;CHAR(10)&amp;"Tn: "&amp;TEXT(FORMULACIÓN!O27,"00,00%"),IF(FORMULACIÓN!Q27=0,0,"PDI: "&amp;TEXT(FORMULACIÓN!Q27,"##.###")&amp;CHAR(10)&amp;CHAR(10)&amp;"T1: "&amp;TEXT(FORMULACIÓN!L27,"##.###")&amp;CHAR(10)&amp;"T2: "&amp;TEXT(FORMULACIÓN!M27,"##.###")&amp;CHAR(10)&amp;"T3: "&amp;TEXT(FORMULACIÓN!N27,"##.###")&amp;CHAR(10)&amp;"Tn: "&amp;TEXT(FORMULACIÓN!O27,"##.###")))</f>
        <v>PDI: 800
T1: 240
T2: 240
T3: 240
Tn: 80</v>
      </c>
      <c r="J27" s="122">
        <f>IF(FORMULACIÓN!K27&lt;&gt;"",FORMULACIÓN!K27,"")</f>
        <v>60</v>
      </c>
      <c r="K27" s="310">
        <v>367</v>
      </c>
      <c r="L27" s="58"/>
      <c r="M27" s="201"/>
      <c r="N27" s="58"/>
      <c r="O27" s="47">
        <f ca="1">IFERROR(IF($H27=Lists!$S$2,SUM('SEGUIMIENTO Y EVALUACIÓN'!J27:N27),IF('SEGUIMIENTO Y EVALUACIÓN'!$H27=Lists!$S$3,SUM('SEGUIMIENTO Y EVALUACIÓN'!K27:N27),IF('SEGUIMIENTO Y EVALUACIÓN'!$H27=Lists!$S$4,AVERAGE('SEGUIMIENTO Y EVALUACIÓN'!K27:N27),IF('SEGUIMIENTO Y EVALUACIÓN'!$H27=Lists!$S$5,OFFSET(J27,0,COUNTA(K27:N27)),IF($H27=Lists!$S$6,COUNTIF(K27:N27,"&lt;"&amp;FORMULACIÓN!Q27)/COUNT('SEGUIMIENTO Y EVALUACIÓN'!K27:N27),""))))),"")</f>
        <v>367</v>
      </c>
      <c r="P27" s="51" t="str">
        <f ca="1">IF($G27=Lists!$R$3,TEXT('SEGUIMIENTO Y EVALUACIÓN'!O27,"00,00%"),IF('SEGUIMIENTO Y EVALUACIÓN'!O27=0,0,TEXT('SEGUIMIENTO Y EVALUACIÓN'!O27,"##.###")))</f>
        <v>367</v>
      </c>
      <c r="Q27" s="209" t="str">
        <f>IF(FORMULACIÓN!R27&lt;&gt;"",FORMULACIÓN!R27,"")</f>
        <v>P2 - Fortalecimiento de recursos digitales para la docencia</v>
      </c>
      <c r="R27" s="209">
        <f>IF(FORMULACIÓN!S27&lt;&gt;"",FORMULACIÓN!S27,"")</f>
        <v>2.5000000000000001E-2</v>
      </c>
      <c r="S27" s="209" t="str">
        <f>IF(FORMULACIÓN!T27&lt;&gt;"",FORMULACIÓN!T27,"")</f>
        <v>Vicerrector de Docencia</v>
      </c>
      <c r="T27" s="42"/>
      <c r="U27" s="42"/>
      <c r="V27" s="42"/>
      <c r="W27" s="43" t="str">
        <f t="shared" si="0"/>
        <v/>
      </c>
      <c r="X27" s="42"/>
      <c r="Y27" s="42"/>
      <c r="Z27" s="42"/>
      <c r="AA27" s="43" t="str">
        <f t="shared" si="1"/>
        <v/>
      </c>
      <c r="AB27" s="42"/>
      <c r="AC27" s="42"/>
      <c r="AD27" s="42"/>
      <c r="AE27" s="43" t="str">
        <f t="shared" si="2"/>
        <v/>
      </c>
      <c r="AF27" s="42"/>
      <c r="AG27" s="42"/>
      <c r="AH27" s="42"/>
      <c r="AI27" s="46" t="str">
        <f t="shared" si="3"/>
        <v/>
      </c>
      <c r="AJ27" s="46" t="str">
        <f>IF(SUM(AA27,AE27,W27,AI27)=0,"",SUM((AA27,AE27,W27,AI27)))</f>
        <v/>
      </c>
      <c r="AK27"/>
      <c r="AL27" s="1" t="str">
        <f t="shared" si="4"/>
        <v>L1M2P2</v>
      </c>
      <c r="AM27" s="56" t="str">
        <f t="shared" si="5"/>
        <v>Creación de recursos digitales por docentes</v>
      </c>
      <c r="AN27" s="112" t="str">
        <f ca="1">IF($G27=Lists!$R$3,"T1: "&amp;TEXT(FORMULACIÓN!L27,"00,00%")&amp;CHAR(10)&amp;"T2: "&amp;TEXT(FORMULACIÓN!M27,"00,00%")&amp;CHAR(10)&amp;"T3: "&amp;TEXT(FORMULACIÓN!N27,"00,00%")&amp;CHAR(10)&amp;"Tn: "&amp;TEXT(FORMULACIÓN!O27,"00,00%"),IF(FORMULACIÓN!Q27=0,0,"T1: "&amp;TEXT(FORMULACIÓN!L27,"##.###")&amp;CHAR(10)&amp;"T2: "&amp;TEXT(FORMULACIÓN!M27,"##.###")&amp;CHAR(10)&amp;"T3: "&amp;TEXT(FORMULACIÓN!N27,"##.###")&amp;CHAR(10)&amp;"Tn: "&amp;TEXT(FORMULACIÓN!O27,"##.###")))</f>
        <v>T1: 240
T2: 240
T3: 240
Tn: 80</v>
      </c>
      <c r="AO27" s="117">
        <f>IFERROR(IF($H27=Lists!$S$6,IF(AND(FORMULACIÓN!L27&gt;K27,K27&gt;0),1,0),IF((K27/FORMULACIÓN!L27)&lt;&gt;0,K27/FORMULACIÓN!L27,0)),"")</f>
        <v>1.5291666666666666</v>
      </c>
      <c r="AP27" s="117">
        <f>IFERROR(IF($H27=Lists!$S$6,IF(AND(FORMULACIÓN!M27&gt;L27,L27&gt;0),1,0),IF((L27/FORMULACIÓN!M27)&lt;&gt;0,L27/FORMULACIÓN!M27,0)),"")</f>
        <v>0</v>
      </c>
      <c r="AQ27" s="117">
        <f>IFERROR(IF($H27=Lists!$S$6,IF(AND(FORMULACIÓN!N27&gt;M27,M27&gt;0),1,0),IF((M27/FORMULACIÓN!N27)&lt;&gt;0,M27/FORMULACIÓN!N27,0)),"")</f>
        <v>0</v>
      </c>
      <c r="AR27" s="117">
        <f>IFERROR(IF($H27=Lists!$S$6,IF(AND(FORMULACIÓN!O27&gt;N27,N27&gt;0),1,0),IF((N27/FORMULACIÓN!O27)&lt;&gt;0,N27/FORMULACIÓN!O27,0)),"")</f>
        <v>0</v>
      </c>
      <c r="AS27" s="110"/>
      <c r="AT27" s="118" t="str">
        <f ca="1">IF($H27=Lists!$S$6,TEXT(COUNTIF('SEGUIMIENTO Y EVALUACIÓN'!K27:N27,"&lt;"&amp;FORMULACIÓN!Q27),"##.###")&amp;" / "&amp;TEXT(COUNTIF('SEGUIMIENTO Y EVALUACIÓN'!K27:N27,"&gt;"&amp;0),"##.###"),IF($G27=Lists!$R$3,TEXT('SEGUIMIENTO Y EVALUACIÓN'!O27,"00,00%")&amp;" / "&amp;TEXT(FORMULACIÓN!P27,"00,00%"),IF('SEGUIMIENTO Y EVALUACIÓN'!O27=0,0,TEXT('SEGUIMIENTO Y EVALUACIÓN'!O27,"##.###")&amp;" / "&amp;TEXT(FORMULACIÓN!P27,"##.###"))))</f>
        <v>367 / 800</v>
      </c>
      <c r="AU27" s="57">
        <f ca="1">IFERROR(IF((P27/FORMULACIÓN!Q27)&lt;&gt;0,IF($H27=Lists!$S$6,COUNTIF('SEGUIMIENTO Y EVALUACIÓN'!K27:N27,"&lt;"&amp;FORMULACIÓN!Q27),'SEGUIMIENTO Y EVALUACIÓN'!P27)/IF($H27=Lists!$S$6,COUNTIF('SEGUIMIENTO Y EVALUACIÓN'!K27:N27,"&gt;"&amp;0),FORMULACIÓN!P27),0),0)</f>
        <v>0.45874999999999999</v>
      </c>
      <c r="AV27" s="93">
        <f t="shared" ca="1" si="6"/>
        <v>1.146875E-2</v>
      </c>
      <c r="AW27" s="93" cm="1">
        <f t="array" ref="AW27">IF(INDEX(AO27:AU27,1,$AV$3)&gt;1,IF($AU$2=1,1,INDEX(AO27:AU27,1,$AV$3)),INDEX(AO27:AU27,1,$AV$3))</f>
        <v>1</v>
      </c>
      <c r="AX27"/>
      <c r="AY27" s="119" t="str">
        <f>IFERROR(IF((W27/FORMULACIÓN!X27)&lt;&gt;0,W27/FORMULACIÓN!X27,0),"")</f>
        <v/>
      </c>
      <c r="AZ27" s="119" t="str">
        <f>IFERROR(IF((AA27/FORMULACIÓN!AB27)&lt;&gt;0,AA27/FORMULACIÓN!AB27,0),"")</f>
        <v/>
      </c>
      <c r="BA27" s="119" t="str">
        <f>IFERROR(IF((AE27/FORMULACIÓN!AF27)&lt;&gt;0,(AE27/FORMULACIÓN!AF27),0),"")</f>
        <v/>
      </c>
      <c r="BB27" s="119" t="str">
        <f>IFERROR(IF((AI27/FORMULACIÓN!AJ27)&lt;&gt;0,AI27/FORMULACIÓN!AJ27,0),"")</f>
        <v/>
      </c>
      <c r="BC27" s="120" t="str">
        <f>IF('SEGUIMIENTO Y EVALUACIÓN'!AI27=0,0,TEXT('SEGUIMIENTO Y EVALUACIÓN'!AI27,"$ ##.###")&amp;" / "&amp;TEXT(FORMULACIÓN!AK27,"$ ##.###"))</f>
        <v xml:space="preserve"> / $ 42.921.999.327</v>
      </c>
      <c r="BD27" s="57">
        <f>IFERROR(IF((AJ27/FORMULACIÓN!AK27)&lt;&gt;0,AJ27/FORMULACIÓN!AK27,0),0)</f>
        <v>0</v>
      </c>
      <c r="BG27"/>
      <c r="BH27"/>
      <c r="BI27"/>
      <c r="BJ27"/>
      <c r="BK27"/>
      <c r="BL27"/>
      <c r="BM27"/>
      <c r="BN27"/>
      <c r="BO27"/>
      <c r="CL27" s="7"/>
    </row>
    <row r="28" spans="1:90" s="1" customFormat="1" ht="78.75">
      <c r="A28" s="45">
        <f>IF(FORMULACIÓN!A28="","",FORMULACIÓN!A28)</f>
        <v>17</v>
      </c>
      <c r="B28" s="45" t="str">
        <f>IF(FORMULACIÓN!B28="","",FORMULACIÓN!B28)</f>
        <v>L1 - Formación Académica Integral</v>
      </c>
      <c r="C28" s="45" t="str">
        <f>IF(FORMULACIÓN!E28="","",FORMULACIÓN!E28)</f>
        <v>M2 - Transformación digital</v>
      </c>
      <c r="D28" s="45" t="str">
        <f>IF(FORMULACIÓN!F28="","",FORMULACIÓN!F28)</f>
        <v>Incluir mínimo 30 cursos en línea masivos y abiertos MOOC, como electivas de contexto con temáticas relacionadas con economía de bienestar, valores ético-morales, emprendimiento social y desarrollo endógeno.</v>
      </c>
      <c r="E28" s="45" t="str">
        <f>IF(FORMULACIÓN!G28="","",FORMULACIÓN!G28)</f>
        <v>Electivas de contexto bajo la modalidad MOOC, con temáticas relacionadas con economía de bienestar, valores ético-morales, emprendimiento social y desarrollo endógeno.</v>
      </c>
      <c r="F28" s="45" t="str">
        <f>IF(FORMULACIÓN!H28="","",FORMULACIÓN!H28)</f>
        <v>N° de electivas de contexto bajo la modalidad MOOC, con temáticas relacionadas con economía de bienestar, valores ético-morales, emprendimiento social y desarrollo endógeno.</v>
      </c>
      <c r="G28" s="45" t="str">
        <f>IF(FORMULACIÓN!I28="","",FORMULACIÓN!I28)</f>
        <v>Unidad</v>
      </c>
      <c r="H28" s="45" t="str">
        <f>IF(FORMULACIÓN!J28="","",FORMULACIÓN!J28)</f>
        <v>Nuevo gestionado durante la vigencia</v>
      </c>
      <c r="I28" s="188" t="str">
        <f ca="1">IF($G28=Lists!$R$3,"PDI: "&amp;TEXT(FORMULACIÓN!Q28,"00,00%")&amp;CHAR(10)&amp;CHAR(10)&amp;"T1: "&amp;TEXT(FORMULACIÓN!L28,"00,00%")&amp;CHAR(10)&amp;"T2: "&amp;TEXT(FORMULACIÓN!M28,"00,00%")&amp;CHAR(10)&amp;"T3: "&amp;TEXT(FORMULACIÓN!N28,"00,00%")&amp;CHAR(10)&amp;"Tn: "&amp;TEXT(FORMULACIÓN!O28,"00,00%"),IF(FORMULACIÓN!Q28=0,0,"PDI: "&amp;TEXT(FORMULACIÓN!Q28,"##.###")&amp;CHAR(10)&amp;CHAR(10)&amp;"T1: "&amp;TEXT(FORMULACIÓN!L28,"##.###")&amp;CHAR(10)&amp;"T2: "&amp;TEXT(FORMULACIÓN!M28,"##.###")&amp;CHAR(10)&amp;"T3: "&amp;TEXT(FORMULACIÓN!N28,"##.###")&amp;CHAR(10)&amp;"Tn: "&amp;TEXT(FORMULACIÓN!O28,"##.###")))</f>
        <v>PDI: 30
T1: 9
T2: 9
T3: 9
Tn: 3</v>
      </c>
      <c r="J28" s="122">
        <f>IF(FORMULACIÓN!K28&lt;&gt;"",FORMULACIÓN!K28,"")</f>
        <v>3</v>
      </c>
      <c r="K28" s="310">
        <v>5</v>
      </c>
      <c r="L28" s="58"/>
      <c r="M28" s="58"/>
      <c r="N28" s="58"/>
      <c r="O28" s="47">
        <f ca="1">IFERROR(IF($H28=Lists!$S$2,SUM('SEGUIMIENTO Y EVALUACIÓN'!J28:N28),IF('SEGUIMIENTO Y EVALUACIÓN'!$H28=Lists!$S$3,SUM('SEGUIMIENTO Y EVALUACIÓN'!K28:N28),IF('SEGUIMIENTO Y EVALUACIÓN'!$H28=Lists!$S$4,AVERAGE('SEGUIMIENTO Y EVALUACIÓN'!K28:N28),IF('SEGUIMIENTO Y EVALUACIÓN'!$H28=Lists!$S$5,OFFSET(J28,0,COUNTA(K28:N28)),IF($H28=Lists!$S$6,COUNTIF(K28:N28,"&lt;"&amp;FORMULACIÓN!Q28)/COUNT('SEGUIMIENTO Y EVALUACIÓN'!K28:N28),""))))),"")</f>
        <v>5</v>
      </c>
      <c r="P28" s="51" t="str">
        <f ca="1">IF($G28=Lists!$R$3,TEXT('SEGUIMIENTO Y EVALUACIÓN'!O28,"00,00%"),IF('SEGUIMIENTO Y EVALUACIÓN'!O28=0,0,TEXT('SEGUIMIENTO Y EVALUACIÓN'!O28,"##.###")))</f>
        <v>5</v>
      </c>
      <c r="Q28" s="209" t="str">
        <f>IF(FORMULACIÓN!R28&lt;&gt;"",FORMULACIÓN!R28,"")</f>
        <v>P3 - Ampliación de la educación digital</v>
      </c>
      <c r="R28" s="209">
        <f>IF(FORMULACIÓN!S28&lt;&gt;"",FORMULACIÓN!S28,"")</f>
        <v>0.04</v>
      </c>
      <c r="S28" s="209" t="str">
        <f>IF(FORMULACIÓN!T28&lt;&gt;"",FORMULACIÓN!T28,"")</f>
        <v>Vicerrector de Docencia</v>
      </c>
      <c r="T28" s="42"/>
      <c r="U28" s="42"/>
      <c r="V28" s="42"/>
      <c r="W28" s="43" t="str">
        <f t="shared" si="0"/>
        <v/>
      </c>
      <c r="X28" s="42"/>
      <c r="Y28" s="42"/>
      <c r="Z28" s="42"/>
      <c r="AA28" s="43" t="str">
        <f t="shared" si="1"/>
        <v/>
      </c>
      <c r="AB28" s="42"/>
      <c r="AC28" s="42"/>
      <c r="AD28" s="42"/>
      <c r="AE28" s="43" t="str">
        <f t="shared" si="2"/>
        <v/>
      </c>
      <c r="AF28" s="42"/>
      <c r="AG28" s="42"/>
      <c r="AH28" s="42"/>
      <c r="AI28" s="46" t="str">
        <f t="shared" si="3"/>
        <v/>
      </c>
      <c r="AJ28" s="46" t="str">
        <f>IF(SUM(AA28,AE28,W28,AI28)=0,"",SUM((AA28,AE28,W28,AI28)))</f>
        <v/>
      </c>
      <c r="AK28"/>
      <c r="AL28" s="1" t="str">
        <f t="shared" si="4"/>
        <v>L1M2P3</v>
      </c>
      <c r="AM28" s="56" t="str">
        <f t="shared" si="5"/>
        <v>Electivas de contexto bajo la modalidad MOOC, con temáticas relacionadas con economía de bienestar, valores ético-morales, emprendimiento social y desarrollo endógeno.</v>
      </c>
      <c r="AN28" s="112" t="str">
        <f ca="1">IF($G28=Lists!$R$3,"T1: "&amp;TEXT(FORMULACIÓN!L28,"00,00%")&amp;CHAR(10)&amp;"T2: "&amp;TEXT(FORMULACIÓN!M28,"00,00%")&amp;CHAR(10)&amp;"T3: "&amp;TEXT(FORMULACIÓN!N28,"00,00%")&amp;CHAR(10)&amp;"Tn: "&amp;TEXT(FORMULACIÓN!O28,"00,00%"),IF(FORMULACIÓN!Q28=0,0,"T1: "&amp;TEXT(FORMULACIÓN!L28,"##.###")&amp;CHAR(10)&amp;"T2: "&amp;TEXT(FORMULACIÓN!M28,"##.###")&amp;CHAR(10)&amp;"T3: "&amp;TEXT(FORMULACIÓN!N28,"##.###")&amp;CHAR(10)&amp;"Tn: "&amp;TEXT(FORMULACIÓN!O28,"##.###")))</f>
        <v>T1: 9
T2: 9
T3: 9
Tn: 3</v>
      </c>
      <c r="AO28" s="117">
        <f>IFERROR(IF($H28=Lists!$S$6,IF(AND(FORMULACIÓN!L28&gt;K28,K28&gt;0),1,0),IF((K28/FORMULACIÓN!L28)&lt;&gt;0,K28/FORMULACIÓN!L28,0)),"")</f>
        <v>0.55555555555555558</v>
      </c>
      <c r="AP28" s="117">
        <f>IFERROR(IF($H28=Lists!$S$6,IF(AND(FORMULACIÓN!M28&gt;L28,L28&gt;0),1,0),IF((L28/FORMULACIÓN!M28)&lt;&gt;0,L28/FORMULACIÓN!M28,0)),"")</f>
        <v>0</v>
      </c>
      <c r="AQ28" s="117">
        <f>IFERROR(IF($H28=Lists!$S$6,IF(AND(FORMULACIÓN!N28&gt;M28,M28&gt;0),1,0),IF((M28/FORMULACIÓN!N28)&lt;&gt;0,M28/FORMULACIÓN!N28,0)),"")</f>
        <v>0</v>
      </c>
      <c r="AR28" s="117">
        <f>IFERROR(IF($H28=Lists!$S$6,IF(AND(FORMULACIÓN!O28&gt;N28,N28&gt;0),1,0),IF((N28/FORMULACIÓN!O28)&lt;&gt;0,N28/FORMULACIÓN!O28,0)),"")</f>
        <v>0</v>
      </c>
      <c r="AS28" s="110"/>
      <c r="AT28" s="118" t="str">
        <f ca="1">IF($H28=Lists!$S$6,TEXT(COUNTIF('SEGUIMIENTO Y EVALUACIÓN'!K28:N28,"&lt;"&amp;FORMULACIÓN!Q28),"##.###")&amp;" / "&amp;TEXT(COUNTIF('SEGUIMIENTO Y EVALUACIÓN'!K28:N28,"&gt;"&amp;0),"##.###"),IF($G28=Lists!$R$3,TEXT('SEGUIMIENTO Y EVALUACIÓN'!O28,"00,00%")&amp;" / "&amp;TEXT(FORMULACIÓN!P28,"00,00%"),IF('SEGUIMIENTO Y EVALUACIÓN'!O28=0,0,TEXT('SEGUIMIENTO Y EVALUACIÓN'!O28,"##.###")&amp;" / "&amp;TEXT(FORMULACIÓN!P28,"##.###"))))</f>
        <v>5 / 30</v>
      </c>
      <c r="AU28" s="57">
        <f ca="1">IFERROR(IF((P28/FORMULACIÓN!Q28)&lt;&gt;0,IF($H28=Lists!$S$6,COUNTIF('SEGUIMIENTO Y EVALUACIÓN'!K28:N28,"&lt;"&amp;FORMULACIÓN!Q28),'SEGUIMIENTO Y EVALUACIÓN'!P28)/IF($H28=Lists!$S$6,COUNTIF('SEGUIMIENTO Y EVALUACIÓN'!K28:N28,"&gt;"&amp;0),FORMULACIÓN!P28),0),0)</f>
        <v>0.16666666666666666</v>
      </c>
      <c r="AV28" s="93">
        <f t="shared" ca="1" si="6"/>
        <v>6.6666666666666662E-3</v>
      </c>
      <c r="AW28" s="93" cm="1">
        <f t="array" ref="AW28">IF(INDEX(AO28:AU28,1,$AV$3)&gt;1,IF($AU$2=1,1,INDEX(AO28:AU28,1,$AV$3)),INDEX(AO28:AU28,1,$AV$3))</f>
        <v>0.55555555555555558</v>
      </c>
      <c r="AX28"/>
      <c r="AY28" s="119" t="str">
        <f>IFERROR(IF((W28/FORMULACIÓN!X28)&lt;&gt;0,W28/FORMULACIÓN!X28,0),"")</f>
        <v/>
      </c>
      <c r="AZ28" s="119" t="str">
        <f>IFERROR(IF((AA28/FORMULACIÓN!AB28)&lt;&gt;0,AA28/FORMULACIÓN!AB28,0),"")</f>
        <v/>
      </c>
      <c r="BA28" s="119" t="str">
        <f>IFERROR(IF((AE28/FORMULACIÓN!AF28)&lt;&gt;0,(AE28/FORMULACIÓN!AF28),0),"")</f>
        <v/>
      </c>
      <c r="BB28" s="119" t="str">
        <f>IFERROR(IF((AI28/FORMULACIÓN!AJ28)&lt;&gt;0,AI28/FORMULACIÓN!AJ28,0),"")</f>
        <v/>
      </c>
      <c r="BC28" s="120" t="str">
        <f>IF('SEGUIMIENTO Y EVALUACIÓN'!AI28=0,0,TEXT('SEGUIMIENTO Y EVALUACIÓN'!AI28,"$ ##.###")&amp;" / "&amp;TEXT(FORMULACIÓN!AK28,"$ ##.###"))</f>
        <v xml:space="preserve"> / $ 77.823.766.561</v>
      </c>
      <c r="BD28" s="57">
        <f>IFERROR(IF((AJ28/FORMULACIÓN!AK28)&lt;&gt;0,AJ28/FORMULACIÓN!AK28,0),0)</f>
        <v>0</v>
      </c>
      <c r="BG28"/>
      <c r="BH28"/>
      <c r="BI28"/>
      <c r="BJ28"/>
      <c r="BK28"/>
      <c r="BL28"/>
      <c r="BM28"/>
      <c r="BN28"/>
      <c r="BO28"/>
      <c r="CL28" s="7"/>
    </row>
    <row r="29" spans="1:90" s="1" customFormat="1" ht="145.5" customHeight="1">
      <c r="A29" s="45">
        <f>IF(FORMULACIÓN!A29="","",FORMULACIÓN!A29)</f>
        <v>18</v>
      </c>
      <c r="B29" s="45" t="str">
        <f>IF(FORMULACIÓN!B29="","",FORMULACIÓN!B29)</f>
        <v>L1 - Formación Académica Integral</v>
      </c>
      <c r="C29" s="45" t="str">
        <f>IF(FORMULACIÓN!E29="","",FORMULACIÓN!E29)</f>
        <v>M3 - Regionalización en contexto</v>
      </c>
      <c r="D29" s="45" t="str">
        <f>IF(FORMULACIÓN!F29="","",FORMULACIÓN!F29)</f>
        <v>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v>
      </c>
      <c r="E29" s="45" t="str">
        <f>IF(FORMULACIÓN!G29="","",FORMULACIÓN!G29)</f>
        <v>Estudios de pertinencia y factibilidad con enfoque prospectivo para cada sede regional de la Universidad</v>
      </c>
      <c r="F29" s="45" t="str">
        <f>IF(FORMULACIÓN!H29="","",FORMULACIÓN!H29)</f>
        <v>Número de estudios pertinencia y factibilidad realizados</v>
      </c>
      <c r="G29" s="45" t="str">
        <f>IF(FORMULACIÓN!I29="","",FORMULACIÓN!I29)</f>
        <v>Unidad</v>
      </c>
      <c r="H29" s="45" t="str">
        <f>IF(FORMULACIÓN!J29="","",FORMULACIÓN!J29)</f>
        <v>Acumulado</v>
      </c>
      <c r="I29" s="188" t="str">
        <f ca="1">IF($G29=Lists!$R$3,"PDI: "&amp;TEXT(FORMULACIÓN!Q29,"00,00%")&amp;CHAR(10)&amp;CHAR(10)&amp;"T1: "&amp;TEXT(FORMULACIÓN!L29,"00,00%")&amp;CHAR(10)&amp;"T2: "&amp;TEXT(FORMULACIÓN!M29,"00,00%")&amp;CHAR(10)&amp;"T3: "&amp;TEXT(FORMULACIÓN!N29,"00,00%")&amp;CHAR(10)&amp;"Tn: "&amp;TEXT(FORMULACIÓN!O29,"00,00%"),IF(FORMULACIÓN!Q29=0,0,"PDI: "&amp;TEXT(FORMULACIÓN!Q29,"##.###")&amp;CHAR(10)&amp;CHAR(10)&amp;"T1: "&amp;TEXT(FORMULACIÓN!L29,"##.###")&amp;CHAR(10)&amp;"T2: "&amp;TEXT(FORMULACIÓN!M29,"##.###")&amp;CHAR(10)&amp;"T3: "&amp;TEXT(FORMULACIÓN!N29,"##.###")&amp;CHAR(10)&amp;"Tn: "&amp;TEXT(FORMULACIÓN!O29,"##.###")))</f>
        <v xml:space="preserve">PDI: 2
T1: 1
T2: 
T3: 1
Tn: </v>
      </c>
      <c r="J29" s="122">
        <f>IF(FORMULACIÓN!K29&lt;&gt;"",FORMULACIÓN!K29,"")</f>
        <v>0</v>
      </c>
      <c r="K29" s="310">
        <v>1</v>
      </c>
      <c r="L29" s="58"/>
      <c r="M29" s="58"/>
      <c r="N29" s="58"/>
      <c r="O29" s="47">
        <f ca="1">IFERROR(IF($H29=Lists!$S$2,SUM('SEGUIMIENTO Y EVALUACIÓN'!J29:N29),IF('SEGUIMIENTO Y EVALUACIÓN'!$H29=Lists!$S$3,SUM('SEGUIMIENTO Y EVALUACIÓN'!K29:N29),IF('SEGUIMIENTO Y EVALUACIÓN'!$H29=Lists!$S$4,AVERAGE('SEGUIMIENTO Y EVALUACIÓN'!K29:N29),IF('SEGUIMIENTO Y EVALUACIÓN'!$H29=Lists!$S$5,OFFSET(J29,0,COUNTA(K29:N29)),IF($H29=Lists!$S$6,COUNTIF(K29:N29,"&lt;"&amp;FORMULACIÓN!Q29)/COUNT('SEGUIMIENTO Y EVALUACIÓN'!K29:N29),""))))),"")</f>
        <v>1</v>
      </c>
      <c r="P29" s="51" t="str">
        <f ca="1">IF($G29=Lists!$R$3,TEXT('SEGUIMIENTO Y EVALUACIÓN'!O29,"00,00%"),IF('SEGUIMIENTO Y EVALUACIÓN'!O29=0,0,TEXT('SEGUIMIENTO Y EVALUACIÓN'!O29,"##.###")))</f>
        <v>1</v>
      </c>
      <c r="Q29" s="209" t="str">
        <f>IF(FORMULACIÓN!R29&lt;&gt;"",FORMULACIÓN!R29,"")</f>
        <v>P1 - Programas académicos con calidad y pertinencia regional</v>
      </c>
      <c r="R29" s="209">
        <f>IF(FORMULACIÓN!S29&lt;&gt;"",FORMULACIÓN!S29,"")</f>
        <v>0.02</v>
      </c>
      <c r="S29" s="209" t="str">
        <f>IF(FORMULACIÓN!T29&lt;&gt;"",FORMULACIÓN!T29,"")</f>
        <v>Vicerrector de Docencia</v>
      </c>
      <c r="T29" s="42"/>
      <c r="U29" s="42"/>
      <c r="V29" s="42"/>
      <c r="W29" s="43" t="str">
        <f t="shared" si="0"/>
        <v/>
      </c>
      <c r="X29" s="42"/>
      <c r="Y29" s="42"/>
      <c r="Z29" s="42"/>
      <c r="AA29" s="43" t="str">
        <f t="shared" si="1"/>
        <v/>
      </c>
      <c r="AB29" s="42"/>
      <c r="AC29" s="42"/>
      <c r="AD29" s="42"/>
      <c r="AE29" s="43" t="str">
        <f t="shared" si="2"/>
        <v/>
      </c>
      <c r="AF29" s="42"/>
      <c r="AG29" s="42"/>
      <c r="AH29" s="42"/>
      <c r="AI29" s="46" t="str">
        <f t="shared" si="3"/>
        <v/>
      </c>
      <c r="AJ29" s="46" t="str">
        <f>IF(SUM(AA29,AE29,W29,AI29)=0,"",SUM((AA29,AE29,W29,AI29)))</f>
        <v/>
      </c>
      <c r="AK29"/>
      <c r="AL29" s="1" t="str">
        <f t="shared" si="4"/>
        <v>L1M3P1</v>
      </c>
      <c r="AM29" s="56" t="str">
        <f t="shared" si="5"/>
        <v>Estudios de pertinencia y factibilidad con enfoque prospectivo para cada sede regional de la Universidad</v>
      </c>
      <c r="AN29" s="112" t="str">
        <f ca="1">IF($G29=Lists!$R$3,"T1: "&amp;TEXT(FORMULACIÓN!L29,"00,00%")&amp;CHAR(10)&amp;"T2: "&amp;TEXT(FORMULACIÓN!M29,"00,00%")&amp;CHAR(10)&amp;"T3: "&amp;TEXT(FORMULACIÓN!N29,"00,00%")&amp;CHAR(10)&amp;"Tn: "&amp;TEXT(FORMULACIÓN!O29,"00,00%"),IF(FORMULACIÓN!Q29=0,0,"T1: "&amp;TEXT(FORMULACIÓN!L29,"##.###")&amp;CHAR(10)&amp;"T2: "&amp;TEXT(FORMULACIÓN!M29,"##.###")&amp;CHAR(10)&amp;"T3: "&amp;TEXT(FORMULACIÓN!N29,"##.###")&amp;CHAR(10)&amp;"Tn: "&amp;TEXT(FORMULACIÓN!O29,"##.###")))</f>
        <v xml:space="preserve">T1: 1
T2: 
T3: 1
Tn: </v>
      </c>
      <c r="AO29" s="117">
        <f>IFERROR(IF($H29=Lists!$S$6,IF(AND(FORMULACIÓN!L29&gt;K29,K29&gt;0),1,0),IF((K29/FORMULACIÓN!L29)&lt;&gt;0,K29/FORMULACIÓN!L29,0)),"")</f>
        <v>1</v>
      </c>
      <c r="AP29" s="117" t="str">
        <f>IFERROR(IF($H29=Lists!$S$6,IF(AND(FORMULACIÓN!M29&gt;L29,L29&gt;0),1,0),IF((L29/FORMULACIÓN!M29)&lt;&gt;0,L29/FORMULACIÓN!M29,0)),"")</f>
        <v/>
      </c>
      <c r="AQ29" s="117">
        <f>IFERROR(IF($H29=Lists!$S$6,IF(AND(FORMULACIÓN!N29&gt;M29,M29&gt;0),1,0),IF((M29/FORMULACIÓN!N29)&lt;&gt;0,M29/FORMULACIÓN!N29,0)),"")</f>
        <v>0</v>
      </c>
      <c r="AR29" s="117" t="str">
        <f>IFERROR(IF($H29=Lists!$S$6,IF(AND(FORMULACIÓN!O29&gt;N29,N29&gt;0),1,0),IF((N29/FORMULACIÓN!O29)&lt;&gt;0,N29/FORMULACIÓN!O29,0)),"")</f>
        <v/>
      </c>
      <c r="AS29" s="110"/>
      <c r="AT29" s="118" t="str">
        <f ca="1">IF($H29=Lists!$S$6,TEXT(COUNTIF('SEGUIMIENTO Y EVALUACIÓN'!K29:N29,"&lt;"&amp;FORMULACIÓN!Q29),"##.###")&amp;" / "&amp;TEXT(COUNTIF('SEGUIMIENTO Y EVALUACIÓN'!K29:N29,"&gt;"&amp;0),"##.###"),IF($G29=Lists!$R$3,TEXT('SEGUIMIENTO Y EVALUACIÓN'!O29,"00,00%")&amp;" / "&amp;TEXT(FORMULACIÓN!P29,"00,00%"),IF('SEGUIMIENTO Y EVALUACIÓN'!O29=0,0,TEXT('SEGUIMIENTO Y EVALUACIÓN'!O29,"##.###")&amp;" / "&amp;TEXT(FORMULACIÓN!P29,"##.###"))))</f>
        <v>1 / 2</v>
      </c>
      <c r="AU29" s="57">
        <f ca="1">IFERROR(IF((P29/FORMULACIÓN!Q29)&lt;&gt;0,IF($H29=Lists!$S$6,COUNTIF('SEGUIMIENTO Y EVALUACIÓN'!K29:N29,"&lt;"&amp;FORMULACIÓN!Q29),'SEGUIMIENTO Y EVALUACIÓN'!P29)/IF($H29=Lists!$S$6,COUNTIF('SEGUIMIENTO Y EVALUACIÓN'!K29:N29,"&gt;"&amp;0),FORMULACIÓN!P29),0),0)</f>
        <v>0.5</v>
      </c>
      <c r="AV29" s="93">
        <f t="shared" ca="1" si="6"/>
        <v>0.01</v>
      </c>
      <c r="AW29" s="93" cm="1">
        <f t="array" ref="AW29">IF(INDEX(AO29:AU29,1,$AV$3)&gt;1,IF($AU$2=1,1,INDEX(AO29:AU29,1,$AV$3)),INDEX(AO29:AU29,1,$AV$3))</f>
        <v>1</v>
      </c>
      <c r="AX29"/>
      <c r="AY29" s="119" t="str">
        <f>IFERROR(IF((W29/FORMULACIÓN!X29)&lt;&gt;0,W29/FORMULACIÓN!X29,0),"")</f>
        <v/>
      </c>
      <c r="AZ29" s="119" t="str">
        <f>IFERROR(IF((AA29/FORMULACIÓN!AB29)&lt;&gt;0,AA29/FORMULACIÓN!AB29,0),"")</f>
        <v/>
      </c>
      <c r="BA29" s="119" t="str">
        <f>IFERROR(IF((AE29/FORMULACIÓN!AF29)&lt;&gt;0,(AE29/FORMULACIÓN!AF29),0),"")</f>
        <v/>
      </c>
      <c r="BB29" s="119" t="str">
        <f>IFERROR(IF((AI29/FORMULACIÓN!AJ29)&lt;&gt;0,AI29/FORMULACIÓN!AJ29,0),"")</f>
        <v/>
      </c>
      <c r="BC29" s="120" t="str">
        <f>IF('SEGUIMIENTO Y EVALUACIÓN'!AI29=0,0,TEXT('SEGUIMIENTO Y EVALUACIÓN'!AI29,"$ ##.###")&amp;" / "&amp;TEXT(FORMULACIÓN!AK29,"$ ##.###"))</f>
        <v xml:space="preserve"> / $ 16.757.068.663</v>
      </c>
      <c r="BD29" s="57">
        <f>IFERROR(IF((AJ29/FORMULACIÓN!AK29)&lt;&gt;0,AJ29/FORMULACIÓN!AK29,0),0)</f>
        <v>0</v>
      </c>
      <c r="BJ29"/>
      <c r="BK29"/>
      <c r="BL29"/>
      <c r="BM29"/>
      <c r="CL29" s="7"/>
    </row>
    <row r="30" spans="1:90" s="1" customFormat="1" ht="67.5">
      <c r="A30" s="45">
        <f>IF(FORMULACIÓN!A30="","",FORMULACIÓN!A30)</f>
        <v>19</v>
      </c>
      <c r="B30" s="45" t="str">
        <f>IF(FORMULACIÓN!B30="","",FORMULACIÓN!B30)</f>
        <v>L1 - Formación Académica Integral</v>
      </c>
      <c r="C30" s="45" t="str">
        <f>IF(FORMULACIÓN!E30="","",FORMULACIÓN!E30)</f>
        <v>M3 - Regionalización en contexto</v>
      </c>
      <c r="D30" s="45" t="str">
        <f>IF(FORMULACIÓN!F30="","",FORMULACIÓN!F30)</f>
        <v>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v>
      </c>
      <c r="E30" s="45" t="str">
        <f>IF(FORMULACIÓN!G30="","",FORMULACIÓN!G30)</f>
        <v>Programas académicos en pregrado y postgrado diseñados según la pertinencia para la región con apoyo del sector productivo y/o otros actores regionales</v>
      </c>
      <c r="F30" s="45" t="str">
        <f>IF(FORMULACIÓN!H30="","",FORMULACIÓN!H30)</f>
        <v>Número de programas pregrado y postgrado académicos diseñados a partir de necesidades identificadas con entes territoriales, nodos de desarrollo regionales y/o empresas del sector privado para la región</v>
      </c>
      <c r="G30" s="45" t="str">
        <f>IF(FORMULACIÓN!I30="","",FORMULACIÓN!I30)</f>
        <v>Unidad</v>
      </c>
      <c r="H30" s="45" t="str">
        <f>IF(FORMULACIÓN!J30="","",FORMULACIÓN!J30)</f>
        <v>Acumulado</v>
      </c>
      <c r="I30" s="188" t="str">
        <f ca="1">IF($G30=Lists!$R$3,"PDI: "&amp;TEXT(FORMULACIÓN!Q30,"00,00%")&amp;CHAR(10)&amp;CHAR(10)&amp;"T1: "&amp;TEXT(FORMULACIÓN!L30,"00,00%")&amp;CHAR(10)&amp;"T2: "&amp;TEXT(FORMULACIÓN!M30,"00,00%")&amp;CHAR(10)&amp;"T3: "&amp;TEXT(FORMULACIÓN!N30,"00,00%")&amp;CHAR(10)&amp;"Tn: "&amp;TEXT(FORMULACIÓN!O30,"00,00%"),IF(FORMULACIÓN!Q30=0,0,"PDI: "&amp;TEXT(FORMULACIÓN!Q30,"##.###")&amp;CHAR(10)&amp;CHAR(10)&amp;"T1: "&amp;TEXT(FORMULACIÓN!L30,"##.###")&amp;CHAR(10)&amp;"T2: "&amp;TEXT(FORMULACIÓN!M30,"##.###")&amp;CHAR(10)&amp;"T3: "&amp;TEXT(FORMULACIÓN!N30,"##.###")&amp;CHAR(10)&amp;"Tn: "&amp;TEXT(FORMULACIÓN!O30,"##.###")))</f>
        <v xml:space="preserve">PDI: 20
T1: 2
T2: 2
T3: 1
Tn: </v>
      </c>
      <c r="J30" s="122">
        <f>IF(FORMULACIÓN!K30&lt;&gt;"",FORMULACIÓN!K30,"")</f>
        <v>15</v>
      </c>
      <c r="K30" s="310">
        <v>1</v>
      </c>
      <c r="L30" s="58"/>
      <c r="M30" s="58"/>
      <c r="N30" s="58"/>
      <c r="O30" s="47">
        <f ca="1">IFERROR(IF($H30=Lists!$S$2,SUM('SEGUIMIENTO Y EVALUACIÓN'!J30:N30),IF('SEGUIMIENTO Y EVALUACIÓN'!$H30=Lists!$S$3,SUM('SEGUIMIENTO Y EVALUACIÓN'!K30:N30),IF('SEGUIMIENTO Y EVALUACIÓN'!$H30=Lists!$S$4,AVERAGE('SEGUIMIENTO Y EVALUACIÓN'!K30:N30),IF('SEGUIMIENTO Y EVALUACIÓN'!$H30=Lists!$S$5,OFFSET(J30,0,COUNTA(K30:N30)),IF($H30=Lists!$S$6,COUNTIF(K30:N30,"&lt;"&amp;FORMULACIÓN!Q30)/COUNT('SEGUIMIENTO Y EVALUACIÓN'!K30:N30),""))))),"")</f>
        <v>16</v>
      </c>
      <c r="P30" s="51" t="str">
        <f ca="1">IF($G30=Lists!$R$3,TEXT('SEGUIMIENTO Y EVALUACIÓN'!O30,"00,00%"),IF('SEGUIMIENTO Y EVALUACIÓN'!O30=0,0,TEXT('SEGUIMIENTO Y EVALUACIÓN'!O30,"##.###")))</f>
        <v>16</v>
      </c>
      <c r="Q30" s="209" t="str">
        <f>IF(FORMULACIÓN!R30&lt;&gt;"",FORMULACIÓN!R30,"")</f>
        <v>P1 - Programas académicos con calidad y pertinencia regional</v>
      </c>
      <c r="R30" s="209">
        <f>IF(FORMULACIÓN!S30&lt;&gt;"",FORMULACIÓN!S30,"")</f>
        <v>0.02</v>
      </c>
      <c r="S30" s="209" t="str">
        <f>IF(FORMULACIÓN!T30&lt;&gt;"",FORMULACIÓN!T30,"")</f>
        <v>Vicerrector de Docencia</v>
      </c>
      <c r="T30" s="42"/>
      <c r="U30" s="42"/>
      <c r="V30" s="42"/>
      <c r="W30" s="43" t="str">
        <f t="shared" si="0"/>
        <v/>
      </c>
      <c r="X30" s="42"/>
      <c r="Y30" s="42"/>
      <c r="Z30" s="42"/>
      <c r="AA30" s="43" t="str">
        <f t="shared" si="1"/>
        <v/>
      </c>
      <c r="AB30" s="42"/>
      <c r="AC30" s="42"/>
      <c r="AD30" s="42"/>
      <c r="AE30" s="43" t="str">
        <f t="shared" si="2"/>
        <v/>
      </c>
      <c r="AF30" s="42"/>
      <c r="AG30" s="42"/>
      <c r="AH30" s="42"/>
      <c r="AI30" s="46" t="str">
        <f t="shared" si="3"/>
        <v/>
      </c>
      <c r="AJ30" s="46" t="str">
        <f>IF(SUM(AA30,AE30,W30,AI30)=0,"",SUM((AA30,AE30,W30,AI30)))</f>
        <v/>
      </c>
      <c r="AK30"/>
      <c r="AL30" s="1" t="str">
        <f t="shared" si="4"/>
        <v>L1M3P1</v>
      </c>
      <c r="AM30" s="56" t="str">
        <f t="shared" si="5"/>
        <v>Programas académicos en pregrado y postgrado diseñados según la pertinencia para la región con apoyo del sector productivo y/o otros actores regionales</v>
      </c>
      <c r="AN30" s="112" t="str">
        <f ca="1">IF($G30=Lists!$R$3,"T1: "&amp;TEXT(FORMULACIÓN!L30,"00,00%")&amp;CHAR(10)&amp;"T2: "&amp;TEXT(FORMULACIÓN!M30,"00,00%")&amp;CHAR(10)&amp;"T3: "&amp;TEXT(FORMULACIÓN!N30,"00,00%")&amp;CHAR(10)&amp;"Tn: "&amp;TEXT(FORMULACIÓN!O30,"00,00%"),IF(FORMULACIÓN!Q30=0,0,"T1: "&amp;TEXT(FORMULACIÓN!L30,"##.###")&amp;CHAR(10)&amp;"T2: "&amp;TEXT(FORMULACIÓN!M30,"##.###")&amp;CHAR(10)&amp;"T3: "&amp;TEXT(FORMULACIÓN!N30,"##.###")&amp;CHAR(10)&amp;"Tn: "&amp;TEXT(FORMULACIÓN!O30,"##.###")))</f>
        <v xml:space="preserve">T1: 2
T2: 2
T3: 1
Tn: </v>
      </c>
      <c r="AO30" s="117">
        <f>IFERROR(IF($H30=Lists!$S$6,IF(AND(FORMULACIÓN!L30&gt;K30,K30&gt;0),1,0),IF((K30/FORMULACIÓN!L30)&lt;&gt;0,K30/FORMULACIÓN!L30,0)),"")</f>
        <v>0.5</v>
      </c>
      <c r="AP30" s="117">
        <f>IFERROR(IF($H30=Lists!$S$6,IF(AND(FORMULACIÓN!M30&gt;L30,L30&gt;0),1,0),IF((L30/FORMULACIÓN!M30)&lt;&gt;0,L30/FORMULACIÓN!M30,0)),"")</f>
        <v>0</v>
      </c>
      <c r="AQ30" s="117">
        <f>IFERROR(IF($H30=Lists!$S$6,IF(AND(FORMULACIÓN!N30&gt;M30,M30&gt;0),1,0),IF((M30/FORMULACIÓN!N30)&lt;&gt;0,M30/FORMULACIÓN!N30,0)),"")</f>
        <v>0</v>
      </c>
      <c r="AR30" s="117" t="str">
        <f>IFERROR(IF($H30=Lists!$S$6,IF(AND(FORMULACIÓN!O30&gt;N30,N30&gt;0),1,0),IF((N30/FORMULACIÓN!O30)&lt;&gt;0,N30/FORMULACIÓN!O30,0)),"")</f>
        <v/>
      </c>
      <c r="AS30" s="110"/>
      <c r="AT30" s="118" t="str">
        <f ca="1">IF($H30=Lists!$S$6,TEXT(COUNTIF('SEGUIMIENTO Y EVALUACIÓN'!K30:N30,"&lt;"&amp;FORMULACIÓN!Q30),"##.###")&amp;" / "&amp;TEXT(COUNTIF('SEGUIMIENTO Y EVALUACIÓN'!K30:N30,"&gt;"&amp;0),"##.###"),IF($G30=Lists!$R$3,TEXT('SEGUIMIENTO Y EVALUACIÓN'!O30,"00,00%")&amp;" / "&amp;TEXT(FORMULACIÓN!P30,"00,00%"),IF('SEGUIMIENTO Y EVALUACIÓN'!O30=0,0,TEXT('SEGUIMIENTO Y EVALUACIÓN'!O30,"##.###")&amp;" / "&amp;TEXT(FORMULACIÓN!P30,"##.###"))))</f>
        <v>16 / 20</v>
      </c>
      <c r="AU30" s="57">
        <f ca="1">IFERROR(IF((P30/FORMULACIÓN!Q30)&lt;&gt;0,IF($H30=Lists!$S$6,COUNTIF('SEGUIMIENTO Y EVALUACIÓN'!K30:N30,"&lt;"&amp;FORMULACIÓN!Q30),'SEGUIMIENTO Y EVALUACIÓN'!P30)/IF($H30=Lists!$S$6,COUNTIF('SEGUIMIENTO Y EVALUACIÓN'!K30:N30,"&gt;"&amp;0),FORMULACIÓN!P30),0),0)</f>
        <v>0.8</v>
      </c>
      <c r="AV30" s="93">
        <f t="shared" ca="1" si="6"/>
        <v>1.6E-2</v>
      </c>
      <c r="AW30" s="93" cm="1">
        <f t="array" ref="AW30">IF(INDEX(AO30:AU30,1,$AV$3)&gt;1,IF($AU$2=1,1,INDEX(AO30:AU30,1,$AV$3)),INDEX(AO30:AU30,1,$AV$3))</f>
        <v>0.5</v>
      </c>
      <c r="AX30"/>
      <c r="AY30" s="119" t="str">
        <f>IFERROR(IF((W30/FORMULACIÓN!X30)&lt;&gt;0,W30/FORMULACIÓN!X30,0),"")</f>
        <v/>
      </c>
      <c r="AZ30" s="119" t="str">
        <f>IFERROR(IF((AA30/FORMULACIÓN!AB30)&lt;&gt;0,AA30/FORMULACIÓN!AB30,0),"")</f>
        <v/>
      </c>
      <c r="BA30" s="119" t="str">
        <f>IFERROR(IF((AE30/FORMULACIÓN!AF30)&lt;&gt;0,(AE30/FORMULACIÓN!AF30),0),"")</f>
        <v/>
      </c>
      <c r="BB30" s="119" t="str">
        <f>IFERROR(IF((AI30/FORMULACIÓN!AJ30)&lt;&gt;0,AI30/FORMULACIÓN!AJ30,0),"")</f>
        <v/>
      </c>
      <c r="BC30" s="120" t="str">
        <f>IF('SEGUIMIENTO Y EVALUACIÓN'!AI30=0,0,TEXT('SEGUIMIENTO Y EVALUACIÓN'!AI30,"$ ##.###")&amp;" / "&amp;TEXT(FORMULACIÓN!AK30,"$ ##.###"))</f>
        <v xml:space="preserve"> / $ 16.890.440.776</v>
      </c>
      <c r="BD30" s="57">
        <f>IFERROR(IF((AJ30/FORMULACIÓN!AK30)&lt;&gt;0,AJ30/FORMULACIÓN!AK30,0),0)</f>
        <v>0</v>
      </c>
      <c r="BJ30"/>
      <c r="BK30"/>
      <c r="BL30"/>
      <c r="BM30"/>
      <c r="CL30" s="7"/>
    </row>
    <row r="31" spans="1:90" s="1" customFormat="1" ht="67.5">
      <c r="A31" s="45">
        <f>IF(FORMULACIÓN!A31="","",FORMULACIÓN!A31)</f>
        <v>20</v>
      </c>
      <c r="B31" s="45" t="str">
        <f>IF(FORMULACIÓN!B31="","",FORMULACIÓN!B31)</f>
        <v>L1 - Formación Académica Integral</v>
      </c>
      <c r="C31" s="45" t="str">
        <f>IF(FORMULACIÓN!E31="","",FORMULACIÓN!E31)</f>
        <v>M3 - Regionalización en contexto</v>
      </c>
      <c r="D31" s="45" t="str">
        <f>IF(FORMULACIÓN!F31="","",FORMULACIÓN!F31)</f>
        <v>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v>
      </c>
      <c r="E31" s="45" t="str">
        <f>IF(FORMULACIÓN!G31="","",FORMULACIÓN!G31)</f>
        <v>Egresados graduados en región</v>
      </c>
      <c r="F31" s="45" t="str">
        <f>IF(FORMULACIÓN!H31="","",FORMULACIÓN!H31)</f>
        <v xml:space="preserve">Cantidad de estudiantes graduados en los programas en las sedes regionales </v>
      </c>
      <c r="G31" s="45" t="str">
        <f>IF(FORMULACIÓN!I31="","",FORMULACIÓN!I31)</f>
        <v>Unidad</v>
      </c>
      <c r="H31" s="45" t="str">
        <f>IF(FORMULACIÓN!J31="","",FORMULACIÓN!J31)</f>
        <v>Acumulado</v>
      </c>
      <c r="I31" s="188" t="str">
        <f ca="1">IF($G31=Lists!$R$3,"PDI: "&amp;TEXT(FORMULACIÓN!Q31,"00,00%")&amp;CHAR(10)&amp;CHAR(10)&amp;"T1: "&amp;TEXT(FORMULACIÓN!L31,"00,00%")&amp;CHAR(10)&amp;"T2: "&amp;TEXT(FORMULACIÓN!M31,"00,00%")&amp;CHAR(10)&amp;"T3: "&amp;TEXT(FORMULACIÓN!N31,"00,00%")&amp;CHAR(10)&amp;"Tn: "&amp;TEXT(FORMULACIÓN!O31,"00,00%"),IF(FORMULACIÓN!Q31=0,0,"PDI: "&amp;TEXT(FORMULACIÓN!Q31,"##.###")&amp;CHAR(10)&amp;CHAR(10)&amp;"T1: "&amp;TEXT(FORMULACIÓN!L31,"##.###")&amp;CHAR(10)&amp;"T2: "&amp;TEXT(FORMULACIÓN!M31,"##.###")&amp;CHAR(10)&amp;"T3: "&amp;TEXT(FORMULACIÓN!N31,"##.###")&amp;CHAR(10)&amp;"Tn: "&amp;TEXT(FORMULACIÓN!O31,"##.###")))</f>
        <v>PDI: 1.500
T1: 385
T2: 254
T3: 240
Tn: 90</v>
      </c>
      <c r="J31" s="122">
        <f>IF(FORMULACIÓN!K31&lt;&gt;"",FORMULACIÓN!K31,"")</f>
        <v>531</v>
      </c>
      <c r="K31" s="310">
        <v>748</v>
      </c>
      <c r="L31" s="58"/>
      <c r="M31" s="58"/>
      <c r="N31" s="58"/>
      <c r="O31" s="47">
        <f ca="1">IFERROR(IF($H31=Lists!$S$2,SUM('SEGUIMIENTO Y EVALUACIÓN'!J31:N31),IF('SEGUIMIENTO Y EVALUACIÓN'!$H31=Lists!$S$3,SUM('SEGUIMIENTO Y EVALUACIÓN'!K31:N31),IF('SEGUIMIENTO Y EVALUACIÓN'!$H31=Lists!$S$4,AVERAGE('SEGUIMIENTO Y EVALUACIÓN'!K31:N31),IF('SEGUIMIENTO Y EVALUACIÓN'!$H31=Lists!$S$5,OFFSET(J31,0,COUNTA(K31:N31)),IF($H31=Lists!$S$6,COUNTIF(K31:N31,"&lt;"&amp;FORMULACIÓN!Q31)/COUNT('SEGUIMIENTO Y EVALUACIÓN'!K31:N31),""))))),"")</f>
        <v>1279</v>
      </c>
      <c r="P31" s="51" t="str">
        <f ca="1">IF($G31=Lists!$R$3,TEXT('SEGUIMIENTO Y EVALUACIÓN'!O31,"00,00%"),IF('SEGUIMIENTO Y EVALUACIÓN'!O31=0,0,TEXT('SEGUIMIENTO Y EVALUACIÓN'!O31,"##.###")))</f>
        <v>1.279</v>
      </c>
      <c r="Q31" s="209" t="str">
        <f>IF(FORMULACIÓN!R31&lt;&gt;"",FORMULACIÓN!R31,"")</f>
        <v>P1 - Programas académicos con calidad y pertinencia regional</v>
      </c>
      <c r="R31" s="209">
        <f>IF(FORMULACIÓN!S31&lt;&gt;"",FORMULACIÓN!S31,"")</f>
        <v>0.02</v>
      </c>
      <c r="S31" s="209" t="str">
        <f>IF(FORMULACIÓN!T31&lt;&gt;"",FORMULACIÓN!T31,"")</f>
        <v>Vicerrector de Docencia</v>
      </c>
      <c r="T31" s="42"/>
      <c r="U31" s="42"/>
      <c r="V31" s="42"/>
      <c r="W31" s="43" t="str">
        <f t="shared" si="0"/>
        <v/>
      </c>
      <c r="X31" s="42"/>
      <c r="Y31" s="42"/>
      <c r="Z31" s="42"/>
      <c r="AA31" s="43" t="str">
        <f t="shared" si="1"/>
        <v/>
      </c>
      <c r="AB31" s="42"/>
      <c r="AC31" s="42"/>
      <c r="AD31" s="42"/>
      <c r="AE31" s="43" t="str">
        <f t="shared" si="2"/>
        <v/>
      </c>
      <c r="AF31" s="42"/>
      <c r="AG31" s="42"/>
      <c r="AH31" s="42"/>
      <c r="AI31" s="46" t="str">
        <f t="shared" si="3"/>
        <v/>
      </c>
      <c r="AJ31" s="46" t="str">
        <f>IF(SUM(AA31,AE31,W31,AI31)=0,"",SUM((AA31,AE31,W31,AI31)))</f>
        <v/>
      </c>
      <c r="AK31"/>
      <c r="AL31" s="1" t="str">
        <f t="shared" si="4"/>
        <v>L1M3P1</v>
      </c>
      <c r="AM31" s="56" t="str">
        <f t="shared" si="5"/>
        <v>Egresados graduados en región</v>
      </c>
      <c r="AN31" s="112" t="str">
        <f ca="1">IF($G31=Lists!$R$3,"T1: "&amp;TEXT(FORMULACIÓN!L31,"00,00%")&amp;CHAR(10)&amp;"T2: "&amp;TEXT(FORMULACIÓN!M31,"00,00%")&amp;CHAR(10)&amp;"T3: "&amp;TEXT(FORMULACIÓN!N31,"00,00%")&amp;CHAR(10)&amp;"Tn: "&amp;TEXT(FORMULACIÓN!O31,"00,00%"),IF(FORMULACIÓN!Q31=0,0,"T1: "&amp;TEXT(FORMULACIÓN!L31,"##.###")&amp;CHAR(10)&amp;"T2: "&amp;TEXT(FORMULACIÓN!M31,"##.###")&amp;CHAR(10)&amp;"T3: "&amp;TEXT(FORMULACIÓN!N31,"##.###")&amp;CHAR(10)&amp;"Tn: "&amp;TEXT(FORMULACIÓN!O31,"##.###")))</f>
        <v>T1: 385
T2: 254
T3: 240
Tn: 90</v>
      </c>
      <c r="AO31" s="117">
        <f>IFERROR(IF($H31=Lists!$S$6,IF(AND(FORMULACIÓN!L31&gt;K31,K31&gt;0),1,0),IF((K31/FORMULACIÓN!L31)&lt;&gt;0,K31/FORMULACIÓN!L31,0)),"")</f>
        <v>1.9428571428571428</v>
      </c>
      <c r="AP31" s="117">
        <f>IFERROR(IF($H31=Lists!$S$6,IF(AND(FORMULACIÓN!M31&gt;L31,L31&gt;0),1,0),IF((L31/FORMULACIÓN!M31)&lt;&gt;0,L31/FORMULACIÓN!M31,0)),"")</f>
        <v>0</v>
      </c>
      <c r="AQ31" s="117">
        <f>IFERROR(IF($H31=Lists!$S$6,IF(AND(FORMULACIÓN!N31&gt;M31,M31&gt;0),1,0),IF((M31/FORMULACIÓN!N31)&lt;&gt;0,M31/FORMULACIÓN!N31,0)),"")</f>
        <v>0</v>
      </c>
      <c r="AR31" s="117">
        <f>IFERROR(IF($H31=Lists!$S$6,IF(AND(FORMULACIÓN!O31&gt;N31,N31&gt;0),1,0),IF((N31/FORMULACIÓN!O31)&lt;&gt;0,N31/FORMULACIÓN!O31,0)),"")</f>
        <v>0</v>
      </c>
      <c r="AS31" s="110"/>
      <c r="AT31" s="118" t="str">
        <f ca="1">IF($H31=Lists!$S$6,TEXT(COUNTIF('SEGUIMIENTO Y EVALUACIÓN'!K31:N31,"&lt;"&amp;FORMULACIÓN!Q31),"##.###")&amp;" / "&amp;TEXT(COUNTIF('SEGUIMIENTO Y EVALUACIÓN'!K31:N31,"&gt;"&amp;0),"##.###"),IF($G31=Lists!$R$3,TEXT('SEGUIMIENTO Y EVALUACIÓN'!O31,"00,00%")&amp;" / "&amp;TEXT(FORMULACIÓN!P31,"00,00%"),IF('SEGUIMIENTO Y EVALUACIÓN'!O31=0,0,TEXT('SEGUIMIENTO Y EVALUACIÓN'!O31,"##.###")&amp;" / "&amp;TEXT(FORMULACIÓN!P31,"##.###"))))</f>
        <v>1.279 / 1.500</v>
      </c>
      <c r="AU31" s="57">
        <f ca="1">IFERROR(IF((P31/FORMULACIÓN!Q31)&lt;&gt;0,IF($H31=Lists!$S$6,COUNTIF('SEGUIMIENTO Y EVALUACIÓN'!K31:N31,"&lt;"&amp;FORMULACIÓN!Q31),'SEGUIMIENTO Y EVALUACIÓN'!P31)/IF($H31=Lists!$S$6,COUNTIF('SEGUIMIENTO Y EVALUACIÓN'!K31:N31,"&gt;"&amp;0),FORMULACIÓN!P31),0),0)</f>
        <v>0.85266666666666668</v>
      </c>
      <c r="AV31" s="93">
        <f t="shared" ca="1" si="6"/>
        <v>1.7053333333333334E-2</v>
      </c>
      <c r="AW31" s="93" cm="1">
        <f t="array" ref="AW31">IF(INDEX(AO31:AU31,1,$AV$3)&gt;1,IF($AU$2=1,1,INDEX(AO31:AU31,1,$AV$3)),INDEX(AO31:AU31,1,$AV$3))</f>
        <v>1</v>
      </c>
      <c r="AX31"/>
      <c r="AY31" s="119" t="str">
        <f>IFERROR(IF((W31/FORMULACIÓN!X31)&lt;&gt;0,W31/FORMULACIÓN!X31,0),"")</f>
        <v/>
      </c>
      <c r="AZ31" s="119" t="str">
        <f>IFERROR(IF((AA31/FORMULACIÓN!AB31)&lt;&gt;0,AA31/FORMULACIÓN!AB31,0),"")</f>
        <v/>
      </c>
      <c r="BA31" s="119" t="str">
        <f>IFERROR(IF((AE31/FORMULACIÓN!AF31)&lt;&gt;0,(AE31/FORMULACIÓN!AF31),0),"")</f>
        <v/>
      </c>
      <c r="BB31" s="119" t="str">
        <f>IFERROR(IF((AI31/FORMULACIÓN!AJ31)&lt;&gt;0,AI31/FORMULACIÓN!AJ31,0),"")</f>
        <v/>
      </c>
      <c r="BC31" s="120" t="str">
        <f>IF('SEGUIMIENTO Y EVALUACIÓN'!AI31=0,0,TEXT('SEGUIMIENTO Y EVALUACIÓN'!AI31,"$ ##.###")&amp;" / "&amp;TEXT(FORMULACIÓN!AK31,"$ ##.###"))</f>
        <v xml:space="preserve"> / $ 17.557.301.340</v>
      </c>
      <c r="BD31" s="57">
        <f>IFERROR(IF((AJ31/FORMULACIÓN!AK31)&lt;&gt;0,AJ31/FORMULACIÓN!AK31,0),0)</f>
        <v>0</v>
      </c>
      <c r="BJ31"/>
      <c r="BK31"/>
      <c r="BL31"/>
      <c r="BM31"/>
      <c r="CL31" s="7"/>
    </row>
    <row r="32" spans="1:90" s="1" customFormat="1" ht="117" customHeight="1">
      <c r="A32" s="45">
        <f>IF(FORMULACIÓN!A32="","",FORMULACIÓN!A32)</f>
        <v>21</v>
      </c>
      <c r="B32" s="45" t="str">
        <f>IF(FORMULACIÓN!B32="","",FORMULACIÓN!B32)</f>
        <v>L1 - Formación Académica Integral</v>
      </c>
      <c r="C32" s="45" t="str">
        <f>IF(FORMULACIÓN!E32="","",FORMULACIÓN!E32)</f>
        <v>M3 - Regionalización en contexto</v>
      </c>
      <c r="D32" s="45" t="str">
        <f>IF(FORMULACIÓN!F32="","",FORMULACIÓN!F32)</f>
        <v>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v>
      </c>
      <c r="E32" s="45" t="str">
        <f>IF(FORMULACIÓN!G32="","",FORMULACIÓN!G32)</f>
        <v>Egresados graduados en región</v>
      </c>
      <c r="F32" s="45" t="str">
        <f>IF(FORMULACIÓN!H32="","",FORMULACIÓN!H32)</f>
        <v xml:space="preserve">Número de egresados graduados en región activos en el mercado laboral y/o con emprendimientos </v>
      </c>
      <c r="G32" s="45" t="str">
        <f>IF(FORMULACIÓN!I32="","",FORMULACIÓN!I32)</f>
        <v>Unidad</v>
      </c>
      <c r="H32" s="45" t="str">
        <f>IF(FORMULACIÓN!J32="","",FORMULACIÓN!J32)</f>
        <v>Acumulado</v>
      </c>
      <c r="I32" s="188" t="str">
        <f ca="1">IF($G32=Lists!$R$3,"PDI: "&amp;TEXT(FORMULACIÓN!Q32,"00,00%")&amp;CHAR(10)&amp;CHAR(10)&amp;"T1: "&amp;TEXT(FORMULACIÓN!L32,"00,00%")&amp;CHAR(10)&amp;"T2: "&amp;TEXT(FORMULACIÓN!M32,"00,00%")&amp;CHAR(10)&amp;"T3: "&amp;TEXT(FORMULACIÓN!N32,"00,00%")&amp;CHAR(10)&amp;"Tn: "&amp;TEXT(FORMULACIÓN!O32,"00,00%"),IF(FORMULACIÓN!Q32=0,0,"PDI: "&amp;TEXT(FORMULACIÓN!Q32,"##.###")&amp;CHAR(10)&amp;CHAR(10)&amp;"T1: "&amp;TEXT(FORMULACIÓN!L32,"##.###")&amp;CHAR(10)&amp;"T2: "&amp;TEXT(FORMULACIÓN!M32,"##.###")&amp;CHAR(10)&amp;"T3: "&amp;TEXT(FORMULACIÓN!N32,"##.###")&amp;CHAR(10)&amp;"Tn: "&amp;TEXT(FORMULACIÓN!O32,"##.###")))</f>
        <v>PDI: 350
T1: 105
T2: 105
T3: 105
Tn: 35</v>
      </c>
      <c r="J32" s="122">
        <f>IF(FORMULACIÓN!K32&lt;&gt;"",FORMULACIÓN!K32,"")</f>
        <v>0</v>
      </c>
      <c r="K32" s="310">
        <v>118</v>
      </c>
      <c r="L32" s="58"/>
      <c r="M32" s="58"/>
      <c r="N32" s="58"/>
      <c r="O32" s="47">
        <f ca="1">IFERROR(IF($H32=Lists!$S$2,SUM('SEGUIMIENTO Y EVALUACIÓN'!J32:N32),IF('SEGUIMIENTO Y EVALUACIÓN'!$H32=Lists!$S$3,SUM('SEGUIMIENTO Y EVALUACIÓN'!K32:N32),IF('SEGUIMIENTO Y EVALUACIÓN'!$H32=Lists!$S$4,AVERAGE('SEGUIMIENTO Y EVALUACIÓN'!K32:N32),IF('SEGUIMIENTO Y EVALUACIÓN'!$H32=Lists!$S$5,OFFSET(J32,0,COUNTA(K32:N32)),IF($H32=Lists!$S$6,COUNTIF(K32:N32,"&lt;"&amp;FORMULACIÓN!Q32)/COUNT('SEGUIMIENTO Y EVALUACIÓN'!K32:N32),""))))),"")</f>
        <v>118</v>
      </c>
      <c r="P32" s="51" t="str">
        <f ca="1">IF($G32=Lists!$R$3,TEXT('SEGUIMIENTO Y EVALUACIÓN'!O32,"00,00%"),IF('SEGUIMIENTO Y EVALUACIÓN'!O32=0,0,TEXT('SEGUIMIENTO Y EVALUACIÓN'!O32,"##.###")))</f>
        <v>118</v>
      </c>
      <c r="Q32" s="209" t="str">
        <f>IF(FORMULACIÓN!R32&lt;&gt;"",FORMULACIÓN!R32,"")</f>
        <v>P1 - Programas académicos con calidad y pertinencia regional</v>
      </c>
      <c r="R32" s="209">
        <f>IF(FORMULACIÓN!S32&lt;&gt;"",FORMULACIÓN!S32,"")</f>
        <v>0.02</v>
      </c>
      <c r="S32" s="209" t="str">
        <f>IF(FORMULACIÓN!T32&lt;&gt;"",FORMULACIÓN!T32,"")</f>
        <v>Vicerrector de Docencia</v>
      </c>
      <c r="T32" s="42"/>
      <c r="U32" s="42"/>
      <c r="V32" s="42"/>
      <c r="W32" s="43" t="str">
        <f t="shared" si="0"/>
        <v/>
      </c>
      <c r="X32" s="42"/>
      <c r="Y32" s="42"/>
      <c r="Z32" s="42"/>
      <c r="AA32" s="43" t="str">
        <f t="shared" si="1"/>
        <v/>
      </c>
      <c r="AB32" s="42"/>
      <c r="AC32" s="42"/>
      <c r="AD32" s="42"/>
      <c r="AE32" s="43" t="str">
        <f t="shared" si="2"/>
        <v/>
      </c>
      <c r="AF32" s="42"/>
      <c r="AG32" s="42"/>
      <c r="AH32" s="42"/>
      <c r="AI32" s="46" t="str">
        <f t="shared" si="3"/>
        <v/>
      </c>
      <c r="AJ32" s="46" t="str">
        <f>IF(SUM(AA32,AE32,W32,AI32)=0,"",SUM((AA32,AE32,W32,AI32)))</f>
        <v/>
      </c>
      <c r="AK32"/>
      <c r="AL32" s="1" t="str">
        <f t="shared" si="4"/>
        <v>L1M3P1</v>
      </c>
      <c r="AM32" s="56" t="str">
        <f t="shared" si="5"/>
        <v>Egresados graduados en región</v>
      </c>
      <c r="AN32" s="112" t="str">
        <f ca="1">IF($G32=Lists!$R$3,"T1: "&amp;TEXT(FORMULACIÓN!L32,"00,00%")&amp;CHAR(10)&amp;"T2: "&amp;TEXT(FORMULACIÓN!M32,"00,00%")&amp;CHAR(10)&amp;"T3: "&amp;TEXT(FORMULACIÓN!N32,"00,00%")&amp;CHAR(10)&amp;"Tn: "&amp;TEXT(FORMULACIÓN!O32,"00,00%"),IF(FORMULACIÓN!Q32=0,0,"T1: "&amp;TEXT(FORMULACIÓN!L32,"##.###")&amp;CHAR(10)&amp;"T2: "&amp;TEXT(FORMULACIÓN!M32,"##.###")&amp;CHAR(10)&amp;"T3: "&amp;TEXT(FORMULACIÓN!N32,"##.###")&amp;CHAR(10)&amp;"Tn: "&amp;TEXT(FORMULACIÓN!O32,"##.###")))</f>
        <v>T1: 105
T2: 105
T3: 105
Tn: 35</v>
      </c>
      <c r="AO32" s="117">
        <f>IFERROR(IF($H32=Lists!$S$6,IF(AND(FORMULACIÓN!L32&gt;K32,K32&gt;0),1,0),IF((K32/FORMULACIÓN!L32)&lt;&gt;0,K32/FORMULACIÓN!L32,0)),"")</f>
        <v>1.1238095238095238</v>
      </c>
      <c r="AP32" s="117">
        <f>IFERROR(IF($H32=Lists!$S$6,IF(AND(FORMULACIÓN!M32&gt;L32,L32&gt;0),1,0),IF((L32/FORMULACIÓN!M32)&lt;&gt;0,L32/FORMULACIÓN!M32,0)),"")</f>
        <v>0</v>
      </c>
      <c r="AQ32" s="117">
        <f>IFERROR(IF($H32=Lists!$S$6,IF(AND(FORMULACIÓN!N32&gt;M32,M32&gt;0),1,0),IF((M32/FORMULACIÓN!N32)&lt;&gt;0,M32/FORMULACIÓN!N32,0)),"")</f>
        <v>0</v>
      </c>
      <c r="AR32" s="117">
        <f>IFERROR(IF($H32=Lists!$S$6,IF(AND(FORMULACIÓN!O32&gt;N32,N32&gt;0),1,0),IF((N32/FORMULACIÓN!O32)&lt;&gt;0,N32/FORMULACIÓN!O32,0)),"")</f>
        <v>0</v>
      </c>
      <c r="AS32" s="110"/>
      <c r="AT32" s="118" t="str">
        <f ca="1">IF($H32=Lists!$S$6,TEXT(COUNTIF('SEGUIMIENTO Y EVALUACIÓN'!K32:N32,"&lt;"&amp;FORMULACIÓN!Q32),"##.###")&amp;" / "&amp;TEXT(COUNTIF('SEGUIMIENTO Y EVALUACIÓN'!K32:N32,"&gt;"&amp;0),"##.###"),IF($G32=Lists!$R$3,TEXT('SEGUIMIENTO Y EVALUACIÓN'!O32,"00,00%")&amp;" / "&amp;TEXT(FORMULACIÓN!P32,"00,00%"),IF('SEGUIMIENTO Y EVALUACIÓN'!O32=0,0,TEXT('SEGUIMIENTO Y EVALUACIÓN'!O32,"##.###")&amp;" / "&amp;TEXT(FORMULACIÓN!P32,"##.###"))))</f>
        <v>118 / 350</v>
      </c>
      <c r="AU32" s="57">
        <f ca="1">IFERROR(IF((P32/FORMULACIÓN!Q32)&lt;&gt;0,IF($H32=Lists!$S$6,COUNTIF('SEGUIMIENTO Y EVALUACIÓN'!K32:N32,"&lt;"&amp;FORMULACIÓN!Q32),'SEGUIMIENTO Y EVALUACIÓN'!P32)/IF($H32=Lists!$S$6,COUNTIF('SEGUIMIENTO Y EVALUACIÓN'!K32:N32,"&gt;"&amp;0),FORMULACIÓN!P32),0),0)</f>
        <v>0.33714285714285713</v>
      </c>
      <c r="AV32" s="93">
        <f t="shared" ca="1" si="6"/>
        <v>6.7428571428571425E-3</v>
      </c>
      <c r="AW32" s="93" cm="1">
        <f t="array" ref="AW32">IF(INDEX(AO32:AU32,1,$AV$3)&gt;1,IF($AU$2=1,1,INDEX(AO32:AU32,1,$AV$3)),INDEX(AO32:AU32,1,$AV$3))</f>
        <v>1</v>
      </c>
      <c r="AX32"/>
      <c r="AY32" s="119" t="str">
        <f>IFERROR(IF((W32/FORMULACIÓN!X32)&lt;&gt;0,W32/FORMULACIÓN!X32,0),"")</f>
        <v/>
      </c>
      <c r="AZ32" s="119" t="str">
        <f>IFERROR(IF((AA32/FORMULACIÓN!AB32)&lt;&gt;0,AA32/FORMULACIÓN!AB32,0),"")</f>
        <v/>
      </c>
      <c r="BA32" s="119" t="str">
        <f>IFERROR(IF((AE32/FORMULACIÓN!AF32)&lt;&gt;0,(AE32/FORMULACIÓN!AF32),0),"")</f>
        <v/>
      </c>
      <c r="BB32" s="119" t="str">
        <f>IFERROR(IF((AI32/FORMULACIÓN!AJ32)&lt;&gt;0,AI32/FORMULACIÓN!AJ32,0),"")</f>
        <v/>
      </c>
      <c r="BC32" s="120" t="str">
        <f>IF('SEGUIMIENTO Y EVALUACIÓN'!AI32=0,0,TEXT('SEGUIMIENTO Y EVALUACIÓN'!AI32,"$ ##.###")&amp;" / "&amp;TEXT(FORMULACIÓN!AK32,"$ ##.###"))</f>
        <v xml:space="preserve"> / $ 18.090.789.791</v>
      </c>
      <c r="BD32" s="57">
        <f>IFERROR(IF((AJ32/FORMULACIÓN!AK32)&lt;&gt;0,AJ32/FORMULACIÓN!AK32,0),0)</f>
        <v>0</v>
      </c>
      <c r="BJ32"/>
      <c r="BK32"/>
      <c r="CL32" s="7"/>
    </row>
    <row r="33" spans="1:90" s="1" customFormat="1" ht="105.75" customHeight="1">
      <c r="A33" s="45">
        <f>IF(FORMULACIÓN!A33="","",FORMULACIÓN!A33)</f>
        <v>22</v>
      </c>
      <c r="B33" s="45" t="str">
        <f>IF(FORMULACIÓN!B33="","",FORMULACIÓN!B33)</f>
        <v>L1 - Formación Académica Integral</v>
      </c>
      <c r="C33" s="45" t="str">
        <f>IF(FORMULACIÓN!E33="","",FORMULACIÓN!E33)</f>
        <v>M3 - Regionalización en contexto</v>
      </c>
      <c r="D33" s="45" t="str">
        <f>IF(FORMULACIÓN!F33="","",FORMULACIÓN!F33)</f>
        <v>Impulsar el desarrollo regional a través de mínimo 40 convenios y/o venta de servicio,  que propendan entre otros aspectos a la formación académica en región y al mejoramiento de los resultados de las pruebas Saber 11 de las instituciones educativas de la región.</v>
      </c>
      <c r="E33" s="45" t="str">
        <f>IF(FORMULACIÓN!G33="","",FORMULACIÓN!G33)</f>
        <v>Programa de Mejoramiento de los resultados de las pruebas Saber 11 de las instituciones educativas en la región con apoyo de entes territoriales</v>
      </c>
      <c r="F33" s="45" t="str">
        <f>IF(FORMULACIÓN!H33="","",FORMULACIÓN!H33)</f>
        <v>Implementación de programa "Mejor es Saber" para mejoramiento de competencias genéricas de estudiantes de la educación media en región</v>
      </c>
      <c r="G33" s="45" t="str">
        <f>IF(FORMULACIÓN!I33="","",FORMULACIÓN!I33)</f>
        <v>Unidad</v>
      </c>
      <c r="H33" s="45" t="str">
        <f>IF(FORMULACIÓN!J33="","",FORMULACIÓN!J33)</f>
        <v>Último valor reportado</v>
      </c>
      <c r="I33" s="188" t="str">
        <f ca="1">IF($G33=Lists!$R$3,"PDI: "&amp;TEXT(FORMULACIÓN!Q33,"00,00%")&amp;CHAR(10)&amp;CHAR(10)&amp;"T1: "&amp;TEXT(FORMULACIÓN!L33,"00,00%")&amp;CHAR(10)&amp;"T2: "&amp;TEXT(FORMULACIÓN!M33,"00,00%")&amp;CHAR(10)&amp;"T3: "&amp;TEXT(FORMULACIÓN!N33,"00,00%")&amp;CHAR(10)&amp;"Tn: "&amp;TEXT(FORMULACIÓN!O33,"00,00%"),IF(FORMULACIÓN!Q33=0,0,"PDI: "&amp;TEXT(FORMULACIÓN!Q33,"##.###")&amp;CHAR(10)&amp;CHAR(10)&amp;"T1: "&amp;TEXT(FORMULACIÓN!L33,"##.###")&amp;CHAR(10)&amp;"T2: "&amp;TEXT(FORMULACIÓN!M33,"##.###")&amp;CHAR(10)&amp;"T3: "&amp;TEXT(FORMULACIÓN!N33,"##.###")&amp;CHAR(10)&amp;"Tn: "&amp;TEXT(FORMULACIÓN!O33,"##.###")))</f>
        <v>PDI: 1
T1: 1
T2: 1
T3: 1
Tn: 1</v>
      </c>
      <c r="J33" s="122">
        <f>IF(FORMULACIÓN!K33&lt;&gt;"",FORMULACIÓN!K33,"")</f>
        <v>0</v>
      </c>
      <c r="K33" s="310">
        <v>1</v>
      </c>
      <c r="L33" s="58"/>
      <c r="M33" s="58"/>
      <c r="N33" s="58"/>
      <c r="O33" s="47">
        <f ca="1">IFERROR(IF($H33=Lists!$S$2,SUM('SEGUIMIENTO Y EVALUACIÓN'!J33:N33),IF('SEGUIMIENTO Y EVALUACIÓN'!$H33=Lists!$S$3,SUM('SEGUIMIENTO Y EVALUACIÓN'!K33:N33),IF('SEGUIMIENTO Y EVALUACIÓN'!$H33=Lists!$S$4,AVERAGE('SEGUIMIENTO Y EVALUACIÓN'!K33:N33),IF('SEGUIMIENTO Y EVALUACIÓN'!$H33=Lists!$S$5,OFFSET(J33,0,COUNTA(K33:N33)),IF($H33=Lists!$S$6,COUNTIF(K33:N33,"&lt;"&amp;FORMULACIÓN!Q33)/COUNT('SEGUIMIENTO Y EVALUACIÓN'!K33:N33),""))))),"")</f>
        <v>1</v>
      </c>
      <c r="P33" s="51" t="str">
        <f ca="1">IF($G33=Lists!$R$3,TEXT('SEGUIMIENTO Y EVALUACIÓN'!O33,"00,00%"),IF('SEGUIMIENTO Y EVALUACIÓN'!O33=0,0,TEXT('SEGUIMIENTO Y EVALUACIÓN'!O33,"##.###")))</f>
        <v>1</v>
      </c>
      <c r="Q33" s="209" t="str">
        <f>IF(FORMULACIÓN!R33&lt;&gt;"",FORMULACIÓN!R33,"")</f>
        <v>P2 - Acceso de población rural a programas académicos</v>
      </c>
      <c r="R33" s="209">
        <f>IF(FORMULACIÓN!S33&lt;&gt;"",FORMULACIÓN!S33,"")</f>
        <v>0.04</v>
      </c>
      <c r="S33" s="209" t="str">
        <f>IF(FORMULACIÓN!T33&lt;&gt;"",FORMULACIÓN!T33,"")</f>
        <v>Vicerrector de Docencia</v>
      </c>
      <c r="T33" s="42"/>
      <c r="U33" s="42"/>
      <c r="V33" s="42"/>
      <c r="W33" s="43" t="str">
        <f t="shared" si="0"/>
        <v/>
      </c>
      <c r="X33" s="42"/>
      <c r="Y33" s="42"/>
      <c r="Z33" s="42"/>
      <c r="AA33" s="43" t="str">
        <f t="shared" si="1"/>
        <v/>
      </c>
      <c r="AB33" s="42"/>
      <c r="AC33" s="42"/>
      <c r="AD33" s="42"/>
      <c r="AE33" s="43" t="str">
        <f t="shared" si="2"/>
        <v/>
      </c>
      <c r="AF33" s="42"/>
      <c r="AG33" s="42"/>
      <c r="AH33" s="42"/>
      <c r="AI33" s="46" t="str">
        <f t="shared" si="3"/>
        <v/>
      </c>
      <c r="AJ33" s="46" t="str">
        <f>IF(SUM(AA33,AE33,W33,AI33)=0,"",SUM((AA33,AE33,W33,AI33)))</f>
        <v/>
      </c>
      <c r="AK33"/>
      <c r="AL33" s="1" t="str">
        <f t="shared" si="4"/>
        <v>L1M3P2</v>
      </c>
      <c r="AM33" s="56" t="str">
        <f t="shared" si="5"/>
        <v>Programa de Mejoramiento de los resultados de las pruebas Saber 11 de las instituciones educativas en la región con apoyo de entes territoriales</v>
      </c>
      <c r="AN33" s="112" t="str">
        <f ca="1">IF($G33=Lists!$R$3,"T1: "&amp;TEXT(FORMULACIÓN!L33,"00,00%")&amp;CHAR(10)&amp;"T2: "&amp;TEXT(FORMULACIÓN!M33,"00,00%")&amp;CHAR(10)&amp;"T3: "&amp;TEXT(FORMULACIÓN!N33,"00,00%")&amp;CHAR(10)&amp;"Tn: "&amp;TEXT(FORMULACIÓN!O33,"00,00%"),IF(FORMULACIÓN!Q33=0,0,"T1: "&amp;TEXT(FORMULACIÓN!L33,"##.###")&amp;CHAR(10)&amp;"T2: "&amp;TEXT(FORMULACIÓN!M33,"##.###")&amp;CHAR(10)&amp;"T3: "&amp;TEXT(FORMULACIÓN!N33,"##.###")&amp;CHAR(10)&amp;"Tn: "&amp;TEXT(FORMULACIÓN!O33,"##.###")))</f>
        <v>T1: 1
T2: 1
T3: 1
Tn: 1</v>
      </c>
      <c r="AO33" s="117">
        <f>IFERROR(IF($H33=Lists!$S$6,IF(AND(FORMULACIÓN!L33&gt;K33,K33&gt;0),1,0),IF((K33/FORMULACIÓN!L33)&lt;&gt;0,K33/FORMULACIÓN!L33,0)),"")</f>
        <v>1</v>
      </c>
      <c r="AP33" s="117">
        <f>IFERROR(IF($H33=Lists!$S$6,IF(AND(FORMULACIÓN!M33&gt;L33,L33&gt;0),1,0),IF((L33/FORMULACIÓN!M33)&lt;&gt;0,L33/FORMULACIÓN!M33,0)),"")</f>
        <v>0</v>
      </c>
      <c r="AQ33" s="117">
        <f>IFERROR(IF($H33=Lists!$S$6,IF(AND(FORMULACIÓN!N33&gt;M33,M33&gt;0),1,0),IF((M33/FORMULACIÓN!N33)&lt;&gt;0,M33/FORMULACIÓN!N33,0)),"")</f>
        <v>0</v>
      </c>
      <c r="AR33" s="117">
        <f>IFERROR(IF($H33=Lists!$S$6,IF(AND(FORMULACIÓN!O33&gt;N33,N33&gt;0),1,0),IF((N33/FORMULACIÓN!O33)&lt;&gt;0,N33/FORMULACIÓN!O33,0)),"")</f>
        <v>0</v>
      </c>
      <c r="AS33" s="110"/>
      <c r="AT33" s="118" t="str">
        <f ca="1">IF($H33=Lists!$S$6,TEXT(COUNTIF('SEGUIMIENTO Y EVALUACIÓN'!K33:N33,"&lt;"&amp;FORMULACIÓN!Q33),"##.###")&amp;" / "&amp;TEXT(COUNTIF('SEGUIMIENTO Y EVALUACIÓN'!K33:N33,"&gt;"&amp;0),"##.###"),IF($G33=Lists!$R$3,TEXT('SEGUIMIENTO Y EVALUACIÓN'!O33,"00,00%")&amp;" / "&amp;TEXT(FORMULACIÓN!P33,"00,00%"),IF('SEGUIMIENTO Y EVALUACIÓN'!O33=0,0,TEXT('SEGUIMIENTO Y EVALUACIÓN'!O33,"##.###")&amp;" / "&amp;TEXT(FORMULACIÓN!P33,"##.###"))))</f>
        <v>1 / 1</v>
      </c>
      <c r="AU33" s="57">
        <f ca="1">IFERROR(IF((P33/FORMULACIÓN!Q33)&lt;&gt;0,IF($H33=Lists!$S$6,COUNTIF('SEGUIMIENTO Y EVALUACIÓN'!K33:N33,"&lt;"&amp;FORMULACIÓN!Q33),'SEGUIMIENTO Y EVALUACIÓN'!P33)/IF($H33=Lists!$S$6,COUNTIF('SEGUIMIENTO Y EVALUACIÓN'!K33:N33,"&gt;"&amp;0),FORMULACIÓN!P33),0),0)</f>
        <v>1</v>
      </c>
      <c r="AV33" s="93">
        <f t="shared" ca="1" si="6"/>
        <v>0.04</v>
      </c>
      <c r="AW33" s="93" cm="1">
        <f t="array" ref="AW33">IF(INDEX(AO33:AU33,1,$AV$3)&gt;1,IF($AU$2=1,1,INDEX(AO33:AU33,1,$AV$3)),INDEX(AO33:AU33,1,$AV$3))</f>
        <v>1</v>
      </c>
      <c r="AX33"/>
      <c r="AY33" s="119" t="str">
        <f>IFERROR(IF((W33/FORMULACIÓN!X33)&lt;&gt;0,W33/FORMULACIÓN!X33,0),"")</f>
        <v/>
      </c>
      <c r="AZ33" s="119" t="str">
        <f>IFERROR(IF((AA33/FORMULACIÓN!AB33)&lt;&gt;0,AA33/FORMULACIÓN!AB33,0),"")</f>
        <v/>
      </c>
      <c r="BA33" s="119" t="str">
        <f>IFERROR(IF((AE33/FORMULACIÓN!AF33)&lt;&gt;0,(AE33/FORMULACIÓN!AF33),0),"")</f>
        <v/>
      </c>
      <c r="BB33" s="119" t="str">
        <f>IFERROR(IF((AI33/FORMULACIÓN!AJ33)&lt;&gt;0,AI33/FORMULACIÓN!AJ33,0),"")</f>
        <v/>
      </c>
      <c r="BC33" s="120" t="str">
        <f>IF('SEGUIMIENTO Y EVALUACIÓN'!AI33=0,0,TEXT('SEGUIMIENTO Y EVALUACIÓN'!AI33,"$ ##.###")&amp;" / "&amp;TEXT(FORMULACIÓN!AK33,"$ ##.###"))</f>
        <v xml:space="preserve"> / $ 69.295.600.570</v>
      </c>
      <c r="BD33" s="57">
        <f>IFERROR(IF((AJ33/FORMULACIÓN!AK33)&lt;&gt;0,AJ33/FORMULACIÓN!AK33,0),0)</f>
        <v>0</v>
      </c>
      <c r="BJ33"/>
      <c r="BK33"/>
      <c r="CL33" s="7"/>
    </row>
    <row r="34" spans="1:90" s="1" customFormat="1" ht="67.5">
      <c r="A34" s="45">
        <f>IF(FORMULACIÓN!A34="","",FORMULACIÓN!A34)</f>
        <v>23</v>
      </c>
      <c r="B34" s="45" t="str">
        <f>IF(FORMULACIÓN!B34="","",FORMULACIÓN!B34)</f>
        <v>L1 - Formación Académica Integral</v>
      </c>
      <c r="C34" s="45" t="str">
        <f>IF(FORMULACIÓN!E34="","",FORMULACIÓN!E34)</f>
        <v>M3 - Regionalización en contexto</v>
      </c>
      <c r="D34" s="45" t="str">
        <f>IF(FORMULACIÓN!F34="","",FORMULACIÓN!F34)</f>
        <v>Impulsar el desarrollo regional a través de mínimo 40 convenios y/o venta de servicio,  que propendan entre otros aspectos a la formación académica en región y al mejoramiento de los resultados de las pruebas Saber 11 de las instituciones educativas de la región.</v>
      </c>
      <c r="E34" s="45" t="str">
        <f>IF(FORMULACIÓN!G34="","",FORMULACIÓN!G34)</f>
        <v>Convenios para apoyar la formación académica en región</v>
      </c>
      <c r="F34" s="45" t="str">
        <f>IF(FORMULACIÓN!H34="","",FORMULACIÓN!H34)</f>
        <v xml:space="preserve">Número de convenios desarrollados con los entes territoriales y/o empresas para apoyar la formación académica en región (pasantías, prácticas académicas, movilidad, laboratorios prestados o en comodato) </v>
      </c>
      <c r="G34" s="45" t="str">
        <f>IF(FORMULACIÓN!I34="","",FORMULACIÓN!I34)</f>
        <v>Unidad</v>
      </c>
      <c r="H34" s="45" t="str">
        <f>IF(FORMULACIÓN!J34="","",FORMULACIÓN!J34)</f>
        <v>Nuevo gestionado durante la vigencia</v>
      </c>
      <c r="I34" s="188" t="str">
        <f ca="1">IF($G34=Lists!$R$3,"PDI: "&amp;TEXT(FORMULACIÓN!Q34,"00,00%")&amp;CHAR(10)&amp;CHAR(10)&amp;"T1: "&amp;TEXT(FORMULACIÓN!L34,"00,00%")&amp;CHAR(10)&amp;"T2: "&amp;TEXT(FORMULACIÓN!M34,"00,00%")&amp;CHAR(10)&amp;"T3: "&amp;TEXT(FORMULACIÓN!N34,"00,00%")&amp;CHAR(10)&amp;"Tn: "&amp;TEXT(FORMULACIÓN!O34,"00,00%"),IF(FORMULACIÓN!Q34=0,0,"PDI: "&amp;TEXT(FORMULACIÓN!Q34,"##.###")&amp;CHAR(10)&amp;CHAR(10)&amp;"T1: "&amp;TEXT(FORMULACIÓN!L34,"##.###")&amp;CHAR(10)&amp;"T2: "&amp;TEXT(FORMULACIÓN!M34,"##.###")&amp;CHAR(10)&amp;"T3: "&amp;TEXT(FORMULACIÓN!N34,"##.###")&amp;CHAR(10)&amp;"Tn: "&amp;TEXT(FORMULACIÓN!O34,"##.###")))</f>
        <v xml:space="preserve">PDI: 40
T1: 20
T2: 10
T3: 10
Tn: </v>
      </c>
      <c r="J34" s="122">
        <f>IF(FORMULACIÓN!K34&lt;&gt;"",FORMULACIÓN!K34,"")</f>
        <v>23</v>
      </c>
      <c r="K34" s="310">
        <v>15</v>
      </c>
      <c r="L34" s="58"/>
      <c r="M34" s="58"/>
      <c r="N34" s="58"/>
      <c r="O34" s="47">
        <f ca="1">IFERROR(IF($H34=Lists!$S$2,SUM('SEGUIMIENTO Y EVALUACIÓN'!J34:N34),IF('SEGUIMIENTO Y EVALUACIÓN'!$H34=Lists!$S$3,SUM('SEGUIMIENTO Y EVALUACIÓN'!K34:N34),IF('SEGUIMIENTO Y EVALUACIÓN'!$H34=Lists!$S$4,AVERAGE('SEGUIMIENTO Y EVALUACIÓN'!K34:N34),IF('SEGUIMIENTO Y EVALUACIÓN'!$H34=Lists!$S$5,OFFSET(J34,0,COUNTA(K34:N34)),IF($H34=Lists!$S$6,COUNTIF(K34:N34,"&lt;"&amp;FORMULACIÓN!Q34)/COUNT('SEGUIMIENTO Y EVALUACIÓN'!K34:N34),""))))),"")</f>
        <v>15</v>
      </c>
      <c r="P34" s="51" t="str">
        <f ca="1">IF($G34=Lists!$R$3,TEXT('SEGUIMIENTO Y EVALUACIÓN'!O34,"00,00%"),IF('SEGUIMIENTO Y EVALUACIÓN'!O34=0,0,TEXT('SEGUIMIENTO Y EVALUACIÓN'!O34,"##.###")))</f>
        <v>15</v>
      </c>
      <c r="Q34" s="209" t="str">
        <f>IF(FORMULACIÓN!R34&lt;&gt;"",FORMULACIÓN!R34,"")</f>
        <v>P3 - Articulación de la docencia con la investigación y extensión en región</v>
      </c>
      <c r="R34" s="209">
        <f>IF(FORMULACIÓN!S34&lt;&gt;"",FORMULACIÓN!S34,"")</f>
        <v>0.05</v>
      </c>
      <c r="S34" s="209" t="str">
        <f>IF(FORMULACIÓN!T34&lt;&gt;"",FORMULACIÓN!T34,"")</f>
        <v>Vicerrector de Docencia</v>
      </c>
      <c r="T34" s="42"/>
      <c r="U34" s="42"/>
      <c r="V34" s="42"/>
      <c r="W34" s="43" t="str">
        <f t="shared" si="0"/>
        <v/>
      </c>
      <c r="X34" s="42"/>
      <c r="Y34" s="42"/>
      <c r="Z34" s="42"/>
      <c r="AA34" s="43" t="str">
        <f t="shared" si="1"/>
        <v/>
      </c>
      <c r="AB34" s="42"/>
      <c r="AC34" s="42"/>
      <c r="AD34" s="42"/>
      <c r="AE34" s="43" t="str">
        <f t="shared" si="2"/>
        <v/>
      </c>
      <c r="AF34" s="42"/>
      <c r="AG34" s="42"/>
      <c r="AH34" s="42"/>
      <c r="AI34" s="46" t="str">
        <f t="shared" si="3"/>
        <v/>
      </c>
      <c r="AJ34" s="46" t="str">
        <f>IF(SUM(AA34,AE34,W34,AI34)=0,"",SUM((AA34,AE34,W34,AI34)))</f>
        <v/>
      </c>
      <c r="AK34"/>
      <c r="AL34" s="1" t="str">
        <f t="shared" si="4"/>
        <v>L1M3P3</v>
      </c>
      <c r="AM34" s="56" t="str">
        <f t="shared" si="5"/>
        <v>Convenios para apoyar la formación académica en región</v>
      </c>
      <c r="AN34" s="112" t="str">
        <f ca="1">IF($G34=Lists!$R$3,"T1: "&amp;TEXT(FORMULACIÓN!L34,"00,00%")&amp;CHAR(10)&amp;"T2: "&amp;TEXT(FORMULACIÓN!M34,"00,00%")&amp;CHAR(10)&amp;"T3: "&amp;TEXT(FORMULACIÓN!N34,"00,00%")&amp;CHAR(10)&amp;"Tn: "&amp;TEXT(FORMULACIÓN!O34,"00,00%"),IF(FORMULACIÓN!Q34=0,0,"T1: "&amp;TEXT(FORMULACIÓN!L34,"##.###")&amp;CHAR(10)&amp;"T2: "&amp;TEXT(FORMULACIÓN!M34,"##.###")&amp;CHAR(10)&amp;"T3: "&amp;TEXT(FORMULACIÓN!N34,"##.###")&amp;CHAR(10)&amp;"Tn: "&amp;TEXT(FORMULACIÓN!O34,"##.###")))</f>
        <v xml:space="preserve">T1: 20
T2: 10
T3: 10
Tn: </v>
      </c>
      <c r="AO34" s="117">
        <f>IFERROR(IF($H34=Lists!$S$6,IF(AND(FORMULACIÓN!L34&gt;K34,K34&gt;0),1,0),IF((K34/FORMULACIÓN!L34)&lt;&gt;0,K34/FORMULACIÓN!L34,0)),"")</f>
        <v>0.75</v>
      </c>
      <c r="AP34" s="117">
        <f>IFERROR(IF($H34=Lists!$S$6,IF(AND(FORMULACIÓN!M34&gt;L34,L34&gt;0),1,0),IF((L34/FORMULACIÓN!M34)&lt;&gt;0,L34/FORMULACIÓN!M34,0)),"")</f>
        <v>0</v>
      </c>
      <c r="AQ34" s="117">
        <f>IFERROR(IF($H34=Lists!$S$6,IF(AND(FORMULACIÓN!N34&gt;M34,M34&gt;0),1,0),IF((M34/FORMULACIÓN!N34)&lt;&gt;0,M34/FORMULACIÓN!N34,0)),"")</f>
        <v>0</v>
      </c>
      <c r="AR34" s="117" t="str">
        <f>IFERROR(IF($H34=Lists!$S$6,IF(AND(FORMULACIÓN!O34&gt;N34,N34&gt;0),1,0),IF((N34/FORMULACIÓN!O34)&lt;&gt;0,N34/FORMULACIÓN!O34,0)),"")</f>
        <v/>
      </c>
      <c r="AS34" s="110"/>
      <c r="AT34" s="118" t="str">
        <f ca="1">IF($H34=Lists!$S$6,TEXT(COUNTIF('SEGUIMIENTO Y EVALUACIÓN'!K34:N34,"&lt;"&amp;FORMULACIÓN!Q34),"##.###")&amp;" / "&amp;TEXT(COUNTIF('SEGUIMIENTO Y EVALUACIÓN'!K34:N34,"&gt;"&amp;0),"##.###"),IF($G34=Lists!$R$3,TEXT('SEGUIMIENTO Y EVALUACIÓN'!O34,"00,00%")&amp;" / "&amp;TEXT(FORMULACIÓN!P34,"00,00%"),IF('SEGUIMIENTO Y EVALUACIÓN'!O34=0,0,TEXT('SEGUIMIENTO Y EVALUACIÓN'!O34,"##.###")&amp;" / "&amp;TEXT(FORMULACIÓN!P34,"##.###"))))</f>
        <v>15 / 40</v>
      </c>
      <c r="AU34" s="57">
        <f ca="1">IFERROR(IF((P34/FORMULACIÓN!Q34)&lt;&gt;0,IF($H34=Lists!$S$6,COUNTIF('SEGUIMIENTO Y EVALUACIÓN'!K34:N34,"&lt;"&amp;FORMULACIÓN!Q34),'SEGUIMIENTO Y EVALUACIÓN'!P34)/IF($H34=Lists!$S$6,COUNTIF('SEGUIMIENTO Y EVALUACIÓN'!K34:N34,"&gt;"&amp;0),FORMULACIÓN!P34),0),0)</f>
        <v>0.375</v>
      </c>
      <c r="AV34" s="93">
        <f t="shared" ca="1" si="6"/>
        <v>1.8750000000000003E-2</v>
      </c>
      <c r="AW34" s="93" cm="1">
        <f t="array" ref="AW34">IF(INDEX(AO34:AU34,1,$AV$3)&gt;1,IF($AU$2=1,1,INDEX(AO34:AU34,1,$AV$3)),INDEX(AO34:AU34,1,$AV$3))</f>
        <v>0.75</v>
      </c>
      <c r="AX34"/>
      <c r="AY34" s="119" t="str">
        <f>IFERROR(IF((W34/FORMULACIÓN!X34)&lt;&gt;0,W34/FORMULACIÓN!X34,0),"")</f>
        <v/>
      </c>
      <c r="AZ34" s="119" t="str">
        <f>IFERROR(IF((AA34/FORMULACIÓN!AB34)&lt;&gt;0,AA34/FORMULACIÓN!AB34,0),"")</f>
        <v/>
      </c>
      <c r="BA34" s="119" t="str">
        <f>IFERROR(IF((AE34/FORMULACIÓN!AF34)&lt;&gt;0,(AE34/FORMULACIÓN!AF34),0),"")</f>
        <v/>
      </c>
      <c r="BB34" s="119" t="str">
        <f>IFERROR(IF((AI34/FORMULACIÓN!AJ34)&lt;&gt;0,AI34/FORMULACIÓN!AJ34,0),"")</f>
        <v/>
      </c>
      <c r="BC34" s="120" t="str">
        <f>IF('SEGUIMIENTO Y EVALUACIÓN'!AI34=0,0,TEXT('SEGUIMIENTO Y EVALUACIÓN'!AI34,"$ ##.###")&amp;" / "&amp;TEXT(FORMULACIÓN!AK34,"$ ##.###"))</f>
        <v xml:space="preserve"> / $ 69.295.600.570</v>
      </c>
      <c r="BD34" s="57">
        <f>IFERROR(IF((AJ34/FORMULACIÓN!AK34)&lt;&gt;0,AJ34/FORMULACIÓN!AK34,0),0)</f>
        <v>0</v>
      </c>
      <c r="BJ34"/>
      <c r="BK34"/>
      <c r="CL34" s="7"/>
    </row>
    <row r="35" spans="1:90" s="1" customFormat="1" ht="67.5">
      <c r="A35" s="45">
        <f>IF(FORMULACIÓN!A35="","",FORMULACIÓN!A35)</f>
        <v>24</v>
      </c>
      <c r="B35" s="45" t="str">
        <f>IF(FORMULACIÓN!B35="","",FORMULACIÓN!B35)</f>
        <v>L1 - Formación Académica Integral</v>
      </c>
      <c r="C35" s="45" t="str">
        <f>IF(FORMULACIÓN!E35="","",FORMULACIÓN!E35)</f>
        <v>M4 - Procesos académicos inclusivos e interculturales</v>
      </c>
      <c r="D35" s="45" t="str">
        <f>IF(FORMULACIÓN!F35="","",FORMULACIÓN!F35)</f>
        <v>Diseñar, aprobar e implementar la Política de Educación inclusiva e intercultural.</v>
      </c>
      <c r="E35" s="45" t="str">
        <f>IF(FORMULACIÓN!G35="","",FORMULACIÓN!G35)</f>
        <v>Porcentaje de implementación de la Política de Educación inclusiva e intercultural</v>
      </c>
      <c r="F35" s="45" t="str">
        <f>IF(FORMULACIÓN!H35="","",FORMULACIÓN!H35)</f>
        <v>N° de lineamientos de la Política implementados / total de lineamientos incluidos en la Política de Educación Inclusiva e intercultural *100</v>
      </c>
      <c r="G35" s="45" t="str">
        <f>IF(FORMULACIÓN!I35="","",FORMULACIÓN!I35)</f>
        <v>Porcentaje</v>
      </c>
      <c r="H35" s="45" t="str">
        <f>IF(FORMULACIÓN!J35="","",FORMULACIÓN!J35)</f>
        <v>Acumulado</v>
      </c>
      <c r="I35" s="188" t="str">
        <f ca="1">IF($G35=Lists!$R$3,"PDI: "&amp;TEXT(FORMULACIÓN!Q35,"00,00%")&amp;CHAR(10)&amp;CHAR(10)&amp;"T1: "&amp;TEXT(FORMULACIÓN!L35,"00,00%")&amp;CHAR(10)&amp;"T2: "&amp;TEXT(FORMULACIÓN!M35,"00,00%")&amp;CHAR(10)&amp;"T3: "&amp;TEXT(FORMULACIÓN!N35,"00,00%")&amp;CHAR(10)&amp;"Tn: "&amp;TEXT(FORMULACIÓN!O35,"00,00%"),IF(FORMULACIÓN!Q35=0,0,"PDI: "&amp;TEXT(FORMULACIÓN!Q35,"##.###")&amp;CHAR(10)&amp;CHAR(10)&amp;"T1: "&amp;TEXT(FORMULACIÓN!L35,"##.###")&amp;CHAR(10)&amp;"T2: "&amp;TEXT(FORMULACIÓN!M35,"##.###")&amp;CHAR(10)&amp;"T3: "&amp;TEXT(FORMULACIÓN!N35,"##.###")&amp;CHAR(10)&amp;"Tn: "&amp;TEXT(FORMULACIÓN!O35,"##.###")))</f>
        <v>PDI: 100,00%
T1: 20,00%
T2: 30,00%
T3: 30,00%
Tn: 20,00%</v>
      </c>
      <c r="J35" s="122">
        <f>IF(FORMULACIÓN!K35&lt;&gt;"",FORMULACIÓN!K35,"")</f>
        <v>0</v>
      </c>
      <c r="K35" s="309">
        <v>0</v>
      </c>
      <c r="L35" s="59"/>
      <c r="M35" s="59"/>
      <c r="N35" s="59"/>
      <c r="O35" s="47">
        <f ca="1">IFERROR(IF($H35=Lists!$S$2,SUM('SEGUIMIENTO Y EVALUACIÓN'!J35:N35),IF('SEGUIMIENTO Y EVALUACIÓN'!$H35=Lists!$S$3,SUM('SEGUIMIENTO Y EVALUACIÓN'!K35:N35),IF('SEGUIMIENTO Y EVALUACIÓN'!$H35=Lists!$S$4,AVERAGE('SEGUIMIENTO Y EVALUACIÓN'!K35:N35),IF('SEGUIMIENTO Y EVALUACIÓN'!$H35=Lists!$S$5,OFFSET(J35,0,COUNTA(K35:N35)),IF($H35=Lists!$S$6,COUNTIF(K35:N35,"&lt;"&amp;FORMULACIÓN!Q35)/COUNT('SEGUIMIENTO Y EVALUACIÓN'!K35:N35),""))))),"")</f>
        <v>0</v>
      </c>
      <c r="P35" s="51" t="str">
        <f ca="1">IF($G35=Lists!$R$3,TEXT('SEGUIMIENTO Y EVALUACIÓN'!O35,"00,00%"),IF('SEGUIMIENTO Y EVALUACIÓN'!O35=0,0,TEXT('SEGUIMIENTO Y EVALUACIÓN'!O35,"##.###")))</f>
        <v>00,00%</v>
      </c>
      <c r="Q35" s="209" t="str">
        <f>IF(FORMULACIÓN!R35&lt;&gt;"",FORMULACIÓN!R35,"")</f>
        <v>P1 - Política de Educación Inclusiva e Intercultural</v>
      </c>
      <c r="R35" s="209">
        <f>IF(FORMULACIÓN!S35&lt;&gt;"",FORMULACIÓN!S35,"")</f>
        <v>1.4999999999999999E-2</v>
      </c>
      <c r="S35" s="209" t="str">
        <f>IF(FORMULACIÓN!T35&lt;&gt;"",FORMULACIÓN!T35,"")</f>
        <v>Vicerrector de Docencia</v>
      </c>
      <c r="T35" s="42"/>
      <c r="U35" s="42"/>
      <c r="V35" s="42"/>
      <c r="W35" s="43" t="str">
        <f t="shared" si="0"/>
        <v/>
      </c>
      <c r="X35" s="42"/>
      <c r="Y35" s="42"/>
      <c r="Z35" s="42"/>
      <c r="AA35" s="43" t="str">
        <f t="shared" si="1"/>
        <v/>
      </c>
      <c r="AB35" s="42"/>
      <c r="AC35" s="42"/>
      <c r="AD35" s="42"/>
      <c r="AE35" s="43" t="str">
        <f t="shared" si="2"/>
        <v/>
      </c>
      <c r="AF35" s="42"/>
      <c r="AG35" s="42"/>
      <c r="AH35" s="42"/>
      <c r="AI35" s="46" t="str">
        <f t="shared" si="3"/>
        <v/>
      </c>
      <c r="AJ35" s="46" t="str">
        <f>IF(SUM(AA35,AE35,W35,AI35)=0,"",SUM((AA35,AE35,W35,AI35)))</f>
        <v/>
      </c>
      <c r="AK35"/>
      <c r="AL35" s="1" t="str">
        <f t="shared" si="4"/>
        <v>L1M4P1</v>
      </c>
      <c r="AM35" s="56" t="str">
        <f t="shared" si="5"/>
        <v>Porcentaje de implementación de la Política de Educación inclusiva e intercultural</v>
      </c>
      <c r="AN35" s="112" t="str">
        <f>IF($G35=Lists!$R$3,"T1: "&amp;TEXT(FORMULACIÓN!L35,"00,00%")&amp;CHAR(10)&amp;"T2: "&amp;TEXT(FORMULACIÓN!M35,"00,00%")&amp;CHAR(10)&amp;"T3: "&amp;TEXT(FORMULACIÓN!N35,"00,00%")&amp;CHAR(10)&amp;"Tn: "&amp;TEXT(FORMULACIÓN!O35,"00,00%"),IF(FORMULACIÓN!Q35=0,0,"T1: "&amp;TEXT(FORMULACIÓN!L35,"##.###")&amp;CHAR(10)&amp;"T2: "&amp;TEXT(FORMULACIÓN!M35,"##.###")&amp;CHAR(10)&amp;"T3: "&amp;TEXT(FORMULACIÓN!N35,"##.###")&amp;CHAR(10)&amp;"Tn: "&amp;TEXT(FORMULACIÓN!O35,"##.###")))</f>
        <v>T1: 20,00%
T2: 30,00%
T3: 30,00%
Tn: 20,00%</v>
      </c>
      <c r="AO35" s="117">
        <f>IFERROR(IF($H35=Lists!$S$6,IF(AND(FORMULACIÓN!L35&gt;K35,K35&gt;0),1,0),IF((K35/FORMULACIÓN!L35)&lt;&gt;0,K35/FORMULACIÓN!L35,0)),"")</f>
        <v>0</v>
      </c>
      <c r="AP35" s="117">
        <f>IFERROR(IF($H35=Lists!$S$6,IF(AND(FORMULACIÓN!M35&gt;L35,L35&gt;0),1,0),IF((L35/FORMULACIÓN!M35)&lt;&gt;0,L35/FORMULACIÓN!M35,0)),"")</f>
        <v>0</v>
      </c>
      <c r="AQ35" s="117">
        <f>IFERROR(IF($H35=Lists!$S$6,IF(AND(FORMULACIÓN!N35&gt;M35,M35&gt;0),1,0),IF((M35/FORMULACIÓN!N35)&lt;&gt;0,M35/FORMULACIÓN!N35,0)),"")</f>
        <v>0</v>
      </c>
      <c r="AR35" s="117">
        <f>IFERROR(IF($H35=Lists!$S$6,IF(AND(FORMULACIÓN!O35&gt;N35,N35&gt;0),1,0),IF((N35/FORMULACIÓN!O35)&lt;&gt;0,N35/FORMULACIÓN!O35,0)),"")</f>
        <v>0</v>
      </c>
      <c r="AS35" s="110"/>
      <c r="AT35" s="118" t="str">
        <f ca="1">IF($H35=Lists!$S$6,TEXT(COUNTIF('SEGUIMIENTO Y EVALUACIÓN'!K35:N35,"&lt;"&amp;FORMULACIÓN!Q35),"##.###")&amp;" / "&amp;TEXT(COUNTIF('SEGUIMIENTO Y EVALUACIÓN'!K35:N35,"&gt;"&amp;0),"##.###"),IF($G35=Lists!$R$3,TEXT('SEGUIMIENTO Y EVALUACIÓN'!O35,"00,00%")&amp;" / "&amp;TEXT(FORMULACIÓN!P35,"00,00%"),IF('SEGUIMIENTO Y EVALUACIÓN'!O35=0,0,TEXT('SEGUIMIENTO Y EVALUACIÓN'!O35,"##.###")&amp;" / "&amp;TEXT(FORMULACIÓN!P35,"##.###"))))</f>
        <v>00,00% / 100,00%</v>
      </c>
      <c r="AU35" s="57">
        <f ca="1">IFERROR(IF((P35/FORMULACIÓN!Q35)&lt;&gt;0,IF($H35=Lists!$S$6,COUNTIF('SEGUIMIENTO Y EVALUACIÓN'!K35:N35,"&lt;"&amp;FORMULACIÓN!Q35),'SEGUIMIENTO Y EVALUACIÓN'!P35)/IF($H35=Lists!$S$6,COUNTIF('SEGUIMIENTO Y EVALUACIÓN'!K35:N35,"&gt;"&amp;0),FORMULACIÓN!P35),0),0)</f>
        <v>0</v>
      </c>
      <c r="AV35" s="93">
        <f t="shared" ca="1" si="6"/>
        <v>0</v>
      </c>
      <c r="AW35" s="93" cm="1">
        <f t="array" ref="AW35">IF(INDEX(AO35:AU35,1,$AV$3)&gt;1,IF($AU$2=1,1,INDEX(AO35:AU35,1,$AV$3)),INDEX(AO35:AU35,1,$AV$3))</f>
        <v>0</v>
      </c>
      <c r="AX35"/>
      <c r="AY35" s="119" t="str">
        <f>IFERROR(IF((W35/FORMULACIÓN!X35)&lt;&gt;0,W35/FORMULACIÓN!X35,0),"")</f>
        <v/>
      </c>
      <c r="AZ35" s="119" t="str">
        <f>IFERROR(IF((AA35/FORMULACIÓN!AB35)&lt;&gt;0,AA35/FORMULACIÓN!AB35,0),"")</f>
        <v/>
      </c>
      <c r="BA35" s="119" t="str">
        <f>IFERROR(IF((AE35/FORMULACIÓN!AF35)&lt;&gt;0,(AE35/FORMULACIÓN!AF35),0),"")</f>
        <v/>
      </c>
      <c r="BB35" s="119" t="str">
        <f>IFERROR(IF((AI35/FORMULACIÓN!AJ35)&lt;&gt;0,AI35/FORMULACIÓN!AJ35,0),"")</f>
        <v/>
      </c>
      <c r="BC35" s="120" t="str">
        <f>IF('SEGUIMIENTO Y EVALUACIÓN'!AI35=0,0,TEXT('SEGUIMIENTO Y EVALUACIÓN'!AI35,"$ ##.###")&amp;" / "&amp;TEXT(FORMULACIÓN!AK35,"$ ##.###"))</f>
        <v xml:space="preserve"> / $ 39.463.593.139</v>
      </c>
      <c r="BD35" s="57">
        <f>IFERROR(IF((AJ35/FORMULACIÓN!AK35)&lt;&gt;0,AJ35/FORMULACIÓN!AK35,0),0)</f>
        <v>0</v>
      </c>
      <c r="BJ35"/>
      <c r="BK35"/>
      <c r="CL35" s="7"/>
    </row>
    <row r="36" spans="1:90" s="1" customFormat="1" ht="67.5">
      <c r="A36" s="45">
        <f>IF(FORMULACIÓN!A36="","",FORMULACIÓN!A36)</f>
        <v>25</v>
      </c>
      <c r="B36" s="45" t="str">
        <f>IF(FORMULACIÓN!B36="","",FORMULACIÓN!B36)</f>
        <v>L1 - Formación Académica Integral</v>
      </c>
      <c r="C36" s="45" t="str">
        <f>IF(FORMULACIÓN!E36="","",FORMULACIÓN!E36)</f>
        <v>M4 - Procesos académicos inclusivos e interculturales</v>
      </c>
      <c r="D36" s="45" t="str">
        <f>IF(FORMULACIÓN!F36="","",FORMULACIÓN!F36)</f>
        <v>Creación y operacionalización del Comité de Planeación Lingüística en lenguas nativas.</v>
      </c>
      <c r="E36" s="45" t="str">
        <f>IF(FORMULACIÓN!G36="","",FORMULACIÓN!G36)</f>
        <v>Creación del Comité de planeación lingüística en lenguas nativas</v>
      </c>
      <c r="F36" s="45" t="str">
        <f>IF(FORMULACIÓN!H36="","",FORMULACIÓN!H36)</f>
        <v>Acto administrativo de creación del Comité de planeación lingüística en lenguas nativas</v>
      </c>
      <c r="G36" s="45" t="str">
        <f>IF(FORMULACIÓN!I36="","",FORMULACIÓN!I36)</f>
        <v>Unidad</v>
      </c>
      <c r="H36" s="45" t="str">
        <f>IF(FORMULACIÓN!J36="","",FORMULACIÓN!J36)</f>
        <v>Nuevo gestionado durante la vigencia</v>
      </c>
      <c r="I36" s="188" t="str">
        <f ca="1">IF($G36=Lists!$R$3,"PDI: "&amp;TEXT(FORMULACIÓN!Q36,"00,00%")&amp;CHAR(10)&amp;CHAR(10)&amp;"T1: "&amp;TEXT(FORMULACIÓN!L36,"00,00%")&amp;CHAR(10)&amp;"T2: "&amp;TEXT(FORMULACIÓN!M36,"00,00%")&amp;CHAR(10)&amp;"T3: "&amp;TEXT(FORMULACIÓN!N36,"00,00%")&amp;CHAR(10)&amp;"Tn: "&amp;TEXT(FORMULACIÓN!O36,"00,00%"),IF(FORMULACIÓN!Q36=0,0,"PDI: "&amp;TEXT(FORMULACIÓN!Q36,"##.###")&amp;CHAR(10)&amp;CHAR(10)&amp;"T1: "&amp;TEXT(FORMULACIÓN!L36,"##.###")&amp;CHAR(10)&amp;"T2: "&amp;TEXT(FORMULACIÓN!M36,"##.###")&amp;CHAR(10)&amp;"T3: "&amp;TEXT(FORMULACIÓN!N36,"##.###")&amp;CHAR(10)&amp;"Tn: "&amp;TEXT(FORMULACIÓN!O36,"##.###")))</f>
        <v xml:space="preserve">PDI: 1
T1: 1
T2: 
T3: 
Tn: </v>
      </c>
      <c r="J36" s="122">
        <f>IF(FORMULACIÓN!K36&lt;&gt;"",FORMULACIÓN!K36,"")</f>
        <v>0</v>
      </c>
      <c r="K36" s="310">
        <v>1</v>
      </c>
      <c r="L36" s="58"/>
      <c r="M36" s="58"/>
      <c r="N36" s="58"/>
      <c r="O36" s="47">
        <f ca="1">IFERROR(IF($H36=Lists!$S$2,SUM('SEGUIMIENTO Y EVALUACIÓN'!J36:N36),IF('SEGUIMIENTO Y EVALUACIÓN'!$H36=Lists!$S$3,SUM('SEGUIMIENTO Y EVALUACIÓN'!K36:N36),IF('SEGUIMIENTO Y EVALUACIÓN'!$H36=Lists!$S$4,AVERAGE('SEGUIMIENTO Y EVALUACIÓN'!K36:N36),IF('SEGUIMIENTO Y EVALUACIÓN'!$H36=Lists!$S$5,OFFSET(J36,0,COUNTA(K36:N36)),IF($H36=Lists!$S$6,COUNTIF(K36:N36,"&lt;"&amp;FORMULACIÓN!Q36)/COUNT('SEGUIMIENTO Y EVALUACIÓN'!K36:N36),""))))),"")</f>
        <v>1</v>
      </c>
      <c r="P36" s="51" t="str">
        <f ca="1">IF($G36=Lists!$R$3,TEXT('SEGUIMIENTO Y EVALUACIÓN'!O36,"00,00%"),IF('SEGUIMIENTO Y EVALUACIÓN'!O36=0,0,TEXT('SEGUIMIENTO Y EVALUACIÓN'!O36,"##.###")))</f>
        <v>1</v>
      </c>
      <c r="Q36" s="209" t="str">
        <f>IF(FORMULACIÓN!R36&lt;&gt;"",FORMULACIÓN!R36,"")</f>
        <v>P1 - Política de Educación Inclusiva e Intercultural</v>
      </c>
      <c r="R36" s="209">
        <f>IF(FORMULACIÓN!S36&lt;&gt;"",FORMULACIÓN!S36,"")</f>
        <v>1.4999999999999999E-2</v>
      </c>
      <c r="S36" s="209" t="str">
        <f>IF(FORMULACIÓN!T36&lt;&gt;"",FORMULACIÓN!T36,"")</f>
        <v>Vicerrector de Docencia</v>
      </c>
      <c r="T36" s="42"/>
      <c r="U36" s="42"/>
      <c r="V36" s="42"/>
      <c r="W36" s="43" t="str">
        <f t="shared" si="0"/>
        <v/>
      </c>
      <c r="X36" s="42"/>
      <c r="Y36" s="42"/>
      <c r="Z36" s="42"/>
      <c r="AA36" s="43" t="str">
        <f t="shared" si="1"/>
        <v/>
      </c>
      <c r="AB36" s="42"/>
      <c r="AC36" s="42"/>
      <c r="AD36" s="42"/>
      <c r="AE36" s="43" t="str">
        <f t="shared" si="2"/>
        <v/>
      </c>
      <c r="AF36" s="42"/>
      <c r="AG36" s="42"/>
      <c r="AH36" s="42"/>
      <c r="AI36" s="46" t="str">
        <f t="shared" si="3"/>
        <v/>
      </c>
      <c r="AJ36" s="46" t="str">
        <f>IF(SUM(AA36,AE36,W36,AI36)=0,"",SUM((AA36,AE36,W36,AI36)))</f>
        <v/>
      </c>
      <c r="AK36"/>
      <c r="AL36" s="1" t="str">
        <f t="shared" si="4"/>
        <v>L1M4P1</v>
      </c>
      <c r="AM36" s="56" t="str">
        <f t="shared" si="5"/>
        <v>Creación del Comité de planeación lingüística en lenguas nativas</v>
      </c>
      <c r="AN36" s="112" t="str">
        <f ca="1">IF($G36=Lists!$R$3,"T1: "&amp;TEXT(FORMULACIÓN!L36,"00,00%")&amp;CHAR(10)&amp;"T2: "&amp;TEXT(FORMULACIÓN!M36,"00,00%")&amp;CHAR(10)&amp;"T3: "&amp;TEXT(FORMULACIÓN!N36,"00,00%")&amp;CHAR(10)&amp;"Tn: "&amp;TEXT(FORMULACIÓN!O36,"00,00%"),IF(FORMULACIÓN!Q36=0,0,"T1: "&amp;TEXT(FORMULACIÓN!L36,"##.###")&amp;CHAR(10)&amp;"T2: "&amp;TEXT(FORMULACIÓN!M36,"##.###")&amp;CHAR(10)&amp;"T3: "&amp;TEXT(FORMULACIÓN!N36,"##.###")&amp;CHAR(10)&amp;"Tn: "&amp;TEXT(FORMULACIÓN!O36,"##.###")))</f>
        <v xml:space="preserve">T1: 1
T2: 
T3: 
Tn: </v>
      </c>
      <c r="AO36" s="117">
        <f>IFERROR(IF($H36=Lists!$S$6,IF(AND(FORMULACIÓN!L36&gt;K36,K36&gt;0),1,0),IF((K36/FORMULACIÓN!L36)&lt;&gt;0,K36/FORMULACIÓN!L36,0)),"")</f>
        <v>1</v>
      </c>
      <c r="AP36" s="117" t="str">
        <f>IFERROR(IF($H36=Lists!$S$6,IF(AND(FORMULACIÓN!M36&gt;L36,L36&gt;0),1,0),IF((L36/FORMULACIÓN!M36)&lt;&gt;0,L36/FORMULACIÓN!M36,0)),"")</f>
        <v/>
      </c>
      <c r="AQ36" s="117" t="str">
        <f>IFERROR(IF($H36=Lists!$S$6,IF(AND(FORMULACIÓN!N36&gt;M36,M36&gt;0),1,0),IF((M36/FORMULACIÓN!N36)&lt;&gt;0,M36/FORMULACIÓN!N36,0)),"")</f>
        <v/>
      </c>
      <c r="AR36" s="117" t="str">
        <f>IFERROR(IF($H36=Lists!$S$6,IF(AND(FORMULACIÓN!O36&gt;N36,N36&gt;0),1,0),IF((N36/FORMULACIÓN!O36)&lt;&gt;0,N36/FORMULACIÓN!O36,0)),"")</f>
        <v/>
      </c>
      <c r="AS36" s="110"/>
      <c r="AT36" s="118" t="str">
        <f ca="1">IF($H36=Lists!$S$6,TEXT(COUNTIF('SEGUIMIENTO Y EVALUACIÓN'!K36:N36,"&lt;"&amp;FORMULACIÓN!Q36),"##.###")&amp;" / "&amp;TEXT(COUNTIF('SEGUIMIENTO Y EVALUACIÓN'!K36:N36,"&gt;"&amp;0),"##.###"),IF($G36=Lists!$R$3,TEXT('SEGUIMIENTO Y EVALUACIÓN'!O36,"00,00%")&amp;" / "&amp;TEXT(FORMULACIÓN!P36,"00,00%"),IF('SEGUIMIENTO Y EVALUACIÓN'!O36=0,0,TEXT('SEGUIMIENTO Y EVALUACIÓN'!O36,"##.###")&amp;" / "&amp;TEXT(FORMULACIÓN!P36,"##.###"))))</f>
        <v>1 / 1</v>
      </c>
      <c r="AU36" s="57">
        <f ca="1">IFERROR(IF((P36/FORMULACIÓN!Q36)&lt;&gt;0,IF($H36=Lists!$S$6,COUNTIF('SEGUIMIENTO Y EVALUACIÓN'!K36:N36,"&lt;"&amp;FORMULACIÓN!Q36),'SEGUIMIENTO Y EVALUACIÓN'!P36)/IF($H36=Lists!$S$6,COUNTIF('SEGUIMIENTO Y EVALUACIÓN'!K36:N36,"&gt;"&amp;0),FORMULACIÓN!P36),0),0)</f>
        <v>1</v>
      </c>
      <c r="AV36" s="93">
        <f t="shared" ca="1" si="6"/>
        <v>1.4999999999999999E-2</v>
      </c>
      <c r="AW36" s="93" cm="1">
        <f t="array" ref="AW36">IF(INDEX(AO36:AU36,1,$AV$3)&gt;1,IF($AU$2=1,1,INDEX(AO36:AU36,1,$AV$3)),INDEX(AO36:AU36,1,$AV$3))</f>
        <v>1</v>
      </c>
      <c r="AX36"/>
      <c r="AY36" s="119" t="str">
        <f>IFERROR(IF((W36/FORMULACIÓN!X36)&lt;&gt;0,W36/FORMULACIÓN!X36,0),"")</f>
        <v/>
      </c>
      <c r="AZ36" s="119" t="str">
        <f>IFERROR(IF((AA36/FORMULACIÓN!AB36)&lt;&gt;0,AA36/FORMULACIÓN!AB36,0),"")</f>
        <v/>
      </c>
      <c r="BA36" s="119" t="str">
        <f>IFERROR(IF((AE36/FORMULACIÓN!AF36)&lt;&gt;0,(AE36/FORMULACIÓN!AF36),0),"")</f>
        <v/>
      </c>
      <c r="BB36" s="119" t="str">
        <f>IFERROR(IF((AI36/FORMULACIÓN!AJ36)&lt;&gt;0,AI36/FORMULACIÓN!AJ36,0),"")</f>
        <v/>
      </c>
      <c r="BC36" s="120" t="str">
        <f>IF('SEGUIMIENTO Y EVALUACIÓN'!AI36=0,0,TEXT('SEGUIMIENTO Y EVALUACIÓN'!AI36,"$ ##.###")&amp;" / "&amp;TEXT(FORMULACIÓN!AK36,"$ ##.###"))</f>
        <v xml:space="preserve"> / $ 29.832.007.431</v>
      </c>
      <c r="BD36" s="57">
        <f>IFERROR(IF((AJ36/FORMULACIÓN!AK36)&lt;&gt;0,AJ36/FORMULACIÓN!AK36,0),0)</f>
        <v>0</v>
      </c>
      <c r="BJ36"/>
      <c r="BK36"/>
      <c r="CL36" s="7"/>
    </row>
    <row r="37" spans="1:90" s="1" customFormat="1" ht="67.5">
      <c r="A37" s="45">
        <f>IF(FORMULACIÓN!A37="","",FORMULACIÓN!A37)</f>
        <v>26</v>
      </c>
      <c r="B37" s="45" t="str">
        <f>IF(FORMULACIÓN!B37="","",FORMULACIÓN!B37)</f>
        <v>L1 - Formación Académica Integral</v>
      </c>
      <c r="C37" s="45" t="str">
        <f>IF(FORMULACIÓN!E37="","",FORMULACIÓN!E37)</f>
        <v>M4 - Procesos académicos inclusivos e interculturales</v>
      </c>
      <c r="D37" s="45" t="str">
        <f>IF(FORMULACIÓN!F37="","",FORMULACIÓN!F37)</f>
        <v>Lograr 10 convenios con las Secretarías de Educación y/u organizaciones públicas o privadas de la región para beneficiar a la población diversa de la educación media y fomentar el acceso a la educación superior.</v>
      </c>
      <c r="E37" s="45" t="str">
        <f>IF(FORMULACIÓN!G37="","",FORMULACIÓN!G37)</f>
        <v>Número de convenios y/o alianzas operando con Secretarías de Educación y/u organizaciones públicas o privadas en beneficio de la educación media</v>
      </c>
      <c r="F37" s="45" t="str">
        <f>IF(FORMULACIÓN!H37="","",FORMULACIÓN!H37)</f>
        <v>N° de convenios y/o alianzas activas con Secretarías de Educación y/u organizaciones públicas o privadas</v>
      </c>
      <c r="G37" s="45" t="str">
        <f>IF(FORMULACIÓN!I37="","",FORMULACIÓN!I37)</f>
        <v>Unidad</v>
      </c>
      <c r="H37" s="45" t="str">
        <f>IF(FORMULACIÓN!J37="","",FORMULACIÓN!J37)</f>
        <v>Acumulado</v>
      </c>
      <c r="I37" s="188" t="str">
        <f ca="1">IF($G37=Lists!$R$3,"PDI: "&amp;TEXT(FORMULACIÓN!Q37,"00,00%")&amp;CHAR(10)&amp;CHAR(10)&amp;"T1: "&amp;TEXT(FORMULACIÓN!L37,"00,00%")&amp;CHAR(10)&amp;"T2: "&amp;TEXT(FORMULACIÓN!M37,"00,00%")&amp;CHAR(10)&amp;"T3: "&amp;TEXT(FORMULACIÓN!N37,"00,00%")&amp;CHAR(10)&amp;"Tn: "&amp;TEXT(FORMULACIÓN!O37,"00,00%"),IF(FORMULACIÓN!Q37=0,0,"PDI: "&amp;TEXT(FORMULACIÓN!Q37,"##.###")&amp;CHAR(10)&amp;CHAR(10)&amp;"T1: "&amp;TEXT(FORMULACIÓN!L37,"##.###")&amp;CHAR(10)&amp;"T2: "&amp;TEXT(FORMULACIÓN!M37,"##.###")&amp;CHAR(10)&amp;"T3: "&amp;TEXT(FORMULACIÓN!N37,"##.###")&amp;CHAR(10)&amp;"Tn: "&amp;TEXT(FORMULACIÓN!O37,"##.###")))</f>
        <v>PDI: 10
T1: 3
T2: 3
T3: 3
Tn: 1</v>
      </c>
      <c r="J37" s="122">
        <f>IF(FORMULACIÓN!K37&lt;&gt;"",FORMULACIÓN!K37,"")</f>
        <v>0</v>
      </c>
      <c r="K37" s="310">
        <v>4</v>
      </c>
      <c r="L37" s="58"/>
      <c r="M37" s="58"/>
      <c r="N37" s="58"/>
      <c r="O37" s="47">
        <f ca="1">IFERROR(IF($H37=Lists!$S$2,SUM('SEGUIMIENTO Y EVALUACIÓN'!J37:N37),IF('SEGUIMIENTO Y EVALUACIÓN'!$H37=Lists!$S$3,SUM('SEGUIMIENTO Y EVALUACIÓN'!K37:N37),IF('SEGUIMIENTO Y EVALUACIÓN'!$H37=Lists!$S$4,AVERAGE('SEGUIMIENTO Y EVALUACIÓN'!K37:N37),IF('SEGUIMIENTO Y EVALUACIÓN'!$H37=Lists!$S$5,OFFSET(J37,0,COUNTA(K37:N37)),IF($H37=Lists!$S$6,COUNTIF(K37:N37,"&lt;"&amp;FORMULACIÓN!Q37)/COUNT('SEGUIMIENTO Y EVALUACIÓN'!K37:N37),""))))),"")</f>
        <v>4</v>
      </c>
      <c r="P37" s="51" t="str">
        <f ca="1">IF($G37=Lists!$R$3,TEXT('SEGUIMIENTO Y EVALUACIÓN'!O37,"00,00%"),IF('SEGUIMIENTO Y EVALUACIÓN'!O37=0,0,TEXT('SEGUIMIENTO Y EVALUACIÓN'!O37,"##.###")))</f>
        <v>4</v>
      </c>
      <c r="Q37" s="209" t="str">
        <f>IF(FORMULACIÓN!R37&lt;&gt;"",FORMULACIÓN!R37,"")</f>
        <v>P2 - Articulación con la educación básica y media para el fortalecimiento de los procesos de educación inclusiva</v>
      </c>
      <c r="R37" s="209">
        <f>IF(FORMULACIÓN!S37&lt;&gt;"",FORMULACIÓN!S37,"")</f>
        <v>0.03</v>
      </c>
      <c r="S37" s="209" t="str">
        <f>IF(FORMULACIÓN!T37&lt;&gt;"",FORMULACIÓN!T37,"")</f>
        <v>Vicerrector de Docencia</v>
      </c>
      <c r="T37" s="42"/>
      <c r="U37" s="42"/>
      <c r="V37" s="42"/>
      <c r="W37" s="43" t="str">
        <f t="shared" si="0"/>
        <v/>
      </c>
      <c r="X37" s="42"/>
      <c r="Y37" s="42"/>
      <c r="Z37" s="42"/>
      <c r="AA37" s="43" t="str">
        <f t="shared" si="1"/>
        <v/>
      </c>
      <c r="AB37" s="42"/>
      <c r="AC37" s="42"/>
      <c r="AD37" s="42"/>
      <c r="AE37" s="43" t="str">
        <f t="shared" si="2"/>
        <v/>
      </c>
      <c r="AF37" s="42"/>
      <c r="AG37" s="42"/>
      <c r="AH37" s="42"/>
      <c r="AI37" s="46" t="str">
        <f t="shared" si="3"/>
        <v/>
      </c>
      <c r="AJ37" s="46" t="str">
        <f>IF(SUM(AA37,AE37,W37,AI37)=0,"",SUM((AA37,AE37,W37,AI37)))</f>
        <v/>
      </c>
      <c r="AK37"/>
      <c r="AL37" s="1" t="str">
        <f t="shared" si="4"/>
        <v>L1M4P2</v>
      </c>
      <c r="AM37" s="56" t="str">
        <f t="shared" si="5"/>
        <v>Número de convenios y/o alianzas operando con Secretarías de Educación y/u organizaciones públicas o privadas en beneficio de la educación media</v>
      </c>
      <c r="AN37" s="112" t="str">
        <f ca="1">IF($G37=Lists!$R$3,"T1: "&amp;TEXT(FORMULACIÓN!L37,"00,00%")&amp;CHAR(10)&amp;"T2: "&amp;TEXT(FORMULACIÓN!M37,"00,00%")&amp;CHAR(10)&amp;"T3: "&amp;TEXT(FORMULACIÓN!N37,"00,00%")&amp;CHAR(10)&amp;"Tn: "&amp;TEXT(FORMULACIÓN!O37,"00,00%"),IF(FORMULACIÓN!Q37=0,0,"T1: "&amp;TEXT(FORMULACIÓN!L37,"##.###")&amp;CHAR(10)&amp;"T2: "&amp;TEXT(FORMULACIÓN!M37,"##.###")&amp;CHAR(10)&amp;"T3: "&amp;TEXT(FORMULACIÓN!N37,"##.###")&amp;CHAR(10)&amp;"Tn: "&amp;TEXT(FORMULACIÓN!O37,"##.###")))</f>
        <v>T1: 3
T2: 3
T3: 3
Tn: 1</v>
      </c>
      <c r="AO37" s="117">
        <f>IFERROR(IF($H37=Lists!$S$6,IF(AND(FORMULACIÓN!L37&gt;K37,K37&gt;0),1,0),IF((K37/FORMULACIÓN!L37)&lt;&gt;0,K37/FORMULACIÓN!L37,0)),"")</f>
        <v>1.3333333333333333</v>
      </c>
      <c r="AP37" s="117">
        <f>IFERROR(IF($H37=Lists!$S$6,IF(AND(FORMULACIÓN!M37&gt;L37,L37&gt;0),1,0),IF((L37/FORMULACIÓN!M37)&lt;&gt;0,L37/FORMULACIÓN!M37,0)),"")</f>
        <v>0</v>
      </c>
      <c r="AQ37" s="117">
        <f>IFERROR(IF($H37=Lists!$S$6,IF(AND(FORMULACIÓN!N37&gt;M37,M37&gt;0),1,0),IF((M37/FORMULACIÓN!N37)&lt;&gt;0,M37/FORMULACIÓN!N37,0)),"")</f>
        <v>0</v>
      </c>
      <c r="AR37" s="117">
        <f>IFERROR(IF($H37=Lists!$S$6,IF(AND(FORMULACIÓN!O37&gt;N37,N37&gt;0),1,0),IF((N37/FORMULACIÓN!O37)&lt;&gt;0,N37/FORMULACIÓN!O37,0)),"")</f>
        <v>0</v>
      </c>
      <c r="AS37" s="110"/>
      <c r="AT37" s="118" t="str">
        <f ca="1">IF($H37=Lists!$S$6,TEXT(COUNTIF('SEGUIMIENTO Y EVALUACIÓN'!K37:N37,"&lt;"&amp;FORMULACIÓN!Q37),"##.###")&amp;" / "&amp;TEXT(COUNTIF('SEGUIMIENTO Y EVALUACIÓN'!K37:N37,"&gt;"&amp;0),"##.###"),IF($G37=Lists!$R$3,TEXT('SEGUIMIENTO Y EVALUACIÓN'!O37,"00,00%")&amp;" / "&amp;TEXT(FORMULACIÓN!P37,"00,00%"),IF('SEGUIMIENTO Y EVALUACIÓN'!O37=0,0,TEXT('SEGUIMIENTO Y EVALUACIÓN'!O37,"##.###")&amp;" / "&amp;TEXT(FORMULACIÓN!P37,"##.###"))))</f>
        <v>4 / 10</v>
      </c>
      <c r="AU37" s="57">
        <f ca="1">IFERROR(IF((P37/FORMULACIÓN!Q37)&lt;&gt;0,IF($H37=Lists!$S$6,COUNTIF('SEGUIMIENTO Y EVALUACIÓN'!K37:N37,"&lt;"&amp;FORMULACIÓN!Q37),'SEGUIMIENTO Y EVALUACIÓN'!P37)/IF($H37=Lists!$S$6,COUNTIF('SEGUIMIENTO Y EVALUACIÓN'!K37:N37,"&gt;"&amp;0),FORMULACIÓN!P37),0),0)</f>
        <v>0.4</v>
      </c>
      <c r="AV37" s="93">
        <f t="shared" ca="1" si="6"/>
        <v>1.2E-2</v>
      </c>
      <c r="AW37" s="93" cm="1">
        <f t="array" ref="AW37">IF(INDEX(AO37:AU37,1,$AV$3)&gt;1,IF($AU$2=1,1,INDEX(AO37:AU37,1,$AV$3)),INDEX(AO37:AU37,1,$AV$3))</f>
        <v>1</v>
      </c>
      <c r="AX37"/>
      <c r="AY37" s="119" t="str">
        <f>IFERROR(IF((W37/FORMULACIÓN!X37)&lt;&gt;0,W37/FORMULACIÓN!X37,0),"")</f>
        <v/>
      </c>
      <c r="AZ37" s="119" t="str">
        <f>IFERROR(IF((AA37/FORMULACIÓN!AB37)&lt;&gt;0,AA37/FORMULACIÓN!AB37,0),"")</f>
        <v/>
      </c>
      <c r="BA37" s="119" t="str">
        <f>IFERROR(IF((AE37/FORMULACIÓN!AF37)&lt;&gt;0,(AE37/FORMULACIÓN!AF37),0),"")</f>
        <v/>
      </c>
      <c r="BB37" s="119" t="str">
        <f>IFERROR(IF((AI37/FORMULACIÓN!AJ37)&lt;&gt;0,AI37/FORMULACIÓN!AJ37,0),"")</f>
        <v/>
      </c>
      <c r="BC37" s="120" t="str">
        <f>IF('SEGUIMIENTO Y EVALUACIÓN'!AI37=0,0,TEXT('SEGUIMIENTO Y EVALUACIÓN'!AI37,"$ ##.###")&amp;" / "&amp;TEXT(FORMULACIÓN!AK37,"$ ##.###"))</f>
        <v xml:space="preserve"> / $ 68.800.940.795</v>
      </c>
      <c r="BD37" s="57">
        <f>IFERROR(IF((AJ37/FORMULACIÓN!AK37)&lt;&gt;0,AJ37/FORMULACIÓN!AK37,0),0)</f>
        <v>0</v>
      </c>
      <c r="BJ37"/>
      <c r="BK37"/>
      <c r="CL37" s="7"/>
    </row>
    <row r="38" spans="1:90" s="1" customFormat="1" ht="67.5">
      <c r="A38" s="45">
        <f>IF(FORMULACIÓN!A38="","",FORMULACIÓN!A38)</f>
        <v>27</v>
      </c>
      <c r="B38" s="45" t="str">
        <f>IF(FORMULACIÓN!B38="","",FORMULACIÓN!B38)</f>
        <v>L1 - Formación Académica Integral</v>
      </c>
      <c r="C38" s="45" t="str">
        <f>IF(FORMULACIÓN!E38="","",FORMULACIÓN!E38)</f>
        <v>M4 - Procesos académicos inclusivos e interculturales</v>
      </c>
      <c r="D38" s="45" t="str">
        <f>IF(FORMULACIÓN!F38="","",FORMULACIÓN!F38)</f>
        <v>Implementar un centro de documentación de materiales educativos accesibles para la población diversa con 2000 productos catalogados por área de conocimiento.</v>
      </c>
      <c r="E38" s="45" t="str">
        <f>IF(FORMULACIÓN!G38="","",FORMULACIÓN!G38)</f>
        <v>Centro de documentación de materiales educativos accesibles para población diversa</v>
      </c>
      <c r="F38" s="45" t="str">
        <f>IF(FORMULACIÓN!H38="","",FORMULACIÓN!H38)</f>
        <v xml:space="preserve">Centro de documentación (virtual y presencial) de materiales educativos accesibles para población diversa </v>
      </c>
      <c r="G38" s="45" t="str">
        <f>IF(FORMULACIÓN!I38="","",FORMULACIÓN!I38)</f>
        <v>Unidad</v>
      </c>
      <c r="H38" s="45" t="str">
        <f>IF(FORMULACIÓN!J38="","",FORMULACIÓN!J38)</f>
        <v>Acumulado</v>
      </c>
      <c r="I38" s="188" t="str">
        <f ca="1">IF($G38=Lists!$R$3,"PDI: "&amp;TEXT(FORMULACIÓN!Q38,"00,00%")&amp;CHAR(10)&amp;CHAR(10)&amp;"T1: "&amp;TEXT(FORMULACIÓN!L38,"00,00%")&amp;CHAR(10)&amp;"T2: "&amp;TEXT(FORMULACIÓN!M38,"00,00%")&amp;CHAR(10)&amp;"T3: "&amp;TEXT(FORMULACIÓN!N38,"00,00%")&amp;CHAR(10)&amp;"Tn: "&amp;TEXT(FORMULACIÓN!O38,"00,00%"),IF(FORMULACIÓN!Q38=0,0,"PDI: "&amp;TEXT(FORMULACIÓN!Q38,"##.###")&amp;CHAR(10)&amp;CHAR(10)&amp;"T1: "&amp;TEXT(FORMULACIÓN!L38,"##.###")&amp;CHAR(10)&amp;"T2: "&amp;TEXT(FORMULACIÓN!M38,"##.###")&amp;CHAR(10)&amp;"T3: "&amp;TEXT(FORMULACIÓN!N38,"##.###")&amp;CHAR(10)&amp;"Tn: "&amp;TEXT(FORMULACIÓN!O38,"##.###")))</f>
        <v xml:space="preserve">PDI: 2
T1: 1
T2: 1
T3: 
Tn: </v>
      </c>
      <c r="J38" s="122">
        <f>IF(FORMULACIÓN!K38&lt;&gt;"",FORMULACIÓN!K38,"")</f>
        <v>0</v>
      </c>
      <c r="K38" s="310">
        <v>0</v>
      </c>
      <c r="L38" s="58"/>
      <c r="M38" s="58"/>
      <c r="N38" s="58"/>
      <c r="O38" s="47">
        <f ca="1">IFERROR(IF($H38=Lists!$S$2,SUM('SEGUIMIENTO Y EVALUACIÓN'!J38:N38),IF('SEGUIMIENTO Y EVALUACIÓN'!$H38=Lists!$S$3,SUM('SEGUIMIENTO Y EVALUACIÓN'!K38:N38),IF('SEGUIMIENTO Y EVALUACIÓN'!$H38=Lists!$S$4,AVERAGE('SEGUIMIENTO Y EVALUACIÓN'!K38:N38),IF('SEGUIMIENTO Y EVALUACIÓN'!$H38=Lists!$S$5,OFFSET(J38,0,COUNTA(K38:N38)),IF($H38=Lists!$S$6,COUNTIF(K38:N38,"&lt;"&amp;FORMULACIÓN!Q38)/COUNT('SEGUIMIENTO Y EVALUACIÓN'!K38:N38),""))))),"")</f>
        <v>0</v>
      </c>
      <c r="P38" s="51">
        <f ca="1">IF($G38=Lists!$R$3,TEXT('SEGUIMIENTO Y EVALUACIÓN'!O38,"00,00%"),IF('SEGUIMIENTO Y EVALUACIÓN'!O38=0,0,TEXT('SEGUIMIENTO Y EVALUACIÓN'!O38,"##.###")))</f>
        <v>0</v>
      </c>
      <c r="Q38" s="209" t="str">
        <f>IF(FORMULACIÓN!R38&lt;&gt;"",FORMULACIÓN!R38,"")</f>
        <v>P3 - Materiales accesibles diseñados, creados y adaptados para población diversa</v>
      </c>
      <c r="R38" s="209">
        <f>IF(FORMULACIÓN!S38&lt;&gt;"",FORMULACIÓN!S38,"")</f>
        <v>2.5000000000000001E-2</v>
      </c>
      <c r="S38" s="209" t="str">
        <f>IF(FORMULACIÓN!T38&lt;&gt;"",FORMULACIÓN!T38,"")</f>
        <v>Vicerrector de Docencia</v>
      </c>
      <c r="T38" s="42"/>
      <c r="U38" s="42"/>
      <c r="V38" s="42"/>
      <c r="W38" s="43" t="str">
        <f t="shared" si="0"/>
        <v/>
      </c>
      <c r="X38" s="42"/>
      <c r="Y38" s="42"/>
      <c r="Z38" s="42"/>
      <c r="AA38" s="43" t="str">
        <f t="shared" si="1"/>
        <v/>
      </c>
      <c r="AB38" s="42"/>
      <c r="AC38" s="42"/>
      <c r="AD38" s="42"/>
      <c r="AE38" s="43" t="str">
        <f t="shared" si="2"/>
        <v/>
      </c>
      <c r="AF38" s="42"/>
      <c r="AG38" s="42"/>
      <c r="AH38" s="42"/>
      <c r="AI38" s="46" t="str">
        <f t="shared" si="3"/>
        <v/>
      </c>
      <c r="AJ38" s="46" t="str">
        <f>IF(SUM(AA38,AE38,W38,AI38)=0,"",SUM((AA38,AE38,W38,AI38)))</f>
        <v/>
      </c>
      <c r="AK38"/>
      <c r="AL38" s="1" t="str">
        <f t="shared" si="4"/>
        <v>L1M4P3</v>
      </c>
      <c r="AM38" s="56" t="str">
        <f t="shared" si="5"/>
        <v>Centro de documentación de materiales educativos accesibles para población diversa</v>
      </c>
      <c r="AN38" s="112" t="str">
        <f ca="1">IF($G38=Lists!$R$3,"T1: "&amp;TEXT(FORMULACIÓN!L38,"00,00%")&amp;CHAR(10)&amp;"T2: "&amp;TEXT(FORMULACIÓN!M38,"00,00%")&amp;CHAR(10)&amp;"T3: "&amp;TEXT(FORMULACIÓN!N38,"00,00%")&amp;CHAR(10)&amp;"Tn: "&amp;TEXT(FORMULACIÓN!O38,"00,00%"),IF(FORMULACIÓN!Q38=0,0,"T1: "&amp;TEXT(FORMULACIÓN!L38,"##.###")&amp;CHAR(10)&amp;"T2: "&amp;TEXT(FORMULACIÓN!M38,"##.###")&amp;CHAR(10)&amp;"T3: "&amp;TEXT(FORMULACIÓN!N38,"##.###")&amp;CHAR(10)&amp;"Tn: "&amp;TEXT(FORMULACIÓN!O38,"##.###")))</f>
        <v xml:space="preserve">T1: 1
T2: 1
T3: 
Tn: </v>
      </c>
      <c r="AO38" s="117">
        <f>IFERROR(IF($H38=Lists!$S$6,IF(AND(FORMULACIÓN!L38&gt;K38,K38&gt;0),1,0),IF((K38/FORMULACIÓN!L38)&lt;&gt;0,K38/FORMULACIÓN!L38,0)),"")</f>
        <v>0</v>
      </c>
      <c r="AP38" s="117">
        <f>IFERROR(IF($H38=Lists!$S$6,IF(AND(FORMULACIÓN!M38&gt;L38,L38&gt;0),1,0),IF((L38/FORMULACIÓN!M38)&lt;&gt;0,L38/FORMULACIÓN!M38,0)),"")</f>
        <v>0</v>
      </c>
      <c r="AQ38" s="117" t="str">
        <f>IFERROR(IF($H38=Lists!$S$6,IF(AND(FORMULACIÓN!N38&gt;M38,M38&gt;0),1,0),IF((M38/FORMULACIÓN!N38)&lt;&gt;0,M38/FORMULACIÓN!N38,0)),"")</f>
        <v/>
      </c>
      <c r="AR38" s="117" t="str">
        <f>IFERROR(IF($H38=Lists!$S$6,IF(AND(FORMULACIÓN!O38&gt;N38,N38&gt;0),1,0),IF((N38/FORMULACIÓN!O38)&lt;&gt;0,N38/FORMULACIÓN!O38,0)),"")</f>
        <v/>
      </c>
      <c r="AS38" s="110"/>
      <c r="AT38" s="118">
        <f ca="1">IF($H38=Lists!$S$6,TEXT(COUNTIF('SEGUIMIENTO Y EVALUACIÓN'!K38:N38,"&lt;"&amp;FORMULACIÓN!Q38),"##.###")&amp;" / "&amp;TEXT(COUNTIF('SEGUIMIENTO Y EVALUACIÓN'!K38:N38,"&gt;"&amp;0),"##.###"),IF($G38=Lists!$R$3,TEXT('SEGUIMIENTO Y EVALUACIÓN'!O38,"00,00%")&amp;" / "&amp;TEXT(FORMULACIÓN!P38,"00,00%"),IF('SEGUIMIENTO Y EVALUACIÓN'!O38=0,0,TEXT('SEGUIMIENTO Y EVALUACIÓN'!O38,"##.###")&amp;" / "&amp;TEXT(FORMULACIÓN!P38,"##.###"))))</f>
        <v>0</v>
      </c>
      <c r="AU38" s="57">
        <f ca="1">IFERROR(IF((P38/FORMULACIÓN!Q38)&lt;&gt;0,IF($H38=Lists!$S$6,COUNTIF('SEGUIMIENTO Y EVALUACIÓN'!K38:N38,"&lt;"&amp;FORMULACIÓN!Q38),'SEGUIMIENTO Y EVALUACIÓN'!P38)/IF($H38=Lists!$S$6,COUNTIF('SEGUIMIENTO Y EVALUACIÓN'!K38:N38,"&gt;"&amp;0),FORMULACIÓN!P38),0),0)</f>
        <v>0</v>
      </c>
      <c r="AV38" s="93">
        <f t="shared" ca="1" si="6"/>
        <v>0</v>
      </c>
      <c r="AW38" s="93" cm="1">
        <f t="array" ref="AW38">IF(INDEX(AO38:AU38,1,$AV$3)&gt;1,IF($AU$2=1,1,INDEX(AO38:AU38,1,$AV$3)),INDEX(AO38:AU38,1,$AV$3))</f>
        <v>0</v>
      </c>
      <c r="AX38"/>
      <c r="AY38" s="119" t="str">
        <f>IFERROR(IF((W38/FORMULACIÓN!X38)&lt;&gt;0,W38/FORMULACIÓN!X38,0),"")</f>
        <v/>
      </c>
      <c r="AZ38" s="119" t="str">
        <f>IFERROR(IF((AA38/FORMULACIÓN!AB38)&lt;&gt;0,AA38/FORMULACIÓN!AB38,0),"")</f>
        <v/>
      </c>
      <c r="BA38" s="119" t="str">
        <f>IFERROR(IF((AE38/FORMULACIÓN!AF38)&lt;&gt;0,(AE38/FORMULACIÓN!AF38),0),"")</f>
        <v/>
      </c>
      <c r="BB38" s="119" t="str">
        <f>IFERROR(IF((AI38/FORMULACIÓN!AJ38)&lt;&gt;0,AI38/FORMULACIÓN!AJ38,0),"")</f>
        <v/>
      </c>
      <c r="BC38" s="120" t="str">
        <f>IF('SEGUIMIENTO Y EVALUACIÓN'!AI38=0,0,TEXT('SEGUIMIENTO Y EVALUACIÓN'!AI38,"$ ##.###")&amp;" / "&amp;TEXT(FORMULACIÓN!AK38,"$ ##.###"))</f>
        <v xml:space="preserve"> / $ 34.647.800.285</v>
      </c>
      <c r="BD38" s="57">
        <f>IFERROR(IF((AJ38/FORMULACIÓN!AK38)&lt;&gt;0,AJ38/FORMULACIÓN!AK38,0),0)</f>
        <v>0</v>
      </c>
      <c r="BJ38"/>
      <c r="BK38"/>
      <c r="CL38" s="7"/>
    </row>
    <row r="39" spans="1:90" s="1" customFormat="1" ht="67.5">
      <c r="A39" s="45">
        <f>IF(FORMULACIÓN!A39="","",FORMULACIÓN!A39)</f>
        <v>28</v>
      </c>
      <c r="B39" s="45" t="str">
        <f>IF(FORMULACIÓN!B39="","",FORMULACIÓN!B39)</f>
        <v>L1 - Formación Académica Integral</v>
      </c>
      <c r="C39" s="45" t="str">
        <f>IF(FORMULACIÓN!E39="","",FORMULACIÓN!E39)</f>
        <v>M4 - Procesos académicos inclusivos e interculturales</v>
      </c>
      <c r="D39" s="45" t="str">
        <f>IF(FORMULACIÓN!F39="","",FORMULACIÓN!F39)</f>
        <v>Implementar un centro de documentación de materiales educativos accesibles para la población diversa con 2000 productos catalogados por área de conocimiento.</v>
      </c>
      <c r="E39" s="45" t="str">
        <f>IF(FORMULACIÓN!G39="","",FORMULACIÓN!G39)</f>
        <v>Centro de documentación de materiales educativos accesibles para población diversa</v>
      </c>
      <c r="F39" s="45" t="str">
        <f>IF(FORMULACIÓN!H39="","",FORMULACIÓN!H39)</f>
        <v>Materiales educativos accesibles catalogados por área de conocimiento</v>
      </c>
      <c r="G39" s="45" t="str">
        <f>IF(FORMULACIÓN!I39="","",FORMULACIÓN!I39)</f>
        <v>Unidad</v>
      </c>
      <c r="H39" s="45" t="str">
        <f>IF(FORMULACIÓN!J39="","",FORMULACIÓN!J39)</f>
        <v>Acumulado</v>
      </c>
      <c r="I39" s="188" t="str">
        <f ca="1">IF($G39=Lists!$R$3,"PDI: "&amp;TEXT(FORMULACIÓN!Q39,"00,00%")&amp;CHAR(10)&amp;CHAR(10)&amp;"T1: "&amp;TEXT(FORMULACIÓN!L39,"00,00%")&amp;CHAR(10)&amp;"T2: "&amp;TEXT(FORMULACIÓN!M39,"00,00%")&amp;CHAR(10)&amp;"T3: "&amp;TEXT(FORMULACIÓN!N39,"00,00%")&amp;CHAR(10)&amp;"Tn: "&amp;TEXT(FORMULACIÓN!O39,"00,00%"),IF(FORMULACIÓN!Q39=0,0,"PDI: "&amp;TEXT(FORMULACIÓN!Q39,"##.###")&amp;CHAR(10)&amp;CHAR(10)&amp;"T1: "&amp;TEXT(FORMULACIÓN!L39,"##.###")&amp;CHAR(10)&amp;"T2: "&amp;TEXT(FORMULACIÓN!M39,"##.###")&amp;CHAR(10)&amp;"T3: "&amp;TEXT(FORMULACIÓN!N39,"##.###")&amp;CHAR(10)&amp;"Tn: "&amp;TEXT(FORMULACIÓN!O39,"##.###")))</f>
        <v>PDI: 2.000
T1: 550
T2: 550
T3: 600
Tn: 100</v>
      </c>
      <c r="J39" s="122">
        <f>IF(FORMULACIÓN!K39&lt;&gt;"",FORMULACIÓN!K39,"")</f>
        <v>200</v>
      </c>
      <c r="K39" s="310">
        <v>550</v>
      </c>
      <c r="L39" s="58"/>
      <c r="M39" s="58"/>
      <c r="N39" s="58"/>
      <c r="O39" s="47">
        <f ca="1">IFERROR(IF($H39=Lists!$S$2,SUM('SEGUIMIENTO Y EVALUACIÓN'!J39:N39),IF('SEGUIMIENTO Y EVALUACIÓN'!$H39=Lists!$S$3,SUM('SEGUIMIENTO Y EVALUACIÓN'!K39:N39),IF('SEGUIMIENTO Y EVALUACIÓN'!$H39=Lists!$S$4,AVERAGE('SEGUIMIENTO Y EVALUACIÓN'!K39:N39),IF('SEGUIMIENTO Y EVALUACIÓN'!$H39=Lists!$S$5,OFFSET(J39,0,COUNTA(K39:N39)),IF($H39=Lists!$S$6,COUNTIF(K39:N39,"&lt;"&amp;FORMULACIÓN!Q39)/COUNT('SEGUIMIENTO Y EVALUACIÓN'!K39:N39),""))))),"")</f>
        <v>750</v>
      </c>
      <c r="P39" s="51" t="str">
        <f ca="1">IF($G39=Lists!$R$3,TEXT('SEGUIMIENTO Y EVALUACIÓN'!O39,"00,00%"),IF('SEGUIMIENTO Y EVALUACIÓN'!O39=0,0,TEXT('SEGUIMIENTO Y EVALUACIÓN'!O39,"##.###")))</f>
        <v>750</v>
      </c>
      <c r="Q39" s="209" t="str">
        <f>IF(FORMULACIÓN!R39&lt;&gt;"",FORMULACIÓN!R39,"")</f>
        <v>P3 - Materiales accesibles diseñados, creados y adaptados para población diversa</v>
      </c>
      <c r="R39" s="209">
        <f>IF(FORMULACIÓN!S39&lt;&gt;"",FORMULACIÓN!S39,"")</f>
        <v>2.5000000000000001E-2</v>
      </c>
      <c r="S39" s="209" t="str">
        <f>IF(FORMULACIÓN!T39&lt;&gt;"",FORMULACIÓN!T39,"")</f>
        <v>Vicerrector de Docencia</v>
      </c>
      <c r="T39" s="42"/>
      <c r="U39" s="42"/>
      <c r="V39" s="42"/>
      <c r="W39" s="43" t="str">
        <f t="shared" si="0"/>
        <v/>
      </c>
      <c r="X39" s="42"/>
      <c r="Y39" s="42"/>
      <c r="Z39" s="42"/>
      <c r="AA39" s="43" t="str">
        <f t="shared" si="1"/>
        <v/>
      </c>
      <c r="AB39" s="42"/>
      <c r="AC39" s="42"/>
      <c r="AD39" s="42"/>
      <c r="AE39" s="43" t="str">
        <f t="shared" si="2"/>
        <v/>
      </c>
      <c r="AF39" s="42"/>
      <c r="AG39" s="42"/>
      <c r="AH39" s="42"/>
      <c r="AI39" s="46" t="str">
        <f t="shared" si="3"/>
        <v/>
      </c>
      <c r="AJ39" s="46" t="str">
        <f>IF(SUM(AA39,AE39,W39,AI39)=0,"",SUM((AA39,AE39,W39,AI39)))</f>
        <v/>
      </c>
      <c r="AK39"/>
      <c r="AL39" s="1" t="str">
        <f t="shared" si="4"/>
        <v>L1M4P3</v>
      </c>
      <c r="AM39" s="56" t="str">
        <f t="shared" si="5"/>
        <v>Centro de documentación de materiales educativos accesibles para población diversa</v>
      </c>
      <c r="AN39" s="112" t="str">
        <f ca="1">IF($G39=Lists!$R$3,"T1: "&amp;TEXT(FORMULACIÓN!L39,"00,00%")&amp;CHAR(10)&amp;"T2: "&amp;TEXT(FORMULACIÓN!M39,"00,00%")&amp;CHAR(10)&amp;"T3: "&amp;TEXT(FORMULACIÓN!N39,"00,00%")&amp;CHAR(10)&amp;"Tn: "&amp;TEXT(FORMULACIÓN!O39,"00,00%"),IF(FORMULACIÓN!Q39=0,0,"T1: "&amp;TEXT(FORMULACIÓN!L39,"##.###")&amp;CHAR(10)&amp;"T2: "&amp;TEXT(FORMULACIÓN!M39,"##.###")&amp;CHAR(10)&amp;"T3: "&amp;TEXT(FORMULACIÓN!N39,"##.###")&amp;CHAR(10)&amp;"Tn: "&amp;TEXT(FORMULACIÓN!O39,"##.###")))</f>
        <v>T1: 550
T2: 550
T3: 600
Tn: 100</v>
      </c>
      <c r="AO39" s="117">
        <f>IFERROR(IF($H39=Lists!$S$6,IF(AND(FORMULACIÓN!L39&gt;K39,K39&gt;0),1,0),IF((K39/FORMULACIÓN!L39)&lt;&gt;0,K39/FORMULACIÓN!L39,0)),"")</f>
        <v>1</v>
      </c>
      <c r="AP39" s="117">
        <f>IFERROR(IF($H39=Lists!$S$6,IF(AND(FORMULACIÓN!M39&gt;L39,L39&gt;0),1,0),IF((L39/FORMULACIÓN!M39)&lt;&gt;0,L39/FORMULACIÓN!M39,0)),"")</f>
        <v>0</v>
      </c>
      <c r="AQ39" s="117">
        <f>IFERROR(IF($H39=Lists!$S$6,IF(AND(FORMULACIÓN!N39&gt;M39,M39&gt;0),1,0),IF((M39/FORMULACIÓN!N39)&lt;&gt;0,M39/FORMULACIÓN!N39,0)),"")</f>
        <v>0</v>
      </c>
      <c r="AR39" s="117">
        <f>IFERROR(IF($H39=Lists!$S$6,IF(AND(FORMULACIÓN!O39&gt;N39,N39&gt;0),1,0),IF((N39/FORMULACIÓN!O39)&lt;&gt;0,N39/FORMULACIÓN!O39,0)),"")</f>
        <v>0</v>
      </c>
      <c r="AS39" s="110"/>
      <c r="AT39" s="118" t="str">
        <f ca="1">IF($H39=Lists!$S$6,TEXT(COUNTIF('SEGUIMIENTO Y EVALUACIÓN'!K39:N39,"&lt;"&amp;FORMULACIÓN!Q39),"##.###")&amp;" / "&amp;TEXT(COUNTIF('SEGUIMIENTO Y EVALUACIÓN'!K39:N39,"&gt;"&amp;0),"##.###"),IF($G39=Lists!$R$3,TEXT('SEGUIMIENTO Y EVALUACIÓN'!O39,"00,00%")&amp;" / "&amp;TEXT(FORMULACIÓN!P39,"00,00%"),IF('SEGUIMIENTO Y EVALUACIÓN'!O39=0,0,TEXT('SEGUIMIENTO Y EVALUACIÓN'!O39,"##.###")&amp;" / "&amp;TEXT(FORMULACIÓN!P39,"##.###"))))</f>
        <v>750 / 2.000</v>
      </c>
      <c r="AU39" s="57">
        <f ca="1">IFERROR(IF((P39/FORMULACIÓN!Q39)&lt;&gt;0,IF($H39=Lists!$S$6,COUNTIF('SEGUIMIENTO Y EVALUACIÓN'!K39:N39,"&lt;"&amp;FORMULACIÓN!Q39),'SEGUIMIENTO Y EVALUACIÓN'!P39)/IF($H39=Lists!$S$6,COUNTIF('SEGUIMIENTO Y EVALUACIÓN'!K39:N39,"&gt;"&amp;0),FORMULACIÓN!P39),0),0)</f>
        <v>0.375</v>
      </c>
      <c r="AV39" s="93">
        <f t="shared" ca="1" si="6"/>
        <v>9.3750000000000014E-3</v>
      </c>
      <c r="AW39" s="93" cm="1">
        <f t="array" ref="AW39">IF(INDEX(AO39:AU39,1,$AV$3)&gt;1,IF($AU$2=1,1,INDEX(AO39:AU39,1,$AV$3)),INDEX(AO39:AU39,1,$AV$3))</f>
        <v>1</v>
      </c>
      <c r="AX39"/>
      <c r="AY39" s="119" t="str">
        <f>IFERROR(IF((W39/FORMULACIÓN!X39)&lt;&gt;0,W39/FORMULACIÓN!X39,0),"")</f>
        <v/>
      </c>
      <c r="AZ39" s="119" t="str">
        <f>IFERROR(IF((AA39/FORMULACIÓN!AB39)&lt;&gt;0,AA39/FORMULACIÓN!AB39,0),"")</f>
        <v/>
      </c>
      <c r="BA39" s="119" t="str">
        <f>IFERROR(IF((AE39/FORMULACIÓN!AF39)&lt;&gt;0,(AE39/FORMULACIÓN!AF39),0),"")</f>
        <v/>
      </c>
      <c r="BB39" s="119" t="str">
        <f>IFERROR(IF((AI39/FORMULACIÓN!AJ39)&lt;&gt;0,AI39/FORMULACIÓN!AJ39,0),"")</f>
        <v/>
      </c>
      <c r="BC39" s="120" t="str">
        <f>IF('SEGUIMIENTO Y EVALUACIÓN'!AI39=0,0,TEXT('SEGUIMIENTO Y EVALUACIÓN'!AI39,"$ ##.###")&amp;" / "&amp;TEXT(FORMULACIÓN!AK39,"$ ##.###"))</f>
        <v xml:space="preserve"> / $ 34.647.800.285</v>
      </c>
      <c r="BD39" s="57">
        <f>IFERROR(IF((AJ39/FORMULACIÓN!AK39)&lt;&gt;0,AJ39/FORMULACIÓN!AK39,0),0)</f>
        <v>0</v>
      </c>
      <c r="BJ39"/>
      <c r="BK39"/>
      <c r="CL39" s="7"/>
    </row>
    <row r="40" spans="1:90" s="1" customFormat="1" ht="67.5">
      <c r="A40" s="45">
        <f>IF(FORMULACIÓN!A40="","",FORMULACIÓN!A40)</f>
        <v>29</v>
      </c>
      <c r="B40" s="45" t="str">
        <f>IF(FORMULACIÓN!B40="","",FORMULACIÓN!B40)</f>
        <v>L1 - Formación Académica Integral</v>
      </c>
      <c r="C40" s="45" t="str">
        <f>IF(FORMULACIÓN!E40="","",FORMULACIÓN!E40)</f>
        <v>M4 - Procesos académicos inclusivos e interculturales</v>
      </c>
      <c r="D40" s="45" t="str">
        <f>IF(FORMULACIÓN!F40="","",FORMULACIÓN!F40)</f>
        <v xml:space="preserve">Lograr el 100% de los programas académicos resignificados con base en la Política de Educación inclusiva e intercultural. </v>
      </c>
      <c r="E40" s="45" t="str">
        <f>IF(FORMULACIÓN!G40="","",FORMULACIÓN!G40)</f>
        <v xml:space="preserve">Porcentaje de programas académicos resignificados bajo un enfoque inclusivo e intercultural.  </v>
      </c>
      <c r="F40" s="45" t="str">
        <f>IF(FORMULACIÓN!H40="","",FORMULACIÓN!H40)</f>
        <v>N° de programas académicos resignificados /Total de programas académicos de la institución *100</v>
      </c>
      <c r="G40" s="45" t="str">
        <f>IF(FORMULACIÓN!I40="","",FORMULACIÓN!I40)</f>
        <v>Porcentaje</v>
      </c>
      <c r="H40" s="45" t="str">
        <f>IF(FORMULACIÓN!J40="","",FORMULACIÓN!J40)</f>
        <v>Acumulado</v>
      </c>
      <c r="I40" s="188" t="str">
        <f ca="1">IF($G40=Lists!$R$3,"PDI: "&amp;TEXT(FORMULACIÓN!Q40,"00,00%")&amp;CHAR(10)&amp;CHAR(10)&amp;"T1: "&amp;TEXT(FORMULACIÓN!L40,"00,00%")&amp;CHAR(10)&amp;"T2: "&amp;TEXT(FORMULACIÓN!M40,"00,00%")&amp;CHAR(10)&amp;"T3: "&amp;TEXT(FORMULACIÓN!N40,"00,00%")&amp;CHAR(10)&amp;"Tn: "&amp;TEXT(FORMULACIÓN!O40,"00,00%"),IF(FORMULACIÓN!Q40=0,0,"PDI: "&amp;TEXT(FORMULACIÓN!Q40,"##.###")&amp;CHAR(10)&amp;CHAR(10)&amp;"T1: "&amp;TEXT(FORMULACIÓN!L40,"##.###")&amp;CHAR(10)&amp;"T2: "&amp;TEXT(FORMULACIÓN!M40,"##.###")&amp;CHAR(10)&amp;"T3: "&amp;TEXT(FORMULACIÓN!N40,"##.###")&amp;CHAR(10)&amp;"Tn: "&amp;TEXT(FORMULACIÓN!O40,"##.###")))</f>
        <v>PDI: 100,00%
T1: 20,00%
T2: 30,00%
T3: 40,00%
Tn: 10,00%</v>
      </c>
      <c r="J40" s="122">
        <f>IF(FORMULACIÓN!K40&lt;&gt;"",FORMULACIÓN!K40,"")</f>
        <v>0</v>
      </c>
      <c r="K40" s="309">
        <v>0.02</v>
      </c>
      <c r="L40" s="59"/>
      <c r="M40" s="59"/>
      <c r="N40" s="59"/>
      <c r="O40" s="47">
        <f ca="1">IFERROR(IF($H40=Lists!$S$2,SUM('SEGUIMIENTO Y EVALUACIÓN'!J40:N40),IF('SEGUIMIENTO Y EVALUACIÓN'!$H40=Lists!$S$3,SUM('SEGUIMIENTO Y EVALUACIÓN'!K40:N40),IF('SEGUIMIENTO Y EVALUACIÓN'!$H40=Lists!$S$4,AVERAGE('SEGUIMIENTO Y EVALUACIÓN'!K40:N40),IF('SEGUIMIENTO Y EVALUACIÓN'!$H40=Lists!$S$5,OFFSET(J40,0,COUNTA(K40:N40)),IF($H40=Lists!$S$6,COUNTIF(K40:N40,"&lt;"&amp;FORMULACIÓN!Q40)/COUNT('SEGUIMIENTO Y EVALUACIÓN'!K40:N40),""))))),"")</f>
        <v>0.02</v>
      </c>
      <c r="P40" s="51" t="str">
        <f ca="1">IF($G40=Lists!$R$3,TEXT('SEGUIMIENTO Y EVALUACIÓN'!O40,"00,00%"),IF('SEGUIMIENTO Y EVALUACIÓN'!O40=0,0,TEXT('SEGUIMIENTO Y EVALUACIÓN'!O40,"##.###")))</f>
        <v>02,00%</v>
      </c>
      <c r="Q40" s="209" t="str">
        <f>IF(FORMULACIÓN!R40&lt;&gt;"",FORMULACIÓN!R40,"")</f>
        <v>P4 - Formación para la transformación institucional basado en educación inclusiva, intercultural y pluridiversa</v>
      </c>
      <c r="R40" s="209">
        <f>IF(FORMULACIÓN!S40&lt;&gt;"",FORMULACIÓN!S40,"")</f>
        <v>0.01</v>
      </c>
      <c r="S40" s="209" t="str">
        <f>IF(FORMULACIÓN!T40&lt;&gt;"",FORMULACIÓN!T40,"")</f>
        <v>Vicerrector de Docencia</v>
      </c>
      <c r="T40" s="42"/>
      <c r="U40" s="42"/>
      <c r="V40" s="42"/>
      <c r="W40" s="43" t="str">
        <f t="shared" si="0"/>
        <v/>
      </c>
      <c r="X40" s="42"/>
      <c r="Y40" s="42"/>
      <c r="Z40" s="42"/>
      <c r="AA40" s="43" t="str">
        <f t="shared" si="1"/>
        <v/>
      </c>
      <c r="AB40" s="42"/>
      <c r="AC40" s="42"/>
      <c r="AD40" s="42"/>
      <c r="AE40" s="43" t="str">
        <f t="shared" si="2"/>
        <v/>
      </c>
      <c r="AF40" s="42"/>
      <c r="AG40" s="42"/>
      <c r="AH40" s="42"/>
      <c r="AI40" s="46" t="str">
        <f t="shared" si="3"/>
        <v/>
      </c>
      <c r="AJ40" s="46" t="str">
        <f>IF(SUM(AA40,AE40,W40,AI40)=0,"",SUM((AA40,AE40,W40,AI40)))</f>
        <v/>
      </c>
      <c r="AK40"/>
      <c r="AL40" s="1" t="str">
        <f t="shared" si="4"/>
        <v>L1M4P4</v>
      </c>
      <c r="AM40" s="56" t="str">
        <f t="shared" si="5"/>
        <v xml:space="preserve">Porcentaje de programas académicos resignificados bajo un enfoque inclusivo e intercultural.  </v>
      </c>
      <c r="AN40" s="112" t="str">
        <f>IF($G40=Lists!$R$3,"T1: "&amp;TEXT(FORMULACIÓN!L40,"00,00%")&amp;CHAR(10)&amp;"T2: "&amp;TEXT(FORMULACIÓN!M40,"00,00%")&amp;CHAR(10)&amp;"T3: "&amp;TEXT(FORMULACIÓN!N40,"00,00%")&amp;CHAR(10)&amp;"Tn: "&amp;TEXT(FORMULACIÓN!O40,"00,00%"),IF(FORMULACIÓN!Q40=0,0,"T1: "&amp;TEXT(FORMULACIÓN!L40,"##.###")&amp;CHAR(10)&amp;"T2: "&amp;TEXT(FORMULACIÓN!M40,"##.###")&amp;CHAR(10)&amp;"T3: "&amp;TEXT(FORMULACIÓN!N40,"##.###")&amp;CHAR(10)&amp;"Tn: "&amp;TEXT(FORMULACIÓN!O40,"##.###")))</f>
        <v>T1: 20,00%
T2: 30,00%
T3: 40,00%
Tn: 10,00%</v>
      </c>
      <c r="AO40" s="117">
        <f>IFERROR(IF($H40=Lists!$S$6,IF(AND(FORMULACIÓN!L40&gt;K40,K40&gt;0),1,0),IF((K40/FORMULACIÓN!L40)&lt;&gt;0,K40/FORMULACIÓN!L40,0)),"")</f>
        <v>9.9999999999999992E-2</v>
      </c>
      <c r="AP40" s="117">
        <f>IFERROR(IF($H40=Lists!$S$6,IF(AND(FORMULACIÓN!M40&gt;L40,L40&gt;0),1,0),IF((L40/FORMULACIÓN!M40)&lt;&gt;0,L40/FORMULACIÓN!M40,0)),"")</f>
        <v>0</v>
      </c>
      <c r="AQ40" s="117">
        <f>IFERROR(IF($H40=Lists!$S$6,IF(AND(FORMULACIÓN!N40&gt;M40,M40&gt;0),1,0),IF((M40/FORMULACIÓN!N40)&lt;&gt;0,M40/FORMULACIÓN!N40,0)),"")</f>
        <v>0</v>
      </c>
      <c r="AR40" s="117">
        <f>IFERROR(IF($H40=Lists!$S$6,IF(AND(FORMULACIÓN!O40&gt;N40,N40&gt;0),1,0),IF((N40/FORMULACIÓN!O40)&lt;&gt;0,N40/FORMULACIÓN!O40,0)),"")</f>
        <v>0</v>
      </c>
      <c r="AS40" s="110"/>
      <c r="AT40" s="118" t="str">
        <f ca="1">IF($H40=Lists!$S$6,TEXT(COUNTIF('SEGUIMIENTO Y EVALUACIÓN'!K40:N40,"&lt;"&amp;FORMULACIÓN!Q40),"##.###")&amp;" / "&amp;TEXT(COUNTIF('SEGUIMIENTO Y EVALUACIÓN'!K40:N40,"&gt;"&amp;0),"##.###"),IF($G40=Lists!$R$3,TEXT('SEGUIMIENTO Y EVALUACIÓN'!O40,"00,00%")&amp;" / "&amp;TEXT(FORMULACIÓN!P40,"00,00%"),IF('SEGUIMIENTO Y EVALUACIÓN'!O40=0,0,TEXT('SEGUIMIENTO Y EVALUACIÓN'!O40,"##.###")&amp;" / "&amp;TEXT(FORMULACIÓN!P40,"##.###"))))</f>
        <v>02,00% / 100,00%</v>
      </c>
      <c r="AU40" s="57">
        <f ca="1">IFERROR(IF((P40/FORMULACIÓN!Q40)&lt;&gt;0,IF($H40=Lists!$S$6,COUNTIF('SEGUIMIENTO Y EVALUACIÓN'!K40:N40,"&lt;"&amp;FORMULACIÓN!Q40),'SEGUIMIENTO Y EVALUACIÓN'!P40)/IF($H40=Lists!$S$6,COUNTIF('SEGUIMIENTO Y EVALUACIÓN'!K40:N40,"&gt;"&amp;0),FORMULACIÓN!P40),0),0)</f>
        <v>0.02</v>
      </c>
      <c r="AV40" s="93">
        <f t="shared" ca="1" si="6"/>
        <v>2.0000000000000001E-4</v>
      </c>
      <c r="AW40" s="93" cm="1">
        <f t="array" ref="AW40">IF(INDEX(AO40:AU40,1,$AV$3)&gt;1,IF($AU$2=1,1,INDEX(AO40:AU40,1,$AV$3)),INDEX(AO40:AU40,1,$AV$3))</f>
        <v>9.9999999999999992E-2</v>
      </c>
      <c r="AX40"/>
      <c r="AY40" s="119" t="str">
        <f>IFERROR(IF((W40/FORMULACIÓN!X40)&lt;&gt;0,W40/FORMULACIÓN!X40,0),"")</f>
        <v/>
      </c>
      <c r="AZ40" s="119" t="str">
        <f>IFERROR(IF((AA40/FORMULACIÓN!AB40)&lt;&gt;0,AA40/FORMULACIÓN!AB40,0),"")</f>
        <v/>
      </c>
      <c r="BA40" s="119" t="str">
        <f>IFERROR(IF((AE40/FORMULACIÓN!AF40)&lt;&gt;0,(AE40/FORMULACIÓN!AF40),0),"")</f>
        <v/>
      </c>
      <c r="BB40" s="119" t="str">
        <f>IFERROR(IF((AI40/FORMULACIÓN!AJ40)&lt;&gt;0,AI40/FORMULACIÓN!AJ40,0),"")</f>
        <v/>
      </c>
      <c r="BC40" s="120" t="str">
        <f>IF('SEGUIMIENTO Y EVALUACIÓN'!AI40=0,0,TEXT('SEGUIMIENTO Y EVALUACIÓN'!AI40,"$ ##.###")&amp;" / "&amp;TEXT(FORMULACIÓN!AK40,"$ ##.###"))</f>
        <v xml:space="preserve"> / $ 37.648.672.822</v>
      </c>
      <c r="BD40" s="57">
        <f>IFERROR(IF((AJ40/FORMULACIÓN!AK40)&lt;&gt;0,AJ40/FORMULACIÓN!AK40,0),0)</f>
        <v>0</v>
      </c>
      <c r="BJ40"/>
      <c r="BK40"/>
      <c r="CL40" s="7"/>
    </row>
    <row r="41" spans="1:90" s="1" customFormat="1" ht="67.5">
      <c r="A41" s="45">
        <f>IF(FORMULACIÓN!A41="","",FORMULACIÓN!A41)</f>
        <v>30</v>
      </c>
      <c r="B41" s="45" t="str">
        <f>IF(FORMULACIÓN!B41="","",FORMULACIÓN!B41)</f>
        <v>L1 - Formación Académica Integral</v>
      </c>
      <c r="C41" s="45" t="str">
        <f>IF(FORMULACIÓN!E41="","",FORMULACIÓN!E41)</f>
        <v>M4 - Procesos académicos inclusivos e interculturales</v>
      </c>
      <c r="D41" s="45" t="str">
        <f>IF(FORMULACIÓN!F41="","",FORMULACIÓN!F41)</f>
        <v>Diseñar e implementar un programa de capacitación en lenguas indígenas y/o lengua de señas colombiana.</v>
      </c>
      <c r="E41" s="45" t="str">
        <f>IF(FORMULACIÓN!G41="","",FORMULACIÓN!G41)</f>
        <v xml:space="preserve">Diseño e implementación del programa de formación en lenguas indígenas y/o lengua de señas colombiana </v>
      </c>
      <c r="F41" s="45" t="str">
        <f>IF(FORMULACIÓN!H41="","",FORMULACIÓN!H41)</f>
        <v xml:space="preserve">Puesta en marcha del programa de formación en educación continua en lenguas indígenas y/o lengua de señas colombiana </v>
      </c>
      <c r="G41" s="45" t="str">
        <f>IF(FORMULACIÓN!I41="","",FORMULACIÓN!I41)</f>
        <v>Unidad</v>
      </c>
      <c r="H41" s="45" t="str">
        <f>IF(FORMULACIÓN!J41="","",FORMULACIÓN!J41)</f>
        <v>Nuevo gestionado durante la vigencia</v>
      </c>
      <c r="I41" s="188" t="str">
        <f ca="1">IF($G41=Lists!$R$3,"PDI: "&amp;TEXT(FORMULACIÓN!Q41,"00,00%")&amp;CHAR(10)&amp;CHAR(10)&amp;"T1: "&amp;TEXT(FORMULACIÓN!L41,"00,00%")&amp;CHAR(10)&amp;"T2: "&amp;TEXT(FORMULACIÓN!M41,"00,00%")&amp;CHAR(10)&amp;"T3: "&amp;TEXT(FORMULACIÓN!N41,"00,00%")&amp;CHAR(10)&amp;"Tn: "&amp;TEXT(FORMULACIÓN!O41,"00,00%"),IF(FORMULACIÓN!Q41=0,0,"PDI: "&amp;TEXT(FORMULACIÓN!Q41,"##.###")&amp;CHAR(10)&amp;CHAR(10)&amp;"T1: "&amp;TEXT(FORMULACIÓN!L41,"##.###")&amp;CHAR(10)&amp;"T2: "&amp;TEXT(FORMULACIÓN!M41,"##.###")&amp;CHAR(10)&amp;"T3: "&amp;TEXT(FORMULACIÓN!N41,"##.###")&amp;CHAR(10)&amp;"Tn: "&amp;TEXT(FORMULACIÓN!O41,"##.###")))</f>
        <v xml:space="preserve">PDI: 1
T1: 1
T2: 
T3: 
Tn: </v>
      </c>
      <c r="J41" s="122">
        <f>IF(FORMULACIÓN!K41&lt;&gt;"",FORMULACIÓN!K41,"")</f>
        <v>0</v>
      </c>
      <c r="K41" s="310">
        <v>0</v>
      </c>
      <c r="L41" s="58"/>
      <c r="M41" s="58"/>
      <c r="N41" s="58"/>
      <c r="O41" s="47">
        <f ca="1">IFERROR(IF($H41=Lists!$S$2,SUM('SEGUIMIENTO Y EVALUACIÓN'!J41:N41),IF('SEGUIMIENTO Y EVALUACIÓN'!$H41=Lists!$S$3,SUM('SEGUIMIENTO Y EVALUACIÓN'!K41:N41),IF('SEGUIMIENTO Y EVALUACIÓN'!$H41=Lists!$S$4,AVERAGE('SEGUIMIENTO Y EVALUACIÓN'!K41:N41),IF('SEGUIMIENTO Y EVALUACIÓN'!$H41=Lists!$S$5,OFFSET(J41,0,COUNTA(K41:N41)),IF($H41=Lists!$S$6,COUNTIF(K41:N41,"&lt;"&amp;FORMULACIÓN!Q41)/COUNT('SEGUIMIENTO Y EVALUACIÓN'!K41:N41),""))))),"")</f>
        <v>0</v>
      </c>
      <c r="P41" s="51">
        <f ca="1">IF($G41=Lists!$R$3,TEXT('SEGUIMIENTO Y EVALUACIÓN'!O41,"00,00%"),IF('SEGUIMIENTO Y EVALUACIÓN'!O41=0,0,TEXT('SEGUIMIENTO Y EVALUACIÓN'!O41,"##.###")))</f>
        <v>0</v>
      </c>
      <c r="Q41" s="209" t="str">
        <f>IF(FORMULACIÓN!R41&lt;&gt;"",FORMULACIÓN!R41,"")</f>
        <v>P4 - Formación para la transformación institucional basado en educación inclusiva, intercultural y pluridiversa</v>
      </c>
      <c r="R41" s="209">
        <f>IF(FORMULACIÓN!S41&lt;&gt;"",FORMULACIÓN!S41,"")</f>
        <v>0.01</v>
      </c>
      <c r="S41" s="209" t="str">
        <f>IF(FORMULACIÓN!T41&lt;&gt;"",FORMULACIÓN!T41,"")</f>
        <v>Vicerrector de Docencia</v>
      </c>
      <c r="T41" s="42"/>
      <c r="U41" s="42"/>
      <c r="V41" s="42"/>
      <c r="W41" s="43" t="str">
        <f t="shared" si="0"/>
        <v/>
      </c>
      <c r="X41" s="42"/>
      <c r="Y41" s="42"/>
      <c r="Z41" s="42"/>
      <c r="AA41" s="43" t="str">
        <f t="shared" si="1"/>
        <v/>
      </c>
      <c r="AB41" s="42"/>
      <c r="AC41" s="42"/>
      <c r="AD41" s="42"/>
      <c r="AE41" s="43" t="str">
        <f t="shared" si="2"/>
        <v/>
      </c>
      <c r="AF41" s="42"/>
      <c r="AG41" s="42"/>
      <c r="AH41" s="42"/>
      <c r="AI41" s="46" t="str">
        <f t="shared" si="3"/>
        <v/>
      </c>
      <c r="AJ41" s="46" t="str">
        <f>IF(SUM(AA41,AE41,W41,AI41)=0,"",SUM((AA41,AE41,W41,AI41)))</f>
        <v/>
      </c>
      <c r="AK41"/>
      <c r="AL41" s="1" t="str">
        <f t="shared" si="4"/>
        <v>L1M4P4</v>
      </c>
      <c r="AM41" s="56" t="str">
        <f t="shared" si="5"/>
        <v xml:space="preserve">Diseño e implementación del programa de formación en lenguas indígenas y/o lengua de señas colombiana </v>
      </c>
      <c r="AN41" s="112" t="str">
        <f ca="1">IF($G41=Lists!$R$3,"T1: "&amp;TEXT(FORMULACIÓN!L41,"00,00%")&amp;CHAR(10)&amp;"T2: "&amp;TEXT(FORMULACIÓN!M41,"00,00%")&amp;CHAR(10)&amp;"T3: "&amp;TEXT(FORMULACIÓN!N41,"00,00%")&amp;CHAR(10)&amp;"Tn: "&amp;TEXT(FORMULACIÓN!O41,"00,00%"),IF(FORMULACIÓN!Q41=0,0,"T1: "&amp;TEXT(FORMULACIÓN!L41,"##.###")&amp;CHAR(10)&amp;"T2: "&amp;TEXT(FORMULACIÓN!M41,"##.###")&amp;CHAR(10)&amp;"T3: "&amp;TEXT(FORMULACIÓN!N41,"##.###")&amp;CHAR(10)&amp;"Tn: "&amp;TEXT(FORMULACIÓN!O41,"##.###")))</f>
        <v xml:space="preserve">T1: 1
T2: 
T3: 
Tn: </v>
      </c>
      <c r="AO41" s="117">
        <f>IFERROR(IF($H41=Lists!$S$6,IF(AND(FORMULACIÓN!L41&gt;K41,K41&gt;0),1,0),IF((K41/FORMULACIÓN!L41)&lt;&gt;0,K41/FORMULACIÓN!L41,0)),"")</f>
        <v>0</v>
      </c>
      <c r="AP41" s="117" t="str">
        <f>IFERROR(IF($H41=Lists!$S$6,IF(AND(FORMULACIÓN!M41&gt;L41,L41&gt;0),1,0),IF((L41/FORMULACIÓN!M41)&lt;&gt;0,L41/FORMULACIÓN!M41,0)),"")</f>
        <v/>
      </c>
      <c r="AQ41" s="117" t="str">
        <f>IFERROR(IF($H41=Lists!$S$6,IF(AND(FORMULACIÓN!N41&gt;M41,M41&gt;0),1,0),IF((M41/FORMULACIÓN!N41)&lt;&gt;0,M41/FORMULACIÓN!N41,0)),"")</f>
        <v/>
      </c>
      <c r="AR41" s="117" t="str">
        <f>IFERROR(IF($H41=Lists!$S$6,IF(AND(FORMULACIÓN!O41&gt;N41,N41&gt;0),1,0),IF((N41/FORMULACIÓN!O41)&lt;&gt;0,N41/FORMULACIÓN!O41,0)),"")</f>
        <v/>
      </c>
      <c r="AS41" s="110"/>
      <c r="AT41" s="118">
        <f ca="1">IF($H41=Lists!$S$6,TEXT(COUNTIF('SEGUIMIENTO Y EVALUACIÓN'!K41:N41,"&lt;"&amp;FORMULACIÓN!Q41),"##.###")&amp;" / "&amp;TEXT(COUNTIF('SEGUIMIENTO Y EVALUACIÓN'!K41:N41,"&gt;"&amp;0),"##.###"),IF($G41=Lists!$R$3,TEXT('SEGUIMIENTO Y EVALUACIÓN'!O41,"00,00%")&amp;" / "&amp;TEXT(FORMULACIÓN!P41,"00,00%"),IF('SEGUIMIENTO Y EVALUACIÓN'!O41=0,0,TEXT('SEGUIMIENTO Y EVALUACIÓN'!O41,"##.###")&amp;" / "&amp;TEXT(FORMULACIÓN!P41,"##.###"))))</f>
        <v>0</v>
      </c>
      <c r="AU41" s="57">
        <f ca="1">IFERROR(IF((P41/FORMULACIÓN!Q41)&lt;&gt;0,IF($H41=Lists!$S$6,COUNTIF('SEGUIMIENTO Y EVALUACIÓN'!K41:N41,"&lt;"&amp;FORMULACIÓN!Q41),'SEGUIMIENTO Y EVALUACIÓN'!P41)/IF($H41=Lists!$S$6,COUNTIF('SEGUIMIENTO Y EVALUACIÓN'!K41:N41,"&gt;"&amp;0),FORMULACIÓN!P41),0),0)</f>
        <v>0</v>
      </c>
      <c r="AV41" s="93">
        <f t="shared" ca="1" si="6"/>
        <v>0</v>
      </c>
      <c r="AW41" s="93" cm="1">
        <f t="array" ref="AW41">IF(INDEX(AO41:AU41,1,$AV$3)&gt;1,IF($AU$2=1,1,INDEX(AO41:AU41,1,$AV$3)),INDEX(AO41:AU41,1,$AV$3))</f>
        <v>0</v>
      </c>
      <c r="AX41"/>
      <c r="AY41" s="119" t="str">
        <f>IFERROR(IF((W41/FORMULACIÓN!X41)&lt;&gt;0,W41/FORMULACIÓN!X41,0),"")</f>
        <v/>
      </c>
      <c r="AZ41" s="119" t="str">
        <f>IFERROR(IF((AA41/FORMULACIÓN!AB41)&lt;&gt;0,AA41/FORMULACIÓN!AB41,0),"")</f>
        <v/>
      </c>
      <c r="BA41" s="119" t="str">
        <f>IFERROR(IF((AE41/FORMULACIÓN!AF41)&lt;&gt;0,(AE41/FORMULACIÓN!AF41),0),"")</f>
        <v/>
      </c>
      <c r="BB41" s="119" t="str">
        <f>IFERROR(IF((AI41/FORMULACIÓN!AJ41)&lt;&gt;0,AI41/FORMULACIÓN!AJ41,0),"")</f>
        <v/>
      </c>
      <c r="BC41" s="120" t="str">
        <f>IF('SEGUIMIENTO Y EVALUACIÓN'!AI41=0,0,TEXT('SEGUIMIENTO Y EVALUACIÓN'!AI41,"$ ##.###")&amp;" / "&amp;TEXT(FORMULACIÓN!AK41,"$ ##.###"))</f>
        <v xml:space="preserve"> / $ 31.646.927.748</v>
      </c>
      <c r="BD41" s="57">
        <f>IFERROR(IF((AJ41/FORMULACIÓN!AK41)&lt;&gt;0,AJ41/FORMULACIÓN!AK41,0),0)</f>
        <v>0</v>
      </c>
      <c r="BJ41"/>
      <c r="BK41"/>
      <c r="CL41" s="7"/>
    </row>
    <row r="42" spans="1:90" s="1" customFormat="1" ht="90">
      <c r="A42" s="45">
        <f>IF(FORMULACIÓN!A42="","",FORMULACIÓN!A42)</f>
        <v>31</v>
      </c>
      <c r="B42" s="45" t="str">
        <f>IF(FORMULACIÓN!B42="","",FORMULACIÓN!B42)</f>
        <v>L1 - Formación Académica Integral</v>
      </c>
      <c r="C42" s="45" t="str">
        <f>IF(FORMULACIÓN!E42="","",FORMULACIÓN!E42)</f>
        <v>M5 - Autoevaluación y acreditación Institucional y de programas académicos en el contexto nacional e internacional</v>
      </c>
      <c r="D42" s="45" t="str">
        <f>IF(FORMULACIÓN!F42="","",FORMULACIÓN!F42)</f>
        <v>Diseñar e implementar el Sistema Interno Integrado para la excelencia institucional.</v>
      </c>
      <c r="E42" s="45" t="str">
        <f>IF(FORMULACIÓN!G42="","",FORMULACIÓN!G42)</f>
        <v>Documento de diseño de Sistema Interno Integrado aprobado</v>
      </c>
      <c r="F42" s="45" t="str">
        <f>IF(FORMULACIÓN!H42="","",FORMULACIÓN!H42)</f>
        <v>Acto administrativo de aprobación del diseño del Sistema Interno Integrado</v>
      </c>
      <c r="G42" s="45" t="str">
        <f>IF(FORMULACIÓN!I42="","",FORMULACIÓN!I42)</f>
        <v>Unidad</v>
      </c>
      <c r="H42" s="45" t="str">
        <f>IF(FORMULACIÓN!J42="","",FORMULACIÓN!J42)</f>
        <v>Nuevo gestionado durante la vigencia</v>
      </c>
      <c r="I42" s="188" t="str">
        <f ca="1">IF($G42=Lists!$R$3,"PDI: "&amp;TEXT(FORMULACIÓN!Q42,"00,00%")&amp;CHAR(10)&amp;CHAR(10)&amp;"T1: "&amp;TEXT(FORMULACIÓN!L42,"00,00%")&amp;CHAR(10)&amp;"T2: "&amp;TEXT(FORMULACIÓN!M42,"00,00%")&amp;CHAR(10)&amp;"T3: "&amp;TEXT(FORMULACIÓN!N42,"00,00%")&amp;CHAR(10)&amp;"Tn: "&amp;TEXT(FORMULACIÓN!O42,"00,00%"),IF(FORMULACIÓN!Q42=0,0,"PDI: "&amp;TEXT(FORMULACIÓN!Q42,"##.###")&amp;CHAR(10)&amp;CHAR(10)&amp;"T1: "&amp;TEXT(FORMULACIÓN!L42,"##.###")&amp;CHAR(10)&amp;"T2: "&amp;TEXT(FORMULACIÓN!M42,"##.###")&amp;CHAR(10)&amp;"T3: "&amp;TEXT(FORMULACIÓN!N42,"##.###")&amp;CHAR(10)&amp;"Tn: "&amp;TEXT(FORMULACIÓN!O42,"##.###")))</f>
        <v xml:space="preserve">PDI: 1
T1: 1
T2: 
T3: 
Tn: </v>
      </c>
      <c r="J42" s="122">
        <f>IF(FORMULACIÓN!K42&lt;&gt;"",FORMULACIÓN!K42,"")</f>
        <v>0</v>
      </c>
      <c r="K42" s="310">
        <v>1</v>
      </c>
      <c r="L42" s="58"/>
      <c r="M42" s="58"/>
      <c r="N42" s="58"/>
      <c r="O42" s="47">
        <f ca="1">IFERROR(IF($H42=Lists!$S$2,SUM('SEGUIMIENTO Y EVALUACIÓN'!J42:N42),IF('SEGUIMIENTO Y EVALUACIÓN'!$H42=Lists!$S$3,SUM('SEGUIMIENTO Y EVALUACIÓN'!K42:N42),IF('SEGUIMIENTO Y EVALUACIÓN'!$H42=Lists!$S$4,AVERAGE('SEGUIMIENTO Y EVALUACIÓN'!K42:N42),IF('SEGUIMIENTO Y EVALUACIÓN'!$H42=Lists!$S$5,OFFSET(J42,0,COUNTA(K42:N42)),IF($H42=Lists!$S$6,COUNTIF(K42:N42,"&lt;"&amp;FORMULACIÓN!Q42)/COUNT('SEGUIMIENTO Y EVALUACIÓN'!K42:N42),""))))),"")</f>
        <v>1</v>
      </c>
      <c r="P42" s="51" t="str">
        <f ca="1">IF($G42=Lists!$R$3,TEXT('SEGUIMIENTO Y EVALUACIÓN'!O42,"00,00%"),IF('SEGUIMIENTO Y EVALUACIÓN'!O42=0,0,TEXT('SEGUIMIENTO Y EVALUACIÓN'!O42,"##.###")))</f>
        <v>1</v>
      </c>
      <c r="Q42" s="209" t="str">
        <f>IF(FORMULACIÓN!R42&lt;&gt;"",FORMULACIÓN!R42,"")</f>
        <v>P1 - Excelencia académica</v>
      </c>
      <c r="R42" s="209">
        <f>IF(FORMULACIÓN!S42&lt;&gt;"",FORMULACIÓN!S42,"")</f>
        <v>0.02</v>
      </c>
      <c r="S42" s="209" t="str">
        <f>IF(FORMULACIÓN!T42&lt;&gt;"",FORMULACIÓN!T42,"")</f>
        <v>Vicerrector de Docencia</v>
      </c>
      <c r="T42" s="42"/>
      <c r="U42" s="42"/>
      <c r="V42" s="42"/>
      <c r="W42" s="43" t="str">
        <f t="shared" si="0"/>
        <v/>
      </c>
      <c r="X42" s="42"/>
      <c r="Y42" s="42"/>
      <c r="Z42" s="42"/>
      <c r="AA42" s="43" t="str">
        <f t="shared" si="1"/>
        <v/>
      </c>
      <c r="AB42" s="42"/>
      <c r="AC42" s="42"/>
      <c r="AD42" s="42"/>
      <c r="AE42" s="43" t="str">
        <f t="shared" si="2"/>
        <v/>
      </c>
      <c r="AF42" s="42"/>
      <c r="AG42" s="42"/>
      <c r="AH42" s="42"/>
      <c r="AI42" s="46" t="str">
        <f t="shared" si="3"/>
        <v/>
      </c>
      <c r="AJ42" s="46" t="str">
        <f>IF(SUM(AA42,AE42,W42,AI42)=0,"",SUM((AA42,AE42,W42,AI42)))</f>
        <v/>
      </c>
      <c r="AK42"/>
      <c r="AL42" s="1" t="str">
        <f t="shared" si="4"/>
        <v>L1M5P1</v>
      </c>
      <c r="AM42" s="56" t="str">
        <f t="shared" si="5"/>
        <v>Documento de diseño de Sistema Interno Integrado aprobado</v>
      </c>
      <c r="AN42" s="112" t="str">
        <f ca="1">IF($G42=Lists!$R$3,"T1: "&amp;TEXT(FORMULACIÓN!L42,"00,00%")&amp;CHAR(10)&amp;"T2: "&amp;TEXT(FORMULACIÓN!M42,"00,00%")&amp;CHAR(10)&amp;"T3: "&amp;TEXT(FORMULACIÓN!N42,"00,00%")&amp;CHAR(10)&amp;"Tn: "&amp;TEXT(FORMULACIÓN!O42,"00,00%"),IF(FORMULACIÓN!Q42=0,0,"T1: "&amp;TEXT(FORMULACIÓN!L42,"##.###")&amp;CHAR(10)&amp;"T2: "&amp;TEXT(FORMULACIÓN!M42,"##.###")&amp;CHAR(10)&amp;"T3: "&amp;TEXT(FORMULACIÓN!N42,"##.###")&amp;CHAR(10)&amp;"Tn: "&amp;TEXT(FORMULACIÓN!O42,"##.###")))</f>
        <v xml:space="preserve">T1: 1
T2: 
T3: 
Tn: </v>
      </c>
      <c r="AO42" s="117">
        <f>IFERROR(IF($H42=Lists!$S$6,IF(AND(FORMULACIÓN!L42&gt;K42,K42&gt;0),1,0),IF((K42/FORMULACIÓN!L42)&lt;&gt;0,K42/FORMULACIÓN!L42,0)),"")</f>
        <v>1</v>
      </c>
      <c r="AP42" s="117" t="str">
        <f>IFERROR(IF($H42=Lists!$S$6,IF(AND(FORMULACIÓN!M42&gt;L42,L42&gt;0),1,0),IF((L42/FORMULACIÓN!M42)&lt;&gt;0,L42/FORMULACIÓN!M42,0)),"")</f>
        <v/>
      </c>
      <c r="AQ42" s="117" t="str">
        <f>IFERROR(IF($H42=Lists!$S$6,IF(AND(FORMULACIÓN!N42&gt;M42,M42&gt;0),1,0),IF((M42/FORMULACIÓN!N42)&lt;&gt;0,M42/FORMULACIÓN!N42,0)),"")</f>
        <v/>
      </c>
      <c r="AR42" s="117" t="str">
        <f>IFERROR(IF($H42=Lists!$S$6,IF(AND(FORMULACIÓN!O42&gt;N42,N42&gt;0),1,0),IF((N42/FORMULACIÓN!O42)&lt;&gt;0,N42/FORMULACIÓN!O42,0)),"")</f>
        <v/>
      </c>
      <c r="AS42" s="110"/>
      <c r="AT42" s="118" t="str">
        <f ca="1">IF($H42=Lists!$S$6,TEXT(COUNTIF('SEGUIMIENTO Y EVALUACIÓN'!K42:N42,"&lt;"&amp;FORMULACIÓN!Q42),"##.###")&amp;" / "&amp;TEXT(COUNTIF('SEGUIMIENTO Y EVALUACIÓN'!K42:N42,"&gt;"&amp;0),"##.###"),IF($G42=Lists!$R$3,TEXT('SEGUIMIENTO Y EVALUACIÓN'!O42,"00,00%")&amp;" / "&amp;TEXT(FORMULACIÓN!P42,"00,00%"),IF('SEGUIMIENTO Y EVALUACIÓN'!O42=0,0,TEXT('SEGUIMIENTO Y EVALUACIÓN'!O42,"##.###")&amp;" / "&amp;TEXT(FORMULACIÓN!P42,"##.###"))))</f>
        <v>1 / 1</v>
      </c>
      <c r="AU42" s="57">
        <f ca="1">IFERROR(IF((P42/FORMULACIÓN!Q42)&lt;&gt;0,IF($H42=Lists!$S$6,COUNTIF('SEGUIMIENTO Y EVALUACIÓN'!K42:N42,"&lt;"&amp;FORMULACIÓN!Q42),'SEGUIMIENTO Y EVALUACIÓN'!P42)/IF($H42=Lists!$S$6,COUNTIF('SEGUIMIENTO Y EVALUACIÓN'!K42:N42,"&gt;"&amp;0),FORMULACIÓN!P42),0),0)</f>
        <v>1</v>
      </c>
      <c r="AV42" s="93">
        <f t="shared" ca="1" si="6"/>
        <v>0.02</v>
      </c>
      <c r="AW42" s="93" cm="1">
        <f t="array" ref="AW42">IF(INDEX(AO42:AU42,1,$AV$3)&gt;1,IF($AU$2=1,1,INDEX(AO42:AU42,1,$AV$3)),INDEX(AO42:AU42,1,$AV$3))</f>
        <v>1</v>
      </c>
      <c r="AX42"/>
      <c r="AY42" s="119" t="str">
        <f>IFERROR(IF((W42/FORMULACIÓN!X42)&lt;&gt;0,W42/FORMULACIÓN!X42,0),"")</f>
        <v/>
      </c>
      <c r="AZ42" s="119" t="str">
        <f>IFERROR(IF((AA42/FORMULACIÓN!AB42)&lt;&gt;0,AA42/FORMULACIÓN!AB42,0),"")</f>
        <v/>
      </c>
      <c r="BA42" s="119" t="str">
        <f>IFERROR(IF((AE42/FORMULACIÓN!AF42)&lt;&gt;0,(AE42/FORMULACIÓN!AF42),0),"")</f>
        <v/>
      </c>
      <c r="BB42" s="119" t="str">
        <f>IFERROR(IF((AI42/FORMULACIÓN!AJ42)&lt;&gt;0,AI42/FORMULACIÓN!AJ42,0),"")</f>
        <v/>
      </c>
      <c r="BC42" s="120" t="str">
        <f>IF('SEGUIMIENTO Y EVALUACIÓN'!AI42=0,0,TEXT('SEGUIMIENTO Y EVALUACIÓN'!AI42,"$ ##.###")&amp;" / "&amp;TEXT(FORMULACIÓN!AK42,"$ ##.###"))</f>
        <v xml:space="preserve"> / $ 7.340.091.136</v>
      </c>
      <c r="BD42" s="57">
        <f>IFERROR(IF((AJ42/FORMULACIÓN!AK42)&lt;&gt;0,AJ42/FORMULACIÓN!AK42,0),0)</f>
        <v>0</v>
      </c>
      <c r="BJ42"/>
      <c r="BK42"/>
      <c r="CL42" s="7"/>
    </row>
    <row r="43" spans="1:90" s="1" customFormat="1" ht="90">
      <c r="A43" s="45">
        <f>IF(FORMULACIÓN!A43="","",FORMULACIÓN!A43)</f>
        <v>32</v>
      </c>
      <c r="B43" s="45" t="str">
        <f>IF(FORMULACIÓN!B43="","",FORMULACIÓN!B43)</f>
        <v>L1 - Formación Académica Integral</v>
      </c>
      <c r="C43" s="45" t="str">
        <f>IF(FORMULACIÓN!E43="","",FORMULACIÓN!E43)</f>
        <v>M5 - Autoevaluación y acreditación Institucional y de programas académicos en el contexto nacional e internacional</v>
      </c>
      <c r="D43" s="45" t="str">
        <f>IF(FORMULACIÓN!F43="","",FORMULACIÓN!F43)</f>
        <v>Diseñar e implementar el Sistema Interno Integrado para la excelencia institucional.</v>
      </c>
      <c r="E43" s="45" t="str">
        <f>IF(FORMULACIÓN!G43="","",FORMULACIÓN!G43)</f>
        <v>Fortalecimiento de las Capacidades Técnicas para Sistema Interno Integrado</v>
      </c>
      <c r="F43" s="45" t="str">
        <f>IF(FORMULACIÓN!H43="","",FORMULACIÓN!H43)</f>
        <v>N° de capacidades técnicas y de infraestructura de apoyo implementadas / capacidades técnicas y de infraestructura de apoyo requeridas * 100</v>
      </c>
      <c r="G43" s="45" t="str">
        <f>IF(FORMULACIÓN!I43="","",FORMULACIÓN!I43)</f>
        <v>Porcentaje</v>
      </c>
      <c r="H43" s="45" t="str">
        <f>IF(FORMULACIÓN!J43="","",FORMULACIÓN!J43)</f>
        <v>Acumulado</v>
      </c>
      <c r="I43" s="188" t="str">
        <f ca="1">IF($G43=Lists!$R$3,"PDI: "&amp;TEXT(FORMULACIÓN!Q43,"00,00%")&amp;CHAR(10)&amp;CHAR(10)&amp;"T1: "&amp;TEXT(FORMULACIÓN!L43,"00,00%")&amp;CHAR(10)&amp;"T2: "&amp;TEXT(FORMULACIÓN!M43,"00,00%")&amp;CHAR(10)&amp;"T3: "&amp;TEXT(FORMULACIÓN!N43,"00,00%")&amp;CHAR(10)&amp;"Tn: "&amp;TEXT(FORMULACIÓN!O43,"00,00%"),IF(FORMULACIÓN!Q43=0,0,"PDI: "&amp;TEXT(FORMULACIÓN!Q43,"##.###")&amp;CHAR(10)&amp;CHAR(10)&amp;"T1: "&amp;TEXT(FORMULACIÓN!L43,"##.###")&amp;CHAR(10)&amp;"T2: "&amp;TEXT(FORMULACIÓN!M43,"##.###")&amp;CHAR(10)&amp;"T3: "&amp;TEXT(FORMULACIÓN!N43,"##.###")&amp;CHAR(10)&amp;"Tn: "&amp;TEXT(FORMULACIÓN!O43,"##.###")))</f>
        <v>PDI: 100,00%
T1: 30,00%
T2: 30,00%
T3: 20,00%
Tn: 20,00%</v>
      </c>
      <c r="J43" s="122">
        <f>IF(FORMULACIÓN!K43&lt;&gt;"",FORMULACIÓN!K43,"")</f>
        <v>0</v>
      </c>
      <c r="K43" s="309">
        <v>0.33</v>
      </c>
      <c r="L43" s="59"/>
      <c r="M43" s="59"/>
      <c r="N43" s="59"/>
      <c r="O43" s="47">
        <f ca="1">IFERROR(IF($H43=Lists!$S$2,SUM('SEGUIMIENTO Y EVALUACIÓN'!J43:N43),IF('SEGUIMIENTO Y EVALUACIÓN'!$H43=Lists!$S$3,SUM('SEGUIMIENTO Y EVALUACIÓN'!K43:N43),IF('SEGUIMIENTO Y EVALUACIÓN'!$H43=Lists!$S$4,AVERAGE('SEGUIMIENTO Y EVALUACIÓN'!K43:N43),IF('SEGUIMIENTO Y EVALUACIÓN'!$H43=Lists!$S$5,OFFSET(J43,0,COUNTA(K43:N43)),IF($H43=Lists!$S$6,COUNTIF(K43:N43,"&lt;"&amp;FORMULACIÓN!Q43)/COUNT('SEGUIMIENTO Y EVALUACIÓN'!K43:N43),""))))),"")</f>
        <v>0.33</v>
      </c>
      <c r="P43" s="51" t="str">
        <f ca="1">IF($G43=Lists!$R$3,TEXT('SEGUIMIENTO Y EVALUACIÓN'!O43,"00,00%"),IF('SEGUIMIENTO Y EVALUACIÓN'!O43=0,0,TEXT('SEGUIMIENTO Y EVALUACIÓN'!O43,"##.###")))</f>
        <v>33,00%</v>
      </c>
      <c r="Q43" s="209" t="str">
        <f>IF(FORMULACIÓN!R43&lt;&gt;"",FORMULACIÓN!R43,"")</f>
        <v>P1 - Excelencia académica</v>
      </c>
      <c r="R43" s="209">
        <f>IF(FORMULACIÓN!S43&lt;&gt;"",FORMULACIÓN!S43,"")</f>
        <v>0.02</v>
      </c>
      <c r="S43" s="209" t="str">
        <f>IF(FORMULACIÓN!T43&lt;&gt;"",FORMULACIÓN!T43,"")</f>
        <v>Vicerrector de Docencia</v>
      </c>
      <c r="T43" s="42"/>
      <c r="U43" s="42"/>
      <c r="V43" s="42"/>
      <c r="W43" s="43" t="str">
        <f t="shared" si="0"/>
        <v/>
      </c>
      <c r="X43" s="42"/>
      <c r="Y43" s="42"/>
      <c r="Z43" s="42"/>
      <c r="AA43" s="43" t="str">
        <f t="shared" si="1"/>
        <v/>
      </c>
      <c r="AB43" s="42"/>
      <c r="AC43" s="42"/>
      <c r="AD43" s="42"/>
      <c r="AE43" s="43" t="str">
        <f t="shared" si="2"/>
        <v/>
      </c>
      <c r="AF43" s="42"/>
      <c r="AG43" s="42"/>
      <c r="AH43" s="42"/>
      <c r="AI43" s="46" t="str">
        <f t="shared" si="3"/>
        <v/>
      </c>
      <c r="AJ43" s="46" t="str">
        <f>IF(SUM(AA43,AE43,W43,AI43)=0,"",SUM((AA43,AE43,W43,AI43)))</f>
        <v/>
      </c>
      <c r="AK43"/>
      <c r="AL43" s="1" t="str">
        <f t="shared" si="4"/>
        <v>L1M5P1</v>
      </c>
      <c r="AM43" s="56" t="str">
        <f t="shared" si="5"/>
        <v>Fortalecimiento de las Capacidades Técnicas para Sistema Interno Integrado</v>
      </c>
      <c r="AN43" s="112" t="str">
        <f>IF($G43=Lists!$R$3,"T1: "&amp;TEXT(FORMULACIÓN!L43,"00,00%")&amp;CHAR(10)&amp;"T2: "&amp;TEXT(FORMULACIÓN!M43,"00,00%")&amp;CHAR(10)&amp;"T3: "&amp;TEXT(FORMULACIÓN!N43,"00,00%")&amp;CHAR(10)&amp;"Tn: "&amp;TEXT(FORMULACIÓN!O43,"00,00%"),IF(FORMULACIÓN!Q43=0,0,"T1: "&amp;TEXT(FORMULACIÓN!L43,"##.###")&amp;CHAR(10)&amp;"T2: "&amp;TEXT(FORMULACIÓN!M43,"##.###")&amp;CHAR(10)&amp;"T3: "&amp;TEXT(FORMULACIÓN!N43,"##.###")&amp;CHAR(10)&amp;"Tn: "&amp;TEXT(FORMULACIÓN!O43,"##.###")))</f>
        <v>T1: 30,00%
T2: 30,00%
T3: 20,00%
Tn: 20,00%</v>
      </c>
      <c r="AO43" s="117">
        <f>IFERROR(IF($H43=Lists!$S$6,IF(AND(FORMULACIÓN!L43&gt;K43,K43&gt;0),1,0),IF((K43/FORMULACIÓN!L43)&lt;&gt;0,K43/FORMULACIÓN!L43,0)),"")</f>
        <v>1.1000000000000001</v>
      </c>
      <c r="AP43" s="117">
        <f>IFERROR(IF($H43=Lists!$S$6,IF(AND(FORMULACIÓN!M43&gt;L43,L43&gt;0),1,0),IF((L43/FORMULACIÓN!M43)&lt;&gt;0,L43/FORMULACIÓN!M43,0)),"")</f>
        <v>0</v>
      </c>
      <c r="AQ43" s="117">
        <f>IFERROR(IF($H43=Lists!$S$6,IF(AND(FORMULACIÓN!N43&gt;M43,M43&gt;0),1,0),IF((M43/FORMULACIÓN!N43)&lt;&gt;0,M43/FORMULACIÓN!N43,0)),"")</f>
        <v>0</v>
      </c>
      <c r="AR43" s="117">
        <f>IFERROR(IF($H43=Lists!$S$6,IF(AND(FORMULACIÓN!O43&gt;N43,N43&gt;0),1,0),IF((N43/FORMULACIÓN!O43)&lt;&gt;0,N43/FORMULACIÓN!O43,0)),"")</f>
        <v>0</v>
      </c>
      <c r="AS43" s="110"/>
      <c r="AT43" s="118" t="str">
        <f ca="1">IF($H43=Lists!$S$6,TEXT(COUNTIF('SEGUIMIENTO Y EVALUACIÓN'!K43:N43,"&lt;"&amp;FORMULACIÓN!Q43),"##.###")&amp;" / "&amp;TEXT(COUNTIF('SEGUIMIENTO Y EVALUACIÓN'!K43:N43,"&gt;"&amp;0),"##.###"),IF($G43=Lists!$R$3,TEXT('SEGUIMIENTO Y EVALUACIÓN'!O43,"00,00%")&amp;" / "&amp;TEXT(FORMULACIÓN!P43,"00,00%"),IF('SEGUIMIENTO Y EVALUACIÓN'!O43=0,0,TEXT('SEGUIMIENTO Y EVALUACIÓN'!O43,"##.###")&amp;" / "&amp;TEXT(FORMULACIÓN!P43,"##.###"))))</f>
        <v>33,00% / 100,00%</v>
      </c>
      <c r="AU43" s="57">
        <f ca="1">IFERROR(IF((P43/FORMULACIÓN!Q43)&lt;&gt;0,IF($H43=Lists!$S$6,COUNTIF('SEGUIMIENTO Y EVALUACIÓN'!K43:N43,"&lt;"&amp;FORMULACIÓN!Q43),'SEGUIMIENTO Y EVALUACIÓN'!P43)/IF($H43=Lists!$S$6,COUNTIF('SEGUIMIENTO Y EVALUACIÓN'!K43:N43,"&gt;"&amp;0),FORMULACIÓN!P43),0),0)</f>
        <v>0.33</v>
      </c>
      <c r="AV43" s="93">
        <f t="shared" ca="1" si="6"/>
        <v>6.6000000000000008E-3</v>
      </c>
      <c r="AW43" s="93" cm="1">
        <f t="array" ref="AW43">IF(INDEX(AO43:AU43,1,$AV$3)&gt;1,IF($AU$2=1,1,INDEX(AO43:AU43,1,$AV$3)),INDEX(AO43:AU43,1,$AV$3))</f>
        <v>1</v>
      </c>
      <c r="AX43"/>
      <c r="AY43" s="119" t="str">
        <f>IFERROR(IF((W43/FORMULACIÓN!X43)&lt;&gt;0,W43/FORMULACIÓN!X43,0),"")</f>
        <v/>
      </c>
      <c r="AZ43" s="119" t="str">
        <f>IFERROR(IF((AA43/FORMULACIÓN!AB43)&lt;&gt;0,AA43/FORMULACIÓN!AB43,0),"")</f>
        <v/>
      </c>
      <c r="BA43" s="119" t="str">
        <f>IFERROR(IF((AE43/FORMULACIÓN!AF43)&lt;&gt;0,(AE43/FORMULACIÓN!AF43),0),"")</f>
        <v/>
      </c>
      <c r="BB43" s="119" t="str">
        <f>IFERROR(IF((AI43/FORMULACIÓN!AJ43)&lt;&gt;0,AI43/FORMULACIÓN!AJ43,0),"")</f>
        <v/>
      </c>
      <c r="BC43" s="120" t="str">
        <f>IF('SEGUIMIENTO Y EVALUACIÓN'!AI43=0,0,TEXT('SEGUIMIENTO Y EVALUACIÓN'!AI43,"$ ##.###")&amp;" / "&amp;TEXT(FORMULACIÓN!AK43,"$ ##.###"))</f>
        <v xml:space="preserve"> / $ 7.883.993.176</v>
      </c>
      <c r="BD43" s="57">
        <f>IFERROR(IF((AJ43/FORMULACIÓN!AK43)&lt;&gt;0,AJ43/FORMULACIÓN!AK43,0),0)</f>
        <v>0</v>
      </c>
      <c r="BJ43"/>
      <c r="BK43"/>
      <c r="CL43" s="7"/>
    </row>
    <row r="44" spans="1:90" s="1" customFormat="1" ht="90">
      <c r="A44" s="45">
        <f>IF(FORMULACIÓN!A44="","",FORMULACIÓN!A44)</f>
        <v>33</v>
      </c>
      <c r="B44" s="45" t="str">
        <f>IF(FORMULACIÓN!B44="","",FORMULACIÓN!B44)</f>
        <v>L1 - Formación Académica Integral</v>
      </c>
      <c r="C44" s="45" t="str">
        <f>IF(FORMULACIÓN!E44="","",FORMULACIÓN!E44)</f>
        <v>M5 - Autoevaluación y acreditación Institucional y de programas académicos en el contexto nacional e internacional</v>
      </c>
      <c r="D44" s="45" t="str">
        <f>IF(FORMULACIÓN!F44="","",FORMULACIÓN!F44)</f>
        <v>Diseñar e implementar el Sistema Interno Integrado para la excelencia institucional.</v>
      </c>
      <c r="E44" s="45" t="str">
        <f>IF(FORMULACIÓN!G44="","",FORMULACIÓN!G44)</f>
        <v xml:space="preserve">Implementación del Sistema Interno Integrado </v>
      </c>
      <c r="F44" s="45" t="str">
        <f>IF(FORMULACIÓN!H44="","",FORMULACIÓN!H44)</f>
        <v>N° de componentes del Sistema Interno Integrado implementados / N° de componentes del Sistema Interno Integrado aprobados * 100</v>
      </c>
      <c r="G44" s="45" t="str">
        <f>IF(FORMULACIÓN!I44="","",FORMULACIÓN!I44)</f>
        <v>Porcentaje</v>
      </c>
      <c r="H44" s="45" t="str">
        <f>IF(FORMULACIÓN!J44="","",FORMULACIÓN!J44)</f>
        <v>Acumulado</v>
      </c>
      <c r="I44" s="188" t="str">
        <f ca="1">IF($G44=Lists!$R$3,"PDI: "&amp;TEXT(FORMULACIÓN!Q44,"00,00%")&amp;CHAR(10)&amp;CHAR(10)&amp;"T1: "&amp;TEXT(FORMULACIÓN!L44,"00,00%")&amp;CHAR(10)&amp;"T2: "&amp;TEXT(FORMULACIÓN!M44,"00,00%")&amp;CHAR(10)&amp;"T3: "&amp;TEXT(FORMULACIÓN!N44,"00,00%")&amp;CHAR(10)&amp;"Tn: "&amp;TEXT(FORMULACIÓN!O44,"00,00%"),IF(FORMULACIÓN!Q44=0,0,"PDI: "&amp;TEXT(FORMULACIÓN!Q44,"##.###")&amp;CHAR(10)&amp;CHAR(10)&amp;"T1: "&amp;TEXT(FORMULACIÓN!L44,"##.###")&amp;CHAR(10)&amp;"T2: "&amp;TEXT(FORMULACIÓN!M44,"##.###")&amp;CHAR(10)&amp;"T3: "&amp;TEXT(FORMULACIÓN!N44,"##.###")&amp;CHAR(10)&amp;"Tn: "&amp;TEXT(FORMULACIÓN!O44,"##.###")))</f>
        <v>PDI: 100,00%
T1: 30,00%
T2: 30,00%
T3: 20,00%
Tn: 20,00%</v>
      </c>
      <c r="J44" s="122">
        <f>IF(FORMULACIÓN!K44&lt;&gt;"",FORMULACIÓN!K44,"")</f>
        <v>0</v>
      </c>
      <c r="K44" s="309">
        <v>0</v>
      </c>
      <c r="L44" s="59"/>
      <c r="M44" s="59"/>
      <c r="N44" s="59"/>
      <c r="O44" s="47">
        <f ca="1">IFERROR(IF($H44=Lists!$S$2,SUM('SEGUIMIENTO Y EVALUACIÓN'!J44:N44),IF('SEGUIMIENTO Y EVALUACIÓN'!$H44=Lists!$S$3,SUM('SEGUIMIENTO Y EVALUACIÓN'!K44:N44),IF('SEGUIMIENTO Y EVALUACIÓN'!$H44=Lists!$S$4,AVERAGE('SEGUIMIENTO Y EVALUACIÓN'!K44:N44),IF('SEGUIMIENTO Y EVALUACIÓN'!$H44=Lists!$S$5,OFFSET(J44,0,COUNTA(K44:N44)),IF($H44=Lists!$S$6,COUNTIF(K44:N44,"&lt;"&amp;FORMULACIÓN!Q44)/COUNT('SEGUIMIENTO Y EVALUACIÓN'!K44:N44),""))))),"")</f>
        <v>0</v>
      </c>
      <c r="P44" s="51" t="str">
        <f ca="1">IF($G44=Lists!$R$3,TEXT('SEGUIMIENTO Y EVALUACIÓN'!O44,"00,00%"),IF('SEGUIMIENTO Y EVALUACIÓN'!O44=0,0,TEXT('SEGUIMIENTO Y EVALUACIÓN'!O44,"##.###")))</f>
        <v>00,00%</v>
      </c>
      <c r="Q44" s="209" t="str">
        <f>IF(FORMULACIÓN!R44&lt;&gt;"",FORMULACIÓN!R44,"")</f>
        <v>P1 - Excelencia académica</v>
      </c>
      <c r="R44" s="209">
        <f>IF(FORMULACIÓN!S44&lt;&gt;"",FORMULACIÓN!S44,"")</f>
        <v>0.02</v>
      </c>
      <c r="S44" s="209" t="str">
        <f>IF(FORMULACIÓN!T44&lt;&gt;"",FORMULACIÓN!T44,"")</f>
        <v>Vicerrector de Docencia</v>
      </c>
      <c r="T44" s="42"/>
      <c r="U44" s="42"/>
      <c r="V44" s="42"/>
      <c r="W44" s="43" t="str">
        <f t="shared" si="0"/>
        <v/>
      </c>
      <c r="X44" s="42"/>
      <c r="Y44" s="42"/>
      <c r="Z44" s="42"/>
      <c r="AA44" s="43" t="str">
        <f t="shared" si="1"/>
        <v/>
      </c>
      <c r="AB44" s="42"/>
      <c r="AC44" s="42"/>
      <c r="AD44" s="42"/>
      <c r="AE44" s="43" t="str">
        <f t="shared" si="2"/>
        <v/>
      </c>
      <c r="AF44" s="42"/>
      <c r="AG44" s="42"/>
      <c r="AH44" s="42"/>
      <c r="AI44" s="46" t="str">
        <f t="shared" si="3"/>
        <v/>
      </c>
      <c r="AJ44" s="46" t="str">
        <f>IF(SUM(AA44,AE44,W44,AI44)=0,"",SUM((AA44,AE44,W44,AI44)))</f>
        <v/>
      </c>
      <c r="AK44"/>
      <c r="AL44" s="1" t="str">
        <f t="shared" ref="AL44:AL75" si="7">LEFT($B44,2)&amp;LEFT($C44,2)&amp;LEFT($Q44,2)</f>
        <v>L1M5P1</v>
      </c>
      <c r="AM44" s="56" t="str">
        <f t="shared" ref="AM44:AM75" si="8">E44</f>
        <v xml:space="preserve">Implementación del Sistema Interno Integrado </v>
      </c>
      <c r="AN44" s="112" t="str">
        <f>IF($G44=Lists!$R$3,"T1: "&amp;TEXT(FORMULACIÓN!L44,"00,00%")&amp;CHAR(10)&amp;"T2: "&amp;TEXT(FORMULACIÓN!M44,"00,00%")&amp;CHAR(10)&amp;"T3: "&amp;TEXT(FORMULACIÓN!N44,"00,00%")&amp;CHAR(10)&amp;"Tn: "&amp;TEXT(FORMULACIÓN!O44,"00,00%"),IF(FORMULACIÓN!Q44=0,0,"T1: "&amp;TEXT(FORMULACIÓN!L44,"##.###")&amp;CHAR(10)&amp;"T2: "&amp;TEXT(FORMULACIÓN!M44,"##.###")&amp;CHAR(10)&amp;"T3: "&amp;TEXT(FORMULACIÓN!N44,"##.###")&amp;CHAR(10)&amp;"Tn: "&amp;TEXT(FORMULACIÓN!O44,"##.###")))</f>
        <v>T1: 30,00%
T2: 30,00%
T3: 20,00%
Tn: 20,00%</v>
      </c>
      <c r="AO44" s="117">
        <f>IFERROR(IF($H44=Lists!$S$6,IF(AND(FORMULACIÓN!L44&gt;K44,K44&gt;0),1,0),IF((K44/FORMULACIÓN!L44)&lt;&gt;0,K44/FORMULACIÓN!L44,0)),"")</f>
        <v>0</v>
      </c>
      <c r="AP44" s="117">
        <f>IFERROR(IF($H44=Lists!$S$6,IF(AND(FORMULACIÓN!M44&gt;L44,L44&gt;0),1,0),IF((L44/FORMULACIÓN!M44)&lt;&gt;0,L44/FORMULACIÓN!M44,0)),"")</f>
        <v>0</v>
      </c>
      <c r="AQ44" s="117">
        <f>IFERROR(IF($H44=Lists!$S$6,IF(AND(FORMULACIÓN!N44&gt;M44,M44&gt;0),1,0),IF((M44/FORMULACIÓN!N44)&lt;&gt;0,M44/FORMULACIÓN!N44,0)),"")</f>
        <v>0</v>
      </c>
      <c r="AR44" s="117">
        <f>IFERROR(IF($H44=Lists!$S$6,IF(AND(FORMULACIÓN!O44&gt;N44,N44&gt;0),1,0),IF((N44/FORMULACIÓN!O44)&lt;&gt;0,N44/FORMULACIÓN!O44,0)),"")</f>
        <v>0</v>
      </c>
      <c r="AS44" s="110"/>
      <c r="AT44" s="118" t="str">
        <f ca="1">IF($H44=Lists!$S$6,TEXT(COUNTIF('SEGUIMIENTO Y EVALUACIÓN'!K44:N44,"&lt;"&amp;FORMULACIÓN!Q44),"##.###")&amp;" / "&amp;TEXT(COUNTIF('SEGUIMIENTO Y EVALUACIÓN'!K44:N44,"&gt;"&amp;0),"##.###"),IF($G44=Lists!$R$3,TEXT('SEGUIMIENTO Y EVALUACIÓN'!O44,"00,00%")&amp;" / "&amp;TEXT(FORMULACIÓN!P44,"00,00%"),IF('SEGUIMIENTO Y EVALUACIÓN'!O44=0,0,TEXT('SEGUIMIENTO Y EVALUACIÓN'!O44,"##.###")&amp;" / "&amp;TEXT(FORMULACIÓN!P44,"##.###"))))</f>
        <v>00,00% / 100,00%</v>
      </c>
      <c r="AU44" s="57">
        <f ca="1">IFERROR(IF((P44/FORMULACIÓN!Q44)&lt;&gt;0,IF($H44=Lists!$S$6,COUNTIF('SEGUIMIENTO Y EVALUACIÓN'!K44:N44,"&lt;"&amp;FORMULACIÓN!Q44),'SEGUIMIENTO Y EVALUACIÓN'!P44)/IF($H44=Lists!$S$6,COUNTIF('SEGUIMIENTO Y EVALUACIÓN'!K44:N44,"&gt;"&amp;0),FORMULACIÓN!P44),0),0)</f>
        <v>0</v>
      </c>
      <c r="AV44" s="93">
        <f t="shared" ca="1" si="6"/>
        <v>0</v>
      </c>
      <c r="AW44" s="93" cm="1">
        <f t="array" ref="AW44">IF(INDEX(AO44:AU44,1,$AV$3)&gt;1,IF($AU$2=1,1,INDEX(AO44:AU44,1,$AV$3)),INDEX(AO44:AU44,1,$AV$3))</f>
        <v>0</v>
      </c>
      <c r="AX44"/>
      <c r="AY44" s="119" t="str">
        <f>IFERROR(IF((W44/FORMULACIÓN!X44)&lt;&gt;0,W44/FORMULACIÓN!X44,0),"")</f>
        <v/>
      </c>
      <c r="AZ44" s="119" t="str">
        <f>IFERROR(IF((AA44/FORMULACIÓN!AB44)&lt;&gt;0,AA44/FORMULACIÓN!AB44,0),"")</f>
        <v/>
      </c>
      <c r="BA44" s="119" t="str">
        <f>IFERROR(IF((AE44/FORMULACIÓN!AF44)&lt;&gt;0,(AE44/FORMULACIÓN!AF44),0),"")</f>
        <v/>
      </c>
      <c r="BB44" s="119" t="str">
        <f>IFERROR(IF((AI44/FORMULACIÓN!AJ44)&lt;&gt;0,AI44/FORMULACIÓN!AJ44,0),"")</f>
        <v/>
      </c>
      <c r="BC44" s="120" t="str">
        <f>IF('SEGUIMIENTO Y EVALUACIÓN'!AI44=0,0,TEXT('SEGUIMIENTO Y EVALUACIÓN'!AI44,"$ ##.###")&amp;" / "&amp;TEXT(FORMULACIÓN!AK44,"$ ##.###"))</f>
        <v xml:space="preserve"> / $ 13.832.921.744</v>
      </c>
      <c r="BD44" s="57">
        <f>IFERROR(IF((AJ44/FORMULACIÓN!AK44)&lt;&gt;0,AJ44/FORMULACIÓN!AK44,0),0)</f>
        <v>0</v>
      </c>
      <c r="BJ44"/>
      <c r="BK44"/>
      <c r="CL44" s="7"/>
    </row>
    <row r="45" spans="1:90" s="1" customFormat="1" ht="90">
      <c r="A45" s="45">
        <f>IF(FORMULACIÓN!A45="","",FORMULACIÓN!A45)</f>
        <v>34</v>
      </c>
      <c r="B45" s="45" t="str">
        <f>IF(FORMULACIÓN!B45="","",FORMULACIÓN!B45)</f>
        <v>L1 - Formación Académica Integral</v>
      </c>
      <c r="C45" s="45" t="str">
        <f>IF(FORMULACIÓN!E45="","",FORMULACIÓN!E45)</f>
        <v>M5 - Autoevaluación y acreditación Institucional y de programas académicos en el contexto nacional e internacional</v>
      </c>
      <c r="D45" s="45" t="str">
        <f>IF(FORMULACIÓN!F45="","",FORMULACIÓN!F45)</f>
        <v>Lograr el reconocimiento nacional e internacional de los procesos misionales y de apoyo a la gestión, con el sostenimiento de la acreditación institucional, el 70% de programas académicos acreditados a nivel nacional y al menos 5 a nivel internacional.</v>
      </c>
      <c r="E45" s="45" t="str">
        <f>IF(FORMULACIÓN!G45="","",FORMULACIÓN!G45)</f>
        <v>Sostenimiento de la Acreditación Institucional</v>
      </c>
      <c r="F45" s="45" t="str">
        <f>IF(FORMULACIÓN!H45="","",FORMULACIÓN!H45)</f>
        <v>Resolución de renovación de acreditación institucional otorgada por el MEN por un período superior a 4 años</v>
      </c>
      <c r="G45" s="45" t="str">
        <f>IF(FORMULACIÓN!I45="","",FORMULACIÓN!I45)</f>
        <v>Unidad</v>
      </c>
      <c r="H45" s="45" t="str">
        <f>IF(FORMULACIÓN!J45="","",FORMULACIÓN!J45)</f>
        <v>Nuevo gestionado durante la vigencia</v>
      </c>
      <c r="I45" s="188" t="str">
        <f ca="1">IF($G45=Lists!$R$3,"PDI: "&amp;TEXT(FORMULACIÓN!Q45,"00,00%")&amp;CHAR(10)&amp;CHAR(10)&amp;"T1: "&amp;TEXT(FORMULACIÓN!L45,"00,00%")&amp;CHAR(10)&amp;"T2: "&amp;TEXT(FORMULACIÓN!M45,"00,00%")&amp;CHAR(10)&amp;"T3: "&amp;TEXT(FORMULACIÓN!N45,"00,00%")&amp;CHAR(10)&amp;"Tn: "&amp;TEXT(FORMULACIÓN!O45,"00,00%"),IF(FORMULACIÓN!Q45=0,0,"PDI: "&amp;TEXT(FORMULACIÓN!Q45,"##.###")&amp;CHAR(10)&amp;CHAR(10)&amp;"T1: "&amp;TEXT(FORMULACIÓN!L45,"##.###")&amp;CHAR(10)&amp;"T2: "&amp;TEXT(FORMULACIÓN!M45,"##.###")&amp;CHAR(10)&amp;"T3: "&amp;TEXT(FORMULACIÓN!N45,"##.###")&amp;CHAR(10)&amp;"Tn: "&amp;TEXT(FORMULACIÓN!O45,"##.###")))</f>
        <v>PDI: 2
T1: 1
T2: 
T3: 
Tn: 1</v>
      </c>
      <c r="J45" s="122">
        <f>IF(FORMULACIÓN!K45&lt;&gt;"",FORMULACIÓN!K45,"")</f>
        <v>0</v>
      </c>
      <c r="K45" s="310">
        <v>1</v>
      </c>
      <c r="L45" s="58"/>
      <c r="M45" s="58"/>
      <c r="N45" s="58"/>
      <c r="O45" s="47">
        <f ca="1">IFERROR(IF($H45=Lists!$S$2,SUM('SEGUIMIENTO Y EVALUACIÓN'!J45:N45),IF('SEGUIMIENTO Y EVALUACIÓN'!$H45=Lists!$S$3,SUM('SEGUIMIENTO Y EVALUACIÓN'!K45:N45),IF('SEGUIMIENTO Y EVALUACIÓN'!$H45=Lists!$S$4,AVERAGE('SEGUIMIENTO Y EVALUACIÓN'!K45:N45),IF('SEGUIMIENTO Y EVALUACIÓN'!$H45=Lists!$S$5,OFFSET(J45,0,COUNTA(K45:N45)),IF($H45=Lists!$S$6,COUNTIF(K45:N45,"&lt;"&amp;FORMULACIÓN!Q45)/COUNT('SEGUIMIENTO Y EVALUACIÓN'!K45:N45),""))))),"")</f>
        <v>1</v>
      </c>
      <c r="P45" s="51" t="str">
        <f ca="1">IF($G45=Lists!$R$3,TEXT('SEGUIMIENTO Y EVALUACIÓN'!O45,"00,00%"),IF('SEGUIMIENTO Y EVALUACIÓN'!O45=0,0,TEXT('SEGUIMIENTO Y EVALUACIÓN'!O45,"##.###")))</f>
        <v>1</v>
      </c>
      <c r="Q45" s="209" t="str">
        <f>IF(FORMULACIÓN!R45&lt;&gt;"",FORMULACIÓN!R45,"")</f>
        <v>P1 - Excelencia académica</v>
      </c>
      <c r="R45" s="209">
        <f>IF(FORMULACIÓN!S45&lt;&gt;"",FORMULACIÓN!S45,"")</f>
        <v>0.02</v>
      </c>
      <c r="S45" s="209" t="str">
        <f>IF(FORMULACIÓN!T45&lt;&gt;"",FORMULACIÓN!T45,"")</f>
        <v>Vicerrector de Docencia</v>
      </c>
      <c r="T45" s="42"/>
      <c r="U45" s="42"/>
      <c r="V45" s="42"/>
      <c r="W45" s="43" t="str">
        <f t="shared" si="0"/>
        <v/>
      </c>
      <c r="X45" s="42"/>
      <c r="Y45" s="42"/>
      <c r="Z45" s="42"/>
      <c r="AA45" s="43" t="str">
        <f t="shared" si="1"/>
        <v/>
      </c>
      <c r="AB45" s="42"/>
      <c r="AC45" s="42"/>
      <c r="AD45" s="42"/>
      <c r="AE45" s="43" t="str">
        <f t="shared" si="2"/>
        <v/>
      </c>
      <c r="AF45" s="42"/>
      <c r="AG45" s="42"/>
      <c r="AH45" s="42"/>
      <c r="AI45" s="46" t="str">
        <f t="shared" si="3"/>
        <v/>
      </c>
      <c r="AJ45" s="46" t="str">
        <f>IF(SUM(AA45,AE45,W45,AI45)=0,"",SUM((AA45,AE45,W45,AI45)))</f>
        <v/>
      </c>
      <c r="AK45"/>
      <c r="AL45" s="1" t="str">
        <f t="shared" si="7"/>
        <v>L1M5P1</v>
      </c>
      <c r="AM45" s="56" t="str">
        <f t="shared" si="8"/>
        <v>Sostenimiento de la Acreditación Institucional</v>
      </c>
      <c r="AN45" s="112" t="str">
        <f ca="1">IF($G45=Lists!$R$3,"T1: "&amp;TEXT(FORMULACIÓN!L45,"00,00%")&amp;CHAR(10)&amp;"T2: "&amp;TEXT(FORMULACIÓN!M45,"00,00%")&amp;CHAR(10)&amp;"T3: "&amp;TEXT(FORMULACIÓN!N45,"00,00%")&amp;CHAR(10)&amp;"Tn: "&amp;TEXT(FORMULACIÓN!O45,"00,00%"),IF(FORMULACIÓN!Q45=0,0,"T1: "&amp;TEXT(FORMULACIÓN!L45,"##.###")&amp;CHAR(10)&amp;"T2: "&amp;TEXT(FORMULACIÓN!M45,"##.###")&amp;CHAR(10)&amp;"T3: "&amp;TEXT(FORMULACIÓN!N45,"##.###")&amp;CHAR(10)&amp;"Tn: "&amp;TEXT(FORMULACIÓN!O45,"##.###")))</f>
        <v>T1: 1
T2: 
T3: 
Tn: 1</v>
      </c>
      <c r="AO45" s="117">
        <f>IFERROR(IF($H45=Lists!$S$6,IF(AND(FORMULACIÓN!L45&gt;K45,K45&gt;0),1,0),IF((K45/FORMULACIÓN!L45)&lt;&gt;0,K45/FORMULACIÓN!L45,0)),"")</f>
        <v>1</v>
      </c>
      <c r="AP45" s="117" t="str">
        <f>IFERROR(IF($H45=Lists!$S$6,IF(AND(FORMULACIÓN!M45&gt;L45,L45&gt;0),1,0),IF((L45/FORMULACIÓN!M45)&lt;&gt;0,L45/FORMULACIÓN!M45,0)),"")</f>
        <v/>
      </c>
      <c r="AQ45" s="117" t="str">
        <f>IFERROR(IF($H45=Lists!$S$6,IF(AND(FORMULACIÓN!N45&gt;M45,M45&gt;0),1,0),IF((M45/FORMULACIÓN!N45)&lt;&gt;0,M45/FORMULACIÓN!N45,0)),"")</f>
        <v/>
      </c>
      <c r="AR45" s="117">
        <f>IFERROR(IF($H45=Lists!$S$6,IF(AND(FORMULACIÓN!O45&gt;N45,N45&gt;0),1,0),IF((N45/FORMULACIÓN!O45)&lt;&gt;0,N45/FORMULACIÓN!O45,0)),"")</f>
        <v>0</v>
      </c>
      <c r="AS45" s="110"/>
      <c r="AT45" s="118" t="str">
        <f ca="1">IF($H45=Lists!$S$6,TEXT(COUNTIF('SEGUIMIENTO Y EVALUACIÓN'!K45:N45,"&lt;"&amp;FORMULACIÓN!Q45),"##.###")&amp;" / "&amp;TEXT(COUNTIF('SEGUIMIENTO Y EVALUACIÓN'!K45:N45,"&gt;"&amp;0),"##.###"),IF($G45=Lists!$R$3,TEXT('SEGUIMIENTO Y EVALUACIÓN'!O45,"00,00%")&amp;" / "&amp;TEXT(FORMULACIÓN!P45,"00,00%"),IF('SEGUIMIENTO Y EVALUACIÓN'!O45=0,0,TEXT('SEGUIMIENTO Y EVALUACIÓN'!O45,"##.###")&amp;" / "&amp;TEXT(FORMULACIÓN!P45,"##.###"))))</f>
        <v>1 / 2</v>
      </c>
      <c r="AU45" s="57">
        <f ca="1">IFERROR(IF((P45/FORMULACIÓN!Q45)&lt;&gt;0,IF($H45=Lists!$S$6,COUNTIF('SEGUIMIENTO Y EVALUACIÓN'!K45:N45,"&lt;"&amp;FORMULACIÓN!Q45),'SEGUIMIENTO Y EVALUACIÓN'!P45)/IF($H45=Lists!$S$6,COUNTIF('SEGUIMIENTO Y EVALUACIÓN'!K45:N45,"&gt;"&amp;0),FORMULACIÓN!P45),0),0)</f>
        <v>0.5</v>
      </c>
      <c r="AV45" s="93">
        <f t="shared" ca="1" si="6"/>
        <v>0.01</v>
      </c>
      <c r="AW45" s="93" cm="1">
        <f t="array" ref="AW45">IF(INDEX(AO45:AU45,1,$AV$3)&gt;1,IF($AU$2=1,1,INDEX(AO45:AU45,1,$AV$3)),INDEX(AO45:AU45,1,$AV$3))</f>
        <v>1</v>
      </c>
      <c r="AX45"/>
      <c r="AY45" s="119" t="str">
        <f>IFERROR(IF((W45/FORMULACIÓN!X45)&lt;&gt;0,W45/FORMULACIÓN!X45,0),"")</f>
        <v/>
      </c>
      <c r="AZ45" s="119" t="str">
        <f>IFERROR(IF((AA45/FORMULACIÓN!AB45)&lt;&gt;0,AA45/FORMULACIÓN!AB45,0),"")</f>
        <v/>
      </c>
      <c r="BA45" s="119" t="str">
        <f>IFERROR(IF((AE45/FORMULACIÓN!AF45)&lt;&gt;0,(AE45/FORMULACIÓN!AF45),0),"")</f>
        <v/>
      </c>
      <c r="BB45" s="119" t="str">
        <f>IFERROR(IF((AI45/FORMULACIÓN!AJ45)&lt;&gt;0,AI45/FORMULACIÓN!AJ45,0),"")</f>
        <v/>
      </c>
      <c r="BC45" s="120" t="str">
        <f>IF('SEGUIMIENTO Y EVALUACIÓN'!AI45=0,0,TEXT('SEGUIMIENTO Y EVALUACIÓN'!AI45,"$ ##.###")&amp;" / "&amp;TEXT(FORMULACIÓN!AK45,"$ ##.###"))</f>
        <v xml:space="preserve"> / $ 17.232.309.497</v>
      </c>
      <c r="BD45" s="57">
        <f>IFERROR(IF((AJ45/FORMULACIÓN!AK45)&lt;&gt;0,AJ45/FORMULACIÓN!AK45,0),0)</f>
        <v>0</v>
      </c>
      <c r="BJ45"/>
      <c r="BK45"/>
      <c r="CL45" s="7"/>
    </row>
    <row r="46" spans="1:90" s="1" customFormat="1" ht="90">
      <c r="A46" s="45">
        <f>IF(FORMULACIÓN!A46="","",FORMULACIÓN!A46)</f>
        <v>35</v>
      </c>
      <c r="B46" s="45" t="str">
        <f>IF(FORMULACIÓN!B46="","",FORMULACIÓN!B46)</f>
        <v>L1 - Formación Académica Integral</v>
      </c>
      <c r="C46" s="45" t="str">
        <f>IF(FORMULACIÓN!E46="","",FORMULACIÓN!E46)</f>
        <v>M5 - Autoevaluación y acreditación Institucional y de programas académicos en el contexto nacional e internacional</v>
      </c>
      <c r="D46" s="45" t="str">
        <f>IF(FORMULACIÓN!F46="","",FORMULACIÓN!F46)</f>
        <v>Lograr el reconocimiento nacional e internacional de los procesos misionales y de apoyo a la gestión, con el sostenimiento de la acreditación institucional, el 70% de programas académicos acreditados a nivel nacional y al menos 5 a nivel internacional.</v>
      </c>
      <c r="E46" s="45" t="str">
        <f>IF(FORMULACIÓN!G46="","",FORMULACIÓN!G46)</f>
        <v>Porcentaje de programas académicos acreditados respecto a los acreditables</v>
      </c>
      <c r="F46" s="45" t="str">
        <f>IF(FORMULACIÓN!H46="","",FORMULACIÓN!H46)</f>
        <v>N° programas académicos acreditados / total de programas académicos acreditables * 100</v>
      </c>
      <c r="G46" s="45" t="str">
        <f>IF(FORMULACIÓN!I46="","",FORMULACIÓN!I46)</f>
        <v>Porcentaje</v>
      </c>
      <c r="H46" s="45" t="str">
        <f>IF(FORMULACIÓN!J46="","",FORMULACIÓN!J46)</f>
        <v>Último valor reportado</v>
      </c>
      <c r="I46" s="188" t="str">
        <f ca="1">IF($G46=Lists!$R$3,"PDI: "&amp;TEXT(FORMULACIÓN!Q46,"00,00%")&amp;CHAR(10)&amp;CHAR(10)&amp;"T1: "&amp;TEXT(FORMULACIÓN!L46,"00,00%")&amp;CHAR(10)&amp;"T2: "&amp;TEXT(FORMULACIÓN!M46,"00,00%")&amp;CHAR(10)&amp;"T3: "&amp;TEXT(FORMULACIÓN!N46,"00,00%")&amp;CHAR(10)&amp;"Tn: "&amp;TEXT(FORMULACIÓN!O46,"00,00%"),IF(FORMULACIÓN!Q46=0,0,"PDI: "&amp;TEXT(FORMULACIÓN!Q46,"##.###")&amp;CHAR(10)&amp;CHAR(10)&amp;"T1: "&amp;TEXT(FORMULACIÓN!L46,"##.###")&amp;CHAR(10)&amp;"T2: "&amp;TEXT(FORMULACIÓN!M46,"##.###")&amp;CHAR(10)&amp;"T3: "&amp;TEXT(FORMULACIÓN!N46,"##.###")&amp;CHAR(10)&amp;"Tn: "&amp;TEXT(FORMULACIÓN!O46,"##.###")))</f>
        <v>PDI: 70,00%
T1: 53,00%
T2: 60,00%
T3: 65,00%
Tn: 70,00%</v>
      </c>
      <c r="J46" s="122">
        <f>IF(FORMULACIÓN!K46&lt;&gt;"",FORMULACIÓN!K46,"")</f>
        <v>0.52</v>
      </c>
      <c r="K46" s="309">
        <v>0.63400000000000001</v>
      </c>
      <c r="L46" s="59"/>
      <c r="M46" s="59"/>
      <c r="N46" s="59"/>
      <c r="O46" s="47">
        <f ca="1">IFERROR(IF($H46=Lists!$S$2,SUM('SEGUIMIENTO Y EVALUACIÓN'!J46:N46),IF('SEGUIMIENTO Y EVALUACIÓN'!$H46=Lists!$S$3,SUM('SEGUIMIENTO Y EVALUACIÓN'!K46:N46),IF('SEGUIMIENTO Y EVALUACIÓN'!$H46=Lists!$S$4,AVERAGE('SEGUIMIENTO Y EVALUACIÓN'!K46:N46),IF('SEGUIMIENTO Y EVALUACIÓN'!$H46=Lists!$S$5,OFFSET(J46,0,COUNTA(K46:N46)),IF($H46=Lists!$S$6,COUNTIF(K46:N46,"&lt;"&amp;FORMULACIÓN!Q46)/COUNT('SEGUIMIENTO Y EVALUACIÓN'!K46:N46),""))))),"")</f>
        <v>0.63400000000000001</v>
      </c>
      <c r="P46" s="51" t="str">
        <f ca="1">IF($G46=Lists!$R$3,TEXT('SEGUIMIENTO Y EVALUACIÓN'!O46,"00,00%"),IF('SEGUIMIENTO Y EVALUACIÓN'!O46=0,0,TEXT('SEGUIMIENTO Y EVALUACIÓN'!O46,"##.###")))</f>
        <v>63,40%</v>
      </c>
      <c r="Q46" s="209" t="str">
        <f>IF(FORMULACIÓN!R46&lt;&gt;"",FORMULACIÓN!R46,"")</f>
        <v>P1 - Excelencia académica</v>
      </c>
      <c r="R46" s="209">
        <f>IF(FORMULACIÓN!S46&lt;&gt;"",FORMULACIÓN!S46,"")</f>
        <v>0.02</v>
      </c>
      <c r="S46" s="209" t="str">
        <f>IF(FORMULACIÓN!T46&lt;&gt;"",FORMULACIÓN!T46,"")</f>
        <v>Vicerrector de Docencia</v>
      </c>
      <c r="T46" s="42"/>
      <c r="U46" s="42"/>
      <c r="V46" s="42"/>
      <c r="W46" s="43" t="str">
        <f t="shared" si="0"/>
        <v/>
      </c>
      <c r="X46" s="42"/>
      <c r="Y46" s="42"/>
      <c r="Z46" s="42"/>
      <c r="AA46" s="43" t="str">
        <f t="shared" si="1"/>
        <v/>
      </c>
      <c r="AB46" s="42"/>
      <c r="AC46" s="42"/>
      <c r="AD46" s="42"/>
      <c r="AE46" s="43" t="str">
        <f t="shared" si="2"/>
        <v/>
      </c>
      <c r="AF46" s="42"/>
      <c r="AG46" s="42"/>
      <c r="AH46" s="42"/>
      <c r="AI46" s="46" t="str">
        <f t="shared" si="3"/>
        <v/>
      </c>
      <c r="AJ46" s="46" t="str">
        <f>IF(SUM(AA46,AE46,W46,AI46)=0,"",SUM((AA46,AE46,W46,AI46)))</f>
        <v/>
      </c>
      <c r="AK46"/>
      <c r="AL46" s="1" t="str">
        <f t="shared" si="7"/>
        <v>L1M5P1</v>
      </c>
      <c r="AM46" s="56" t="str">
        <f t="shared" si="8"/>
        <v>Porcentaje de programas académicos acreditados respecto a los acreditables</v>
      </c>
      <c r="AN46" s="112" t="str">
        <f>IF($G46=Lists!$R$3,"T1: "&amp;TEXT(FORMULACIÓN!L46,"00,00%")&amp;CHAR(10)&amp;"T2: "&amp;TEXT(FORMULACIÓN!M46,"00,00%")&amp;CHAR(10)&amp;"T3: "&amp;TEXT(FORMULACIÓN!N46,"00,00%")&amp;CHAR(10)&amp;"Tn: "&amp;TEXT(FORMULACIÓN!O46,"00,00%"),IF(FORMULACIÓN!Q46=0,0,"T1: "&amp;TEXT(FORMULACIÓN!L46,"##.###")&amp;CHAR(10)&amp;"T2: "&amp;TEXT(FORMULACIÓN!M46,"##.###")&amp;CHAR(10)&amp;"T3: "&amp;TEXT(FORMULACIÓN!N46,"##.###")&amp;CHAR(10)&amp;"Tn: "&amp;TEXT(FORMULACIÓN!O46,"##.###")))</f>
        <v>T1: 53,00%
T2: 60,00%
T3: 65,00%
Tn: 70,00%</v>
      </c>
      <c r="AO46" s="117">
        <f>IFERROR(IF($H46=Lists!$S$6,IF(AND(FORMULACIÓN!L46&gt;K46,K46&gt;0),1,0),IF((K46/FORMULACIÓN!L46)&lt;&gt;0,K46/FORMULACIÓN!L46,0)),"")</f>
        <v>1.1962264150943396</v>
      </c>
      <c r="AP46" s="117">
        <f>IFERROR(IF($H46=Lists!$S$6,IF(AND(FORMULACIÓN!M46&gt;L46,L46&gt;0),1,0),IF((L46/FORMULACIÓN!M46)&lt;&gt;0,L46/FORMULACIÓN!M46,0)),"")</f>
        <v>0</v>
      </c>
      <c r="AQ46" s="117">
        <f>IFERROR(IF($H46=Lists!$S$6,IF(AND(FORMULACIÓN!N46&gt;M46,M46&gt;0),1,0),IF((M46/FORMULACIÓN!N46)&lt;&gt;0,M46/FORMULACIÓN!N46,0)),"")</f>
        <v>0</v>
      </c>
      <c r="AR46" s="117">
        <f>IFERROR(IF($H46=Lists!$S$6,IF(AND(FORMULACIÓN!O46&gt;N46,N46&gt;0),1,0),IF((N46/FORMULACIÓN!O46)&lt;&gt;0,N46/FORMULACIÓN!O46,0)),"")</f>
        <v>0</v>
      </c>
      <c r="AS46" s="110"/>
      <c r="AT46" s="118" t="str">
        <f ca="1">IF($H46=Lists!$S$6,TEXT(COUNTIF('SEGUIMIENTO Y EVALUACIÓN'!K46:N46,"&lt;"&amp;FORMULACIÓN!Q46),"##.###")&amp;" / "&amp;TEXT(COUNTIF('SEGUIMIENTO Y EVALUACIÓN'!K46:N46,"&gt;"&amp;0),"##.###"),IF($G46=Lists!$R$3,TEXT('SEGUIMIENTO Y EVALUACIÓN'!O46,"00,00%")&amp;" / "&amp;TEXT(FORMULACIÓN!P46,"00,00%"),IF('SEGUIMIENTO Y EVALUACIÓN'!O46=0,0,TEXT('SEGUIMIENTO Y EVALUACIÓN'!O46,"##.###")&amp;" / "&amp;TEXT(FORMULACIÓN!P46,"##.###"))))</f>
        <v>63,40% / 70,00%</v>
      </c>
      <c r="AU46" s="57">
        <f ca="1">IFERROR(IF((P46/FORMULACIÓN!Q46)&lt;&gt;0,IF($H46=Lists!$S$6,COUNTIF('SEGUIMIENTO Y EVALUACIÓN'!K46:N46,"&lt;"&amp;FORMULACIÓN!Q46),'SEGUIMIENTO Y EVALUACIÓN'!P46)/IF($H46=Lists!$S$6,COUNTIF('SEGUIMIENTO Y EVALUACIÓN'!K46:N46,"&gt;"&amp;0),FORMULACIÓN!P46),0),0)</f>
        <v>0.90571428571428581</v>
      </c>
      <c r="AV46" s="93">
        <f t="shared" ca="1" si="6"/>
        <v>1.8114285714285718E-2</v>
      </c>
      <c r="AW46" s="93" cm="1">
        <f t="array" ref="AW46">IF(INDEX(AO46:AU46,1,$AV$3)&gt;1,IF($AU$2=1,1,INDEX(AO46:AU46,1,$AV$3)),INDEX(AO46:AU46,1,$AV$3))</f>
        <v>1</v>
      </c>
      <c r="AX46"/>
      <c r="AY46" s="119" t="str">
        <f>IFERROR(IF((W46/FORMULACIÓN!X46)&lt;&gt;0,W46/FORMULACIÓN!X46,0),"")</f>
        <v/>
      </c>
      <c r="AZ46" s="119" t="str">
        <f>IFERROR(IF((AA46/FORMULACIÓN!AB46)&lt;&gt;0,AA46/FORMULACIÓN!AB46,0),"")</f>
        <v/>
      </c>
      <c r="BA46" s="119" t="str">
        <f>IFERROR(IF((AE46/FORMULACIÓN!AF46)&lt;&gt;0,(AE46/FORMULACIÓN!AF46),0),"")</f>
        <v/>
      </c>
      <c r="BB46" s="119" t="str">
        <f>IFERROR(IF((AI46/FORMULACIÓN!AJ46)&lt;&gt;0,AI46/FORMULACIÓN!AJ46,0),"")</f>
        <v/>
      </c>
      <c r="BC46" s="120" t="str">
        <f>IF('SEGUIMIENTO Y EVALUACIÓN'!AI46=0,0,TEXT('SEGUIMIENTO Y EVALUACIÓN'!AI46,"$ ##.###")&amp;" / "&amp;TEXT(FORMULACIÓN!AK46,"$ ##.###"))</f>
        <v xml:space="preserve"> / $ 13.832.921.744</v>
      </c>
      <c r="BD46" s="57">
        <f>IFERROR(IF((AJ46/FORMULACIÓN!AK46)&lt;&gt;0,AJ46/FORMULACIÓN!AK46,0),0)</f>
        <v>0</v>
      </c>
      <c r="BJ46"/>
      <c r="BK46"/>
      <c r="CL46" s="7"/>
    </row>
    <row r="47" spans="1:90" s="1" customFormat="1" ht="90">
      <c r="A47" s="45">
        <f>IF(FORMULACIÓN!A47="","",FORMULACIÓN!A47)</f>
        <v>36</v>
      </c>
      <c r="B47" s="45" t="str">
        <f>IF(FORMULACIÓN!B47="","",FORMULACIÓN!B47)</f>
        <v>L1 - Formación Académica Integral</v>
      </c>
      <c r="C47" s="45" t="str">
        <f>IF(FORMULACIÓN!E47="","",FORMULACIÓN!E47)</f>
        <v>M5 - Autoevaluación y acreditación Institucional y de programas académicos en el contexto nacional e internacional</v>
      </c>
      <c r="D47" s="45" t="str">
        <f>IF(FORMULACIÓN!F47="","",FORMULACIÓN!F47)</f>
        <v>Lograr el reconocimiento nacional e internacional de los procesos misionales y de apoyo a la gestión, con el sostenimiento de la acreditación institucional, el 70% de programas académicos acreditados a nivel nacional y al menos 5 a nivel internacional.</v>
      </c>
      <c r="E47" s="45" t="str">
        <f>IF(FORMULACIÓN!G47="","",FORMULACIÓN!G47)</f>
        <v>Programas académicos acreditados internacionalmente</v>
      </c>
      <c r="F47" s="45" t="str">
        <f>IF(FORMULACIÓN!H47="","",FORMULACIÓN!H47)</f>
        <v>N° de programas acreditados internacionalmente</v>
      </c>
      <c r="G47" s="45" t="str">
        <f>IF(FORMULACIÓN!I47="","",FORMULACIÓN!I47)</f>
        <v>Unidad</v>
      </c>
      <c r="H47" s="45" t="str">
        <f>IF(FORMULACIÓN!J47="","",FORMULACIÓN!J47)</f>
        <v>Acumulado</v>
      </c>
      <c r="I47" s="188" t="str">
        <f ca="1">IF($G47=Lists!$R$3,"PDI: "&amp;TEXT(FORMULACIÓN!Q47,"00,00%")&amp;CHAR(10)&amp;CHAR(10)&amp;"T1: "&amp;TEXT(FORMULACIÓN!L47,"00,00%")&amp;CHAR(10)&amp;"T2: "&amp;TEXT(FORMULACIÓN!M47,"00,00%")&amp;CHAR(10)&amp;"T3: "&amp;TEXT(FORMULACIÓN!N47,"00,00%")&amp;CHAR(10)&amp;"Tn: "&amp;TEXT(FORMULACIÓN!O47,"00,00%"),IF(FORMULACIÓN!Q47=0,0,"PDI: "&amp;TEXT(FORMULACIÓN!Q47,"##.###")&amp;CHAR(10)&amp;CHAR(10)&amp;"T1: "&amp;TEXT(FORMULACIÓN!L47,"##.###")&amp;CHAR(10)&amp;"T2: "&amp;TEXT(FORMULACIÓN!M47,"##.###")&amp;CHAR(10)&amp;"T3: "&amp;TEXT(FORMULACIÓN!N47,"##.###")&amp;CHAR(10)&amp;"Tn: "&amp;TEXT(FORMULACIÓN!O47,"##.###")))</f>
        <v>PDI: 5
T1: 1
T2: 2
T3: 
Tn: 2</v>
      </c>
      <c r="J47" s="122">
        <f>IF(FORMULACIÓN!K47&lt;&gt;"",FORMULACIÓN!K47,"")</f>
        <v>0</v>
      </c>
      <c r="K47" s="310">
        <v>1</v>
      </c>
      <c r="L47" s="58"/>
      <c r="M47" s="58"/>
      <c r="N47" s="58"/>
      <c r="O47" s="47">
        <f ca="1">IFERROR(IF($H47=Lists!$S$2,SUM('SEGUIMIENTO Y EVALUACIÓN'!J47:N47),IF('SEGUIMIENTO Y EVALUACIÓN'!$H47=Lists!$S$3,SUM('SEGUIMIENTO Y EVALUACIÓN'!K47:N47),IF('SEGUIMIENTO Y EVALUACIÓN'!$H47=Lists!$S$4,AVERAGE('SEGUIMIENTO Y EVALUACIÓN'!K47:N47),IF('SEGUIMIENTO Y EVALUACIÓN'!$H47=Lists!$S$5,OFFSET(J47,0,COUNTA(K47:N47)),IF($H47=Lists!$S$6,COUNTIF(K47:N47,"&lt;"&amp;FORMULACIÓN!Q47)/COUNT('SEGUIMIENTO Y EVALUACIÓN'!K47:N47),""))))),"")</f>
        <v>1</v>
      </c>
      <c r="P47" s="51" t="str">
        <f ca="1">IF($G47=Lists!$R$3,TEXT('SEGUIMIENTO Y EVALUACIÓN'!O47,"00,00%"),IF('SEGUIMIENTO Y EVALUACIÓN'!O47=0,0,TEXT('SEGUIMIENTO Y EVALUACIÓN'!O47,"##.###")))</f>
        <v>1</v>
      </c>
      <c r="Q47" s="209" t="str">
        <f>IF(FORMULACIÓN!R47&lt;&gt;"",FORMULACIÓN!R47,"")</f>
        <v>P1 - Excelencia académica</v>
      </c>
      <c r="R47" s="209">
        <f>IF(FORMULACIÓN!S47&lt;&gt;"",FORMULACIÓN!S47,"")</f>
        <v>0.02</v>
      </c>
      <c r="S47" s="209" t="str">
        <f>IF(FORMULACIÓN!T47&lt;&gt;"",FORMULACIÓN!T47,"")</f>
        <v>Vicerrector de Docencia</v>
      </c>
      <c r="T47" s="42"/>
      <c r="U47" s="42"/>
      <c r="V47" s="42"/>
      <c r="W47" s="43" t="str">
        <f t="shared" si="0"/>
        <v/>
      </c>
      <c r="X47" s="42"/>
      <c r="Y47" s="42"/>
      <c r="Z47" s="42"/>
      <c r="AA47" s="43" t="str">
        <f t="shared" si="1"/>
        <v/>
      </c>
      <c r="AB47" s="42"/>
      <c r="AC47" s="42"/>
      <c r="AD47" s="42"/>
      <c r="AE47" s="43" t="str">
        <f t="shared" si="2"/>
        <v/>
      </c>
      <c r="AF47" s="42"/>
      <c r="AG47" s="42"/>
      <c r="AH47" s="42"/>
      <c r="AI47" s="46" t="str">
        <f t="shared" si="3"/>
        <v/>
      </c>
      <c r="AJ47" s="46" t="str">
        <f>IF(SUM(AA47,AE47,W47,AI47)=0,"",SUM((AA47,AE47,W47,AI47)))</f>
        <v/>
      </c>
      <c r="AK47"/>
      <c r="AL47" s="1" t="str">
        <f t="shared" si="7"/>
        <v>L1M5P1</v>
      </c>
      <c r="AM47" s="56" t="str">
        <f t="shared" si="8"/>
        <v>Programas académicos acreditados internacionalmente</v>
      </c>
      <c r="AN47" s="112" t="str">
        <f ca="1">IF($G47=Lists!$R$3,"T1: "&amp;TEXT(FORMULACIÓN!L47,"00,00%")&amp;CHAR(10)&amp;"T2: "&amp;TEXT(FORMULACIÓN!M47,"00,00%")&amp;CHAR(10)&amp;"T3: "&amp;TEXT(FORMULACIÓN!N47,"00,00%")&amp;CHAR(10)&amp;"Tn: "&amp;TEXT(FORMULACIÓN!O47,"00,00%"),IF(FORMULACIÓN!Q47=0,0,"T1: "&amp;TEXT(FORMULACIÓN!L47,"##.###")&amp;CHAR(10)&amp;"T2: "&amp;TEXT(FORMULACIÓN!M47,"##.###")&amp;CHAR(10)&amp;"T3: "&amp;TEXT(FORMULACIÓN!N47,"##.###")&amp;CHAR(10)&amp;"Tn: "&amp;TEXT(FORMULACIÓN!O47,"##.###")))</f>
        <v>T1: 1
T2: 2
T3: 
Tn: 2</v>
      </c>
      <c r="AO47" s="117">
        <f>IFERROR(IF($H47=Lists!$S$6,IF(AND(FORMULACIÓN!L47&gt;K47,K47&gt;0),1,0),IF((K47/FORMULACIÓN!L47)&lt;&gt;0,K47/FORMULACIÓN!L47,0)),"")</f>
        <v>1</v>
      </c>
      <c r="AP47" s="117">
        <f>IFERROR(IF($H47=Lists!$S$6,IF(AND(FORMULACIÓN!M47&gt;L47,L47&gt;0),1,0),IF((L47/FORMULACIÓN!M47)&lt;&gt;0,L47/FORMULACIÓN!M47,0)),"")</f>
        <v>0</v>
      </c>
      <c r="AQ47" s="117" t="str">
        <f>IFERROR(IF($H47=Lists!$S$6,IF(AND(FORMULACIÓN!N47&gt;M47,M47&gt;0),1,0),IF((M47/FORMULACIÓN!N47)&lt;&gt;0,M47/FORMULACIÓN!N47,0)),"")</f>
        <v/>
      </c>
      <c r="AR47" s="117">
        <f>IFERROR(IF($H47=Lists!$S$6,IF(AND(FORMULACIÓN!O47&gt;N47,N47&gt;0),1,0),IF((N47/FORMULACIÓN!O47)&lt;&gt;0,N47/FORMULACIÓN!O47,0)),"")</f>
        <v>0</v>
      </c>
      <c r="AS47" s="110"/>
      <c r="AT47" s="118" t="str">
        <f ca="1">IF($H47=Lists!$S$6,TEXT(COUNTIF('SEGUIMIENTO Y EVALUACIÓN'!K47:N47,"&lt;"&amp;FORMULACIÓN!Q47),"##.###")&amp;" / "&amp;TEXT(COUNTIF('SEGUIMIENTO Y EVALUACIÓN'!K47:N47,"&gt;"&amp;0),"##.###"),IF($G47=Lists!$R$3,TEXT('SEGUIMIENTO Y EVALUACIÓN'!O47,"00,00%")&amp;" / "&amp;TEXT(FORMULACIÓN!P47,"00,00%"),IF('SEGUIMIENTO Y EVALUACIÓN'!O47=0,0,TEXT('SEGUIMIENTO Y EVALUACIÓN'!O47,"##.###")&amp;" / "&amp;TEXT(FORMULACIÓN!P47,"##.###"))))</f>
        <v>1 / 5</v>
      </c>
      <c r="AU47" s="57">
        <f ca="1">IFERROR(IF((P47/FORMULACIÓN!Q47)&lt;&gt;0,IF($H47=Lists!$S$6,COUNTIF('SEGUIMIENTO Y EVALUACIÓN'!K47:N47,"&lt;"&amp;FORMULACIÓN!Q47),'SEGUIMIENTO Y EVALUACIÓN'!P47)/IF($H47=Lists!$S$6,COUNTIF('SEGUIMIENTO Y EVALUACIÓN'!K47:N47,"&gt;"&amp;0),FORMULACIÓN!P47),0),0)</f>
        <v>0.2</v>
      </c>
      <c r="AV47" s="93">
        <f t="shared" ca="1" si="6"/>
        <v>4.0000000000000001E-3</v>
      </c>
      <c r="AW47" s="93" cm="1">
        <f t="array" ref="AW47">IF(INDEX(AO47:AU47,1,$AV$3)&gt;1,IF($AU$2=1,1,INDEX(AO47:AU47,1,$AV$3)),INDEX(AO47:AU47,1,$AV$3))</f>
        <v>1</v>
      </c>
      <c r="AX47"/>
      <c r="AY47" s="119" t="str">
        <f>IFERROR(IF((W47/FORMULACIÓN!X47)&lt;&gt;0,W47/FORMULACIÓN!X47,0),"")</f>
        <v/>
      </c>
      <c r="AZ47" s="119" t="str">
        <f>IFERROR(IF((AA47/FORMULACIÓN!AB47)&lt;&gt;0,AA47/FORMULACIÓN!AB47,0),"")</f>
        <v/>
      </c>
      <c r="BA47" s="119" t="str">
        <f>IFERROR(IF((AE47/FORMULACIÓN!AF47)&lt;&gt;0,(AE47/FORMULACIÓN!AF47),0),"")</f>
        <v/>
      </c>
      <c r="BB47" s="119" t="str">
        <f>IFERROR(IF((AI47/FORMULACIÓN!AJ47)&lt;&gt;0,AI47/FORMULACIÓN!AJ47,0),"")</f>
        <v/>
      </c>
      <c r="BC47" s="120" t="str">
        <f>IF('SEGUIMIENTO Y EVALUACIÓN'!AI47=0,0,TEXT('SEGUIMIENTO Y EVALUACIÓN'!AI47,"$ ##.###")&amp;" / "&amp;TEXT(FORMULACIÓN!AK47,"$ ##.###"))</f>
        <v xml:space="preserve"> / $ 14.341.920.785</v>
      </c>
      <c r="BD47" s="57">
        <f>IFERROR(IF((AJ47/FORMULACIÓN!AK47)&lt;&gt;0,AJ47/FORMULACIÓN!AK47,0),0)</f>
        <v>0</v>
      </c>
      <c r="BJ47"/>
      <c r="BK47"/>
      <c r="CL47" s="7"/>
    </row>
    <row r="48" spans="1:90" s="1" customFormat="1" ht="90">
      <c r="A48" s="45">
        <f>IF(FORMULACIÓN!A48="","",FORMULACIÓN!A48)</f>
        <v>37</v>
      </c>
      <c r="B48" s="45" t="str">
        <f>IF(FORMULACIÓN!B48="","",FORMULACIÓN!B48)</f>
        <v>L1 - Formación Académica Integral</v>
      </c>
      <c r="C48" s="45" t="str">
        <f>IF(FORMULACIÓN!E48="","",FORMULACIÓN!E48)</f>
        <v>M5 - Autoevaluación y acreditación Institucional y de programas académicos en el contexto nacional e internacional</v>
      </c>
      <c r="D48" s="45" t="str">
        <f>IF(FORMULACIÓN!F48="","",FORMULACIÓN!F48)</f>
        <v>Fortalecer la oferta académica pertinente con 55 programas de pregrado, 25 especializaciones, 30 maestrías, 10 doctorados, de los cuales 15 tengan modalidad virtual o mixta.</v>
      </c>
      <c r="E48" s="45" t="str">
        <f>IF(FORMULACIÓN!G48="","",FORMULACIÓN!G48)</f>
        <v>Número de programas académicos de pregrado activos</v>
      </c>
      <c r="F48" s="45" t="str">
        <f>IF(FORMULACIÓN!H48="","",FORMULACIÓN!H48)</f>
        <v>N° de programas académicos de pregrado activos</v>
      </c>
      <c r="G48" s="45" t="str">
        <f>IF(FORMULACIÓN!I48="","",FORMULACIÓN!I48)</f>
        <v>Unidad</v>
      </c>
      <c r="H48" s="45" t="str">
        <f>IF(FORMULACIÓN!J48="","",FORMULACIÓN!J48)</f>
        <v>Acumulado</v>
      </c>
      <c r="I48" s="188" t="str">
        <f ca="1">IF($G48=Lists!$R$3,"PDI: "&amp;TEXT(FORMULACIÓN!Q48,"00,00%")&amp;CHAR(10)&amp;CHAR(10)&amp;"T1: "&amp;TEXT(FORMULACIÓN!L48,"00,00%")&amp;CHAR(10)&amp;"T2: "&amp;TEXT(FORMULACIÓN!M48,"00,00%")&amp;CHAR(10)&amp;"T3: "&amp;TEXT(FORMULACIÓN!N48,"00,00%")&amp;CHAR(10)&amp;"Tn: "&amp;TEXT(FORMULACIÓN!O48,"00,00%"),IF(FORMULACIÓN!Q48=0,0,"PDI: "&amp;TEXT(FORMULACIÓN!Q48,"##.###")&amp;CHAR(10)&amp;CHAR(10)&amp;"T1: "&amp;TEXT(FORMULACIÓN!L48,"##.###")&amp;CHAR(10)&amp;"T2: "&amp;TEXT(FORMULACIÓN!M48,"##.###")&amp;CHAR(10)&amp;"T3: "&amp;TEXT(FORMULACIÓN!N48,"##.###")&amp;CHAR(10)&amp;"Tn: "&amp;TEXT(FORMULACIÓN!O48,"##.###")))</f>
        <v>PDI: 55
T1: 
T2: 2
T3: 2
Tn: 1</v>
      </c>
      <c r="J48" s="122">
        <f>IF(FORMULACIÓN!K48&lt;&gt;"",FORMULACIÓN!K48,"")</f>
        <v>50</v>
      </c>
      <c r="K48" s="310">
        <v>1</v>
      </c>
      <c r="L48" s="58"/>
      <c r="M48" s="58"/>
      <c r="N48" s="58"/>
      <c r="O48" s="47">
        <f ca="1">IFERROR(IF($H48=Lists!$S$2,SUM('SEGUIMIENTO Y EVALUACIÓN'!J48:N48),IF('SEGUIMIENTO Y EVALUACIÓN'!$H48=Lists!$S$3,SUM('SEGUIMIENTO Y EVALUACIÓN'!K48:N48),IF('SEGUIMIENTO Y EVALUACIÓN'!$H48=Lists!$S$4,AVERAGE('SEGUIMIENTO Y EVALUACIÓN'!K48:N48),IF('SEGUIMIENTO Y EVALUACIÓN'!$H48=Lists!$S$5,OFFSET(J48,0,COUNTA(K48:N48)),IF($H48=Lists!$S$6,COUNTIF(K48:N48,"&lt;"&amp;FORMULACIÓN!Q48)/COUNT('SEGUIMIENTO Y EVALUACIÓN'!K48:N48),""))))),"")</f>
        <v>51</v>
      </c>
      <c r="P48" s="51" t="str">
        <f ca="1">IF($G48=Lists!$R$3,TEXT('SEGUIMIENTO Y EVALUACIÓN'!O48,"00,00%"),IF('SEGUIMIENTO Y EVALUACIÓN'!O48=0,0,TEXT('SEGUIMIENTO Y EVALUACIÓN'!O48,"##.###")))</f>
        <v>51</v>
      </c>
      <c r="Q48" s="209" t="str">
        <f>IF(FORMULACIÓN!R48&lt;&gt;"",FORMULACIÓN!R48,"")</f>
        <v>P2 - Ampliación y diversificación de la oferta académica</v>
      </c>
      <c r="R48" s="209">
        <f>IF(FORMULACIÓN!S48&lt;&gt;"",FORMULACIÓN!S48,"")</f>
        <v>0.01</v>
      </c>
      <c r="S48" s="209" t="str">
        <f>IF(FORMULACIÓN!T48&lt;&gt;"",FORMULACIÓN!T48,"")</f>
        <v>Vicerrector de Docencia</v>
      </c>
      <c r="T48" s="42"/>
      <c r="U48" s="42"/>
      <c r="V48" s="42"/>
      <c r="W48" s="43" t="str">
        <f t="shared" si="0"/>
        <v/>
      </c>
      <c r="X48" s="42"/>
      <c r="Y48" s="42"/>
      <c r="Z48" s="42"/>
      <c r="AA48" s="43" t="str">
        <f t="shared" si="1"/>
        <v/>
      </c>
      <c r="AB48" s="42"/>
      <c r="AC48" s="42"/>
      <c r="AD48" s="42"/>
      <c r="AE48" s="43" t="str">
        <f t="shared" si="2"/>
        <v/>
      </c>
      <c r="AF48" s="42"/>
      <c r="AG48" s="42"/>
      <c r="AH48" s="42"/>
      <c r="AI48" s="46" t="str">
        <f t="shared" si="3"/>
        <v/>
      </c>
      <c r="AJ48" s="46" t="str">
        <f>IF(SUM(AA48,AE48,W48,AI48)=0,"",SUM((AA48,AE48,W48,AI48)))</f>
        <v/>
      </c>
      <c r="AK48"/>
      <c r="AL48" s="1" t="str">
        <f t="shared" si="7"/>
        <v>L1M5P2</v>
      </c>
      <c r="AM48" s="56" t="str">
        <f t="shared" si="8"/>
        <v>Número de programas académicos de pregrado activos</v>
      </c>
      <c r="AN48" s="112" t="str">
        <f ca="1">IF($G48=Lists!$R$3,"T1: "&amp;TEXT(FORMULACIÓN!L48,"00,00%")&amp;CHAR(10)&amp;"T2: "&amp;TEXT(FORMULACIÓN!M48,"00,00%")&amp;CHAR(10)&amp;"T3: "&amp;TEXT(FORMULACIÓN!N48,"00,00%")&amp;CHAR(10)&amp;"Tn: "&amp;TEXT(FORMULACIÓN!O48,"00,00%"),IF(FORMULACIÓN!Q48=0,0,"T1: "&amp;TEXT(FORMULACIÓN!L48,"##.###")&amp;CHAR(10)&amp;"T2: "&amp;TEXT(FORMULACIÓN!M48,"##.###")&amp;CHAR(10)&amp;"T3: "&amp;TEXT(FORMULACIÓN!N48,"##.###")&amp;CHAR(10)&amp;"Tn: "&amp;TEXT(FORMULACIÓN!O48,"##.###")))</f>
        <v>T1: 
T2: 2
T3: 2
Tn: 1</v>
      </c>
      <c r="AO48" s="117" t="str">
        <f>IFERROR(IF($H48=Lists!$S$6,IF(AND(FORMULACIÓN!L48&gt;K48,K48&gt;0),1,0),IF((K48/FORMULACIÓN!L48)&lt;&gt;0,K48/FORMULACIÓN!L48,0)),"")</f>
        <v/>
      </c>
      <c r="AP48" s="117">
        <f>IFERROR(IF($H48=Lists!$S$6,IF(AND(FORMULACIÓN!M48&gt;L48,L48&gt;0),1,0),IF((L48/FORMULACIÓN!M48)&lt;&gt;0,L48/FORMULACIÓN!M48,0)),"")</f>
        <v>0</v>
      </c>
      <c r="AQ48" s="117">
        <f>IFERROR(IF($H48=Lists!$S$6,IF(AND(FORMULACIÓN!N48&gt;M48,M48&gt;0),1,0),IF((M48/FORMULACIÓN!N48)&lt;&gt;0,M48/FORMULACIÓN!N48,0)),"")</f>
        <v>0</v>
      </c>
      <c r="AR48" s="117">
        <f>IFERROR(IF($H48=Lists!$S$6,IF(AND(FORMULACIÓN!O48&gt;N48,N48&gt;0),1,0),IF((N48/FORMULACIÓN!O48)&lt;&gt;0,N48/FORMULACIÓN!O48,0)),"")</f>
        <v>0</v>
      </c>
      <c r="AS48" s="110"/>
      <c r="AT48" s="118" t="str">
        <f ca="1">IF($H48=Lists!$S$6,TEXT(COUNTIF('SEGUIMIENTO Y EVALUACIÓN'!K48:N48,"&lt;"&amp;FORMULACIÓN!Q48),"##.###")&amp;" / "&amp;TEXT(COUNTIF('SEGUIMIENTO Y EVALUACIÓN'!K48:N48,"&gt;"&amp;0),"##.###"),IF($G48=Lists!$R$3,TEXT('SEGUIMIENTO Y EVALUACIÓN'!O48,"00,00%")&amp;" / "&amp;TEXT(FORMULACIÓN!P48,"00,00%"),IF('SEGUIMIENTO Y EVALUACIÓN'!O48=0,0,TEXT('SEGUIMIENTO Y EVALUACIÓN'!O48,"##.###")&amp;" / "&amp;TEXT(FORMULACIÓN!P48,"##.###"))))</f>
        <v>51 / 55</v>
      </c>
      <c r="AU48" s="57">
        <f ca="1">IFERROR(IF((P48/FORMULACIÓN!Q48)&lt;&gt;0,IF($H48=Lists!$S$6,COUNTIF('SEGUIMIENTO Y EVALUACIÓN'!K48:N48,"&lt;"&amp;FORMULACIÓN!Q48),'SEGUIMIENTO Y EVALUACIÓN'!P48)/IF($H48=Lists!$S$6,COUNTIF('SEGUIMIENTO Y EVALUACIÓN'!K48:N48,"&gt;"&amp;0),FORMULACIÓN!P48),0),0)</f>
        <v>0.92727272727272725</v>
      </c>
      <c r="AV48" s="93">
        <f t="shared" ca="1" si="6"/>
        <v>9.2727272727272728E-3</v>
      </c>
      <c r="AW48" s="93" cm="1">
        <f t="array" ref="AW48">IF(INDEX(AO48:AU48,1,$AV$3)&gt;1,IF($AU$2=1,1,INDEX(AO48:AU48,1,$AV$3)),INDEX(AO48:AU48,1,$AV$3))</f>
        <v>1</v>
      </c>
      <c r="AX48"/>
      <c r="AY48" s="119" t="str">
        <f>IFERROR(IF((W48/FORMULACIÓN!X48)&lt;&gt;0,W48/FORMULACIÓN!X48,0),"")</f>
        <v/>
      </c>
      <c r="AZ48" s="119" t="str">
        <f>IFERROR(IF((AA48/FORMULACIÓN!AB48)&lt;&gt;0,AA48/FORMULACIÓN!AB48,0),"")</f>
        <v/>
      </c>
      <c r="BA48" s="119" t="str">
        <f>IFERROR(IF((AE48/FORMULACIÓN!AF48)&lt;&gt;0,(AE48/FORMULACIÓN!AF48),0),"")</f>
        <v/>
      </c>
      <c r="BB48" s="119" t="str">
        <f>IFERROR(IF((AI48/FORMULACIÓN!AJ48)&lt;&gt;0,AI48/FORMULACIÓN!AJ48,0),"")</f>
        <v/>
      </c>
      <c r="BC48" s="120" t="str">
        <f>IF('SEGUIMIENTO Y EVALUACIÓN'!AI48=0,0,TEXT('SEGUIMIENTO Y EVALUACIÓN'!AI48,"$ ##.###")&amp;" / "&amp;TEXT(FORMULACIÓN!AK48,"$ ##.###"))</f>
        <v xml:space="preserve"> / $ 13.602.083.796</v>
      </c>
      <c r="BD48" s="57">
        <f>IFERROR(IF((AJ48/FORMULACIÓN!AK48)&lt;&gt;0,AJ48/FORMULACIÓN!AK48,0),0)</f>
        <v>0</v>
      </c>
      <c r="BJ48"/>
      <c r="BK48"/>
      <c r="CL48" s="7"/>
    </row>
    <row r="49" spans="1:90" s="1" customFormat="1" ht="90">
      <c r="A49" s="45">
        <f>IF(FORMULACIÓN!A49="","",FORMULACIÓN!A49)</f>
        <v>38</v>
      </c>
      <c r="B49" s="45" t="str">
        <f>IF(FORMULACIÓN!B49="","",FORMULACIÓN!B49)</f>
        <v>L1 - Formación Académica Integral</v>
      </c>
      <c r="C49" s="45" t="str">
        <f>IF(FORMULACIÓN!E49="","",FORMULACIÓN!E49)</f>
        <v>M5 - Autoevaluación y acreditación Institucional y de programas académicos en el contexto nacional e internacional</v>
      </c>
      <c r="D49" s="45" t="str">
        <f>IF(FORMULACIÓN!F49="","",FORMULACIÓN!F49)</f>
        <v>Fortalecer la oferta académica pertinente con 55 programas de pregrado, 25 especializaciones, 30 maestrías, 10 doctorados, de los cuales 15 tengan modalidad virtual o mixta.</v>
      </c>
      <c r="E49" s="45" t="str">
        <f>IF(FORMULACIÓN!G49="","",FORMULACIÓN!G49)</f>
        <v>Número de programas académicos en modalidad virtual o mixta activos</v>
      </c>
      <c r="F49" s="45" t="str">
        <f>IF(FORMULACIÓN!H49="","",FORMULACIÓN!H49)</f>
        <v>N° de programas académicos en modalidad virtual o mixta activos</v>
      </c>
      <c r="G49" s="45" t="str">
        <f>IF(FORMULACIÓN!I49="","",FORMULACIÓN!I49)</f>
        <v>Unidad</v>
      </c>
      <c r="H49" s="45" t="str">
        <f>IF(FORMULACIÓN!J49="","",FORMULACIÓN!J49)</f>
        <v>Acumulado</v>
      </c>
      <c r="I49" s="188" t="str">
        <f ca="1">IF($G49=Lists!$R$3,"PDI: "&amp;TEXT(FORMULACIÓN!Q49,"00,00%")&amp;CHAR(10)&amp;CHAR(10)&amp;"T1: "&amp;TEXT(FORMULACIÓN!L49,"00,00%")&amp;CHAR(10)&amp;"T2: "&amp;TEXT(FORMULACIÓN!M49,"00,00%")&amp;CHAR(10)&amp;"T3: "&amp;TEXT(FORMULACIÓN!N49,"00,00%")&amp;CHAR(10)&amp;"Tn: "&amp;TEXT(FORMULACIÓN!O49,"00,00%"),IF(FORMULACIÓN!Q49=0,0,"PDI: "&amp;TEXT(FORMULACIÓN!Q49,"##.###")&amp;CHAR(10)&amp;CHAR(10)&amp;"T1: "&amp;TEXT(FORMULACIÓN!L49,"##.###")&amp;CHAR(10)&amp;"T2: "&amp;TEXT(FORMULACIÓN!M49,"##.###")&amp;CHAR(10)&amp;"T3: "&amp;TEXT(FORMULACIÓN!N49,"##.###")&amp;CHAR(10)&amp;"Tn: "&amp;TEXT(FORMULACIÓN!O49,"##.###")))</f>
        <v>PDI: 15
T1: 2
T2: 4
T3: 4
Tn: 2</v>
      </c>
      <c r="J49" s="122">
        <f>IF(FORMULACIÓN!K49&lt;&gt;"",FORMULACIÓN!K49,"")</f>
        <v>3</v>
      </c>
      <c r="K49" s="310">
        <v>0</v>
      </c>
      <c r="L49" s="58"/>
      <c r="M49" s="58"/>
      <c r="N49" s="58"/>
      <c r="O49" s="47">
        <f ca="1">IFERROR(IF($H49=Lists!$S$2,SUM('SEGUIMIENTO Y EVALUACIÓN'!J49:N49),IF('SEGUIMIENTO Y EVALUACIÓN'!$H49=Lists!$S$3,SUM('SEGUIMIENTO Y EVALUACIÓN'!K49:N49),IF('SEGUIMIENTO Y EVALUACIÓN'!$H49=Lists!$S$4,AVERAGE('SEGUIMIENTO Y EVALUACIÓN'!K49:N49),IF('SEGUIMIENTO Y EVALUACIÓN'!$H49=Lists!$S$5,OFFSET(J49,0,COUNTA(K49:N49)),IF($H49=Lists!$S$6,COUNTIF(K49:N49,"&lt;"&amp;FORMULACIÓN!Q49)/COUNT('SEGUIMIENTO Y EVALUACIÓN'!K49:N49),""))))),"")</f>
        <v>3</v>
      </c>
      <c r="P49" s="51" t="str">
        <f ca="1">IF($G49=Lists!$R$3,TEXT('SEGUIMIENTO Y EVALUACIÓN'!O49,"00,00%"),IF('SEGUIMIENTO Y EVALUACIÓN'!O49=0,0,TEXT('SEGUIMIENTO Y EVALUACIÓN'!O49,"##.###")))</f>
        <v>3</v>
      </c>
      <c r="Q49" s="209" t="str">
        <f>IF(FORMULACIÓN!R49&lt;&gt;"",FORMULACIÓN!R49,"")</f>
        <v>P2 - Ampliación y diversificación de la oferta académica</v>
      </c>
      <c r="R49" s="209">
        <f>IF(FORMULACIÓN!S49&lt;&gt;"",FORMULACIÓN!S49,"")</f>
        <v>0.01</v>
      </c>
      <c r="S49" s="209" t="str">
        <f>IF(FORMULACIÓN!T49&lt;&gt;"",FORMULACIÓN!T49,"")</f>
        <v>Vicerrector de Docencia</v>
      </c>
      <c r="T49" s="42"/>
      <c r="U49" s="42"/>
      <c r="V49" s="42"/>
      <c r="W49" s="43" t="str">
        <f t="shared" si="0"/>
        <v/>
      </c>
      <c r="X49" s="42"/>
      <c r="Y49" s="42"/>
      <c r="Z49" s="42"/>
      <c r="AA49" s="43" t="str">
        <f t="shared" si="1"/>
        <v/>
      </c>
      <c r="AB49" s="42"/>
      <c r="AC49" s="42"/>
      <c r="AD49" s="42"/>
      <c r="AE49" s="43" t="str">
        <f t="shared" si="2"/>
        <v/>
      </c>
      <c r="AF49" s="42"/>
      <c r="AG49" s="42"/>
      <c r="AH49" s="42"/>
      <c r="AI49" s="46" t="str">
        <f t="shared" si="3"/>
        <v/>
      </c>
      <c r="AJ49" s="46" t="str">
        <f>IF(SUM(AA49,AE49,W49,AI49)=0,"",SUM((AA49,AE49,W49,AI49)))</f>
        <v/>
      </c>
      <c r="AK49"/>
      <c r="AL49" s="1" t="str">
        <f t="shared" si="7"/>
        <v>L1M5P2</v>
      </c>
      <c r="AM49" s="56" t="str">
        <f t="shared" si="8"/>
        <v>Número de programas académicos en modalidad virtual o mixta activos</v>
      </c>
      <c r="AN49" s="112" t="str">
        <f ca="1">IF($G49=Lists!$R$3,"T1: "&amp;TEXT(FORMULACIÓN!L49,"00,00%")&amp;CHAR(10)&amp;"T2: "&amp;TEXT(FORMULACIÓN!M49,"00,00%")&amp;CHAR(10)&amp;"T3: "&amp;TEXT(FORMULACIÓN!N49,"00,00%")&amp;CHAR(10)&amp;"Tn: "&amp;TEXT(FORMULACIÓN!O49,"00,00%"),IF(FORMULACIÓN!Q49=0,0,"T1: "&amp;TEXT(FORMULACIÓN!L49,"##.###")&amp;CHAR(10)&amp;"T2: "&amp;TEXT(FORMULACIÓN!M49,"##.###")&amp;CHAR(10)&amp;"T3: "&amp;TEXT(FORMULACIÓN!N49,"##.###")&amp;CHAR(10)&amp;"Tn: "&amp;TEXT(FORMULACIÓN!O49,"##.###")))</f>
        <v>T1: 2
T2: 4
T3: 4
Tn: 2</v>
      </c>
      <c r="AO49" s="117">
        <f>IFERROR(IF($H49=Lists!$S$6,IF(AND(FORMULACIÓN!L49&gt;K49,K49&gt;0),1,0),IF((K49/FORMULACIÓN!L49)&lt;&gt;0,K49/FORMULACIÓN!L49,0)),"")</f>
        <v>0</v>
      </c>
      <c r="AP49" s="117">
        <f>IFERROR(IF($H49=Lists!$S$6,IF(AND(FORMULACIÓN!M49&gt;L49,L49&gt;0),1,0),IF((L49/FORMULACIÓN!M49)&lt;&gt;0,L49/FORMULACIÓN!M49,0)),"")</f>
        <v>0</v>
      </c>
      <c r="AQ49" s="117">
        <f>IFERROR(IF($H49=Lists!$S$6,IF(AND(FORMULACIÓN!N49&gt;M49,M49&gt;0),1,0),IF((M49/FORMULACIÓN!N49)&lt;&gt;0,M49/FORMULACIÓN!N49,0)),"")</f>
        <v>0</v>
      </c>
      <c r="AR49" s="117">
        <f>IFERROR(IF($H49=Lists!$S$6,IF(AND(FORMULACIÓN!O49&gt;N49,N49&gt;0),1,0),IF((N49/FORMULACIÓN!O49)&lt;&gt;0,N49/FORMULACIÓN!O49,0)),"")</f>
        <v>0</v>
      </c>
      <c r="AS49" s="110"/>
      <c r="AT49" s="118" t="str">
        <f ca="1">IF($H49=Lists!$S$6,TEXT(COUNTIF('SEGUIMIENTO Y EVALUACIÓN'!K49:N49,"&lt;"&amp;FORMULACIÓN!Q49),"##.###")&amp;" / "&amp;TEXT(COUNTIF('SEGUIMIENTO Y EVALUACIÓN'!K49:N49,"&gt;"&amp;0),"##.###"),IF($G49=Lists!$R$3,TEXT('SEGUIMIENTO Y EVALUACIÓN'!O49,"00,00%")&amp;" / "&amp;TEXT(FORMULACIÓN!P49,"00,00%"),IF('SEGUIMIENTO Y EVALUACIÓN'!O49=0,0,TEXT('SEGUIMIENTO Y EVALUACIÓN'!O49,"##.###")&amp;" / "&amp;TEXT(FORMULACIÓN!P49,"##.###"))))</f>
        <v>3 / 15</v>
      </c>
      <c r="AU49" s="57">
        <f ca="1">IFERROR(IF((P49/FORMULACIÓN!Q49)&lt;&gt;0,IF($H49=Lists!$S$6,COUNTIF('SEGUIMIENTO Y EVALUACIÓN'!K49:N49,"&lt;"&amp;FORMULACIÓN!Q49),'SEGUIMIENTO Y EVALUACIÓN'!P49)/IF($H49=Lists!$S$6,COUNTIF('SEGUIMIENTO Y EVALUACIÓN'!K49:N49,"&gt;"&amp;0),FORMULACIÓN!P49),0),0)</f>
        <v>0.2</v>
      </c>
      <c r="AV49" s="93">
        <f t="shared" ca="1" si="6"/>
        <v>2E-3</v>
      </c>
      <c r="AW49" s="93" cm="1">
        <f t="array" ref="AW49">IF(INDEX(AO49:AU49,1,$AV$3)&gt;1,IF($AU$2=1,1,INDEX(AO49:AU49,1,$AV$3)),INDEX(AO49:AU49,1,$AV$3))</f>
        <v>0</v>
      </c>
      <c r="AX49"/>
      <c r="AY49" s="119" t="str">
        <f>IFERROR(IF((W49/FORMULACIÓN!X49)&lt;&gt;0,W49/FORMULACIÓN!X49,0),"")</f>
        <v/>
      </c>
      <c r="AZ49" s="119" t="str">
        <f>IFERROR(IF((AA49/FORMULACIÓN!AB49)&lt;&gt;0,AA49/FORMULACIÓN!AB49,0),"")</f>
        <v/>
      </c>
      <c r="BA49" s="119" t="str">
        <f>IFERROR(IF((AE49/FORMULACIÓN!AF49)&lt;&gt;0,(AE49/FORMULACIÓN!AF49),0),"")</f>
        <v/>
      </c>
      <c r="BB49" s="119" t="str">
        <f>IFERROR(IF((AI49/FORMULACIÓN!AJ49)&lt;&gt;0,AI49/FORMULACIÓN!AJ49,0),"")</f>
        <v/>
      </c>
      <c r="BC49" s="120" t="str">
        <f>IF('SEGUIMIENTO Y EVALUACIÓN'!AI49=0,0,TEXT('SEGUIMIENTO Y EVALUACIÓN'!AI49,"$ ##.###")&amp;" / "&amp;TEXT(FORMULACIÓN!AK49,"$ ##.###"))</f>
        <v xml:space="preserve"> / $ 18.436.766.917</v>
      </c>
      <c r="BD49" s="57">
        <f>IFERROR(IF((AJ49/FORMULACIÓN!AK49)&lt;&gt;0,AJ49/FORMULACIÓN!AK49,0),0)</f>
        <v>0</v>
      </c>
      <c r="BJ49"/>
      <c r="BK49"/>
      <c r="CL49" s="7"/>
    </row>
    <row r="50" spans="1:90" s="1" customFormat="1" ht="90">
      <c r="A50" s="45">
        <f>IF(FORMULACIÓN!A50="","",FORMULACIÓN!A50)</f>
        <v>39</v>
      </c>
      <c r="B50" s="45" t="str">
        <f>IF(FORMULACIÓN!B50="","",FORMULACIÓN!B50)</f>
        <v>L1 - Formación Académica Integral</v>
      </c>
      <c r="C50" s="45" t="str">
        <f>IF(FORMULACIÓN!E50="","",FORMULACIÓN!E50)</f>
        <v>M5 - Autoevaluación y acreditación Institucional y de programas académicos en el contexto nacional e internacional</v>
      </c>
      <c r="D50" s="45" t="str">
        <f>IF(FORMULACIÓN!F50="","",FORMULACIÓN!F50)</f>
        <v>Fortalecer la oferta académica pertinente con 55 programas de pregrado, 25 especializaciones, 30 maestrías, 10 doctorados, de los cuales 15 tengan modalidad virtual o mixta.</v>
      </c>
      <c r="E50" s="45" t="str">
        <f>IF(FORMULACIÓN!G50="","",FORMULACIÓN!G50)</f>
        <v>Número de programas académicos de posgrado activos</v>
      </c>
      <c r="F50" s="45" t="str">
        <f>IF(FORMULACIÓN!H50="","",FORMULACIÓN!H50)</f>
        <v>N° de programas académicos de especialización activos</v>
      </c>
      <c r="G50" s="45" t="str">
        <f>IF(FORMULACIÓN!I50="","",FORMULACIÓN!I50)</f>
        <v>Unidad</v>
      </c>
      <c r="H50" s="45" t="str">
        <f>IF(FORMULACIÓN!J50="","",FORMULACIÓN!J50)</f>
        <v>Acumulado</v>
      </c>
      <c r="I50" s="188" t="str">
        <f ca="1">IF($G50=Lists!$R$3,"PDI: "&amp;TEXT(FORMULACIÓN!Q50,"00,00%")&amp;CHAR(10)&amp;CHAR(10)&amp;"T1: "&amp;TEXT(FORMULACIÓN!L50,"00,00%")&amp;CHAR(10)&amp;"T2: "&amp;TEXT(FORMULACIÓN!M50,"00,00%")&amp;CHAR(10)&amp;"T3: "&amp;TEXT(FORMULACIÓN!N50,"00,00%")&amp;CHAR(10)&amp;"Tn: "&amp;TEXT(FORMULACIÓN!O50,"00,00%"),IF(FORMULACIÓN!Q50=0,0,"PDI: "&amp;TEXT(FORMULACIÓN!Q50,"##.###")&amp;CHAR(10)&amp;CHAR(10)&amp;"T1: "&amp;TEXT(FORMULACIÓN!L50,"##.###")&amp;CHAR(10)&amp;"T2: "&amp;TEXT(FORMULACIÓN!M50,"##.###")&amp;CHAR(10)&amp;"T3: "&amp;TEXT(FORMULACIÓN!N50,"##.###")&amp;CHAR(10)&amp;"Tn: "&amp;TEXT(FORMULACIÓN!O50,"##.###")))</f>
        <v>PDI: 25
T1: 2
T2: 2
T3: 2
Tn: 1</v>
      </c>
      <c r="J50" s="122">
        <f>IF(FORMULACIÓN!K50&lt;&gt;"",FORMULACIÓN!K50,"")</f>
        <v>18</v>
      </c>
      <c r="K50" s="310">
        <v>1</v>
      </c>
      <c r="L50" s="58"/>
      <c r="M50" s="58"/>
      <c r="N50" s="58"/>
      <c r="O50" s="47">
        <f ca="1">IFERROR(IF($H50=Lists!$S$2,SUM('SEGUIMIENTO Y EVALUACIÓN'!J50:N50),IF('SEGUIMIENTO Y EVALUACIÓN'!$H50=Lists!$S$3,SUM('SEGUIMIENTO Y EVALUACIÓN'!K50:N50),IF('SEGUIMIENTO Y EVALUACIÓN'!$H50=Lists!$S$4,AVERAGE('SEGUIMIENTO Y EVALUACIÓN'!K50:N50),IF('SEGUIMIENTO Y EVALUACIÓN'!$H50=Lists!$S$5,OFFSET(J50,0,COUNTA(K50:N50)),IF($H50=Lists!$S$6,COUNTIF(K50:N50,"&lt;"&amp;FORMULACIÓN!Q50)/COUNT('SEGUIMIENTO Y EVALUACIÓN'!K50:N50),""))))),"")</f>
        <v>19</v>
      </c>
      <c r="P50" s="51" t="str">
        <f ca="1">IF($G50=Lists!$R$3,TEXT('SEGUIMIENTO Y EVALUACIÓN'!O50,"00,00%"),IF('SEGUIMIENTO Y EVALUACIÓN'!O50=0,0,TEXT('SEGUIMIENTO Y EVALUACIÓN'!O50,"##.###")))</f>
        <v>19</v>
      </c>
      <c r="Q50" s="209" t="str">
        <f>IF(FORMULACIÓN!R50&lt;&gt;"",FORMULACIÓN!R50,"")</f>
        <v>P2 - Ampliación y diversificación de la oferta académica</v>
      </c>
      <c r="R50" s="209">
        <f>IF(FORMULACIÓN!S50&lt;&gt;"",FORMULACIÓN!S50,"")</f>
        <v>0.01</v>
      </c>
      <c r="S50" s="209" t="str">
        <f>IF(FORMULACIÓN!T50&lt;&gt;"",FORMULACIÓN!T50,"")</f>
        <v>Vicerrector de Docencia</v>
      </c>
      <c r="T50" s="42"/>
      <c r="U50" s="42"/>
      <c r="V50" s="42"/>
      <c r="W50" s="43" t="str">
        <f t="shared" si="0"/>
        <v/>
      </c>
      <c r="X50" s="42"/>
      <c r="Y50" s="42"/>
      <c r="Z50" s="42"/>
      <c r="AA50" s="43" t="str">
        <f t="shared" si="1"/>
        <v/>
      </c>
      <c r="AB50" s="42"/>
      <c r="AC50" s="42"/>
      <c r="AD50" s="42"/>
      <c r="AE50" s="43" t="str">
        <f t="shared" si="2"/>
        <v/>
      </c>
      <c r="AF50" s="42"/>
      <c r="AG50" s="42"/>
      <c r="AH50" s="42"/>
      <c r="AI50" s="46" t="str">
        <f t="shared" si="3"/>
        <v/>
      </c>
      <c r="AJ50" s="46" t="str">
        <f>IF(SUM(AA50,AE50,W50,AI50)=0,"",SUM((AA50,AE50,W50,AI50)))</f>
        <v/>
      </c>
      <c r="AK50"/>
      <c r="AL50" s="1" t="str">
        <f t="shared" si="7"/>
        <v>L1M5P2</v>
      </c>
      <c r="AM50" s="56" t="str">
        <f t="shared" si="8"/>
        <v>Número de programas académicos de posgrado activos</v>
      </c>
      <c r="AN50" s="112" t="str">
        <f ca="1">IF($G50=Lists!$R$3,"T1: "&amp;TEXT(FORMULACIÓN!L50,"00,00%")&amp;CHAR(10)&amp;"T2: "&amp;TEXT(FORMULACIÓN!M50,"00,00%")&amp;CHAR(10)&amp;"T3: "&amp;TEXT(FORMULACIÓN!N50,"00,00%")&amp;CHAR(10)&amp;"Tn: "&amp;TEXT(FORMULACIÓN!O50,"00,00%"),IF(FORMULACIÓN!Q50=0,0,"T1: "&amp;TEXT(FORMULACIÓN!L50,"##.###")&amp;CHAR(10)&amp;"T2: "&amp;TEXT(FORMULACIÓN!M50,"##.###")&amp;CHAR(10)&amp;"T3: "&amp;TEXT(FORMULACIÓN!N50,"##.###")&amp;CHAR(10)&amp;"Tn: "&amp;TEXT(FORMULACIÓN!O50,"##.###")))</f>
        <v>T1: 2
T2: 2
T3: 2
Tn: 1</v>
      </c>
      <c r="AO50" s="117">
        <f>IFERROR(IF($H50=Lists!$S$6,IF(AND(FORMULACIÓN!L50&gt;K50,K50&gt;0),1,0),IF((K50/FORMULACIÓN!L50)&lt;&gt;0,K50/FORMULACIÓN!L50,0)),"")</f>
        <v>0.5</v>
      </c>
      <c r="AP50" s="117">
        <f>IFERROR(IF($H50=Lists!$S$6,IF(AND(FORMULACIÓN!M50&gt;L50,L50&gt;0),1,0),IF((L50/FORMULACIÓN!M50)&lt;&gt;0,L50/FORMULACIÓN!M50,0)),"")</f>
        <v>0</v>
      </c>
      <c r="AQ50" s="117">
        <f>IFERROR(IF($H50=Lists!$S$6,IF(AND(FORMULACIÓN!N50&gt;M50,M50&gt;0),1,0),IF((M50/FORMULACIÓN!N50)&lt;&gt;0,M50/FORMULACIÓN!N50,0)),"")</f>
        <v>0</v>
      </c>
      <c r="AR50" s="117">
        <f>IFERROR(IF($H50=Lists!$S$6,IF(AND(FORMULACIÓN!O50&gt;N50,N50&gt;0),1,0),IF((N50/FORMULACIÓN!O50)&lt;&gt;0,N50/FORMULACIÓN!O50,0)),"")</f>
        <v>0</v>
      </c>
      <c r="AS50" s="110"/>
      <c r="AT50" s="118" t="str">
        <f ca="1">IF($H50=Lists!$S$6,TEXT(COUNTIF('SEGUIMIENTO Y EVALUACIÓN'!K50:N50,"&lt;"&amp;FORMULACIÓN!Q50),"##.###")&amp;" / "&amp;TEXT(COUNTIF('SEGUIMIENTO Y EVALUACIÓN'!K50:N50,"&gt;"&amp;0),"##.###"),IF($G50=Lists!$R$3,TEXT('SEGUIMIENTO Y EVALUACIÓN'!O50,"00,00%")&amp;" / "&amp;TEXT(FORMULACIÓN!P50,"00,00%"),IF('SEGUIMIENTO Y EVALUACIÓN'!O50=0,0,TEXT('SEGUIMIENTO Y EVALUACIÓN'!O50,"##.###")&amp;" / "&amp;TEXT(FORMULACIÓN!P50,"##.###"))))</f>
        <v>19 / 25</v>
      </c>
      <c r="AU50" s="57">
        <f ca="1">IFERROR(IF((P50/FORMULACIÓN!Q50)&lt;&gt;0,IF($H50=Lists!$S$6,COUNTIF('SEGUIMIENTO Y EVALUACIÓN'!K50:N50,"&lt;"&amp;FORMULACIÓN!Q50),'SEGUIMIENTO Y EVALUACIÓN'!P50)/IF($H50=Lists!$S$6,COUNTIF('SEGUIMIENTO Y EVALUACIÓN'!K50:N50,"&gt;"&amp;0),FORMULACIÓN!P50),0),0)</f>
        <v>0.76</v>
      </c>
      <c r="AV50" s="93">
        <f t="shared" ca="1" si="6"/>
        <v>7.6E-3</v>
      </c>
      <c r="AW50" s="93" cm="1">
        <f t="array" ref="AW50">IF(INDEX(AO50:AU50,1,$AV$3)&gt;1,IF($AU$2=1,1,INDEX(AO50:AU50,1,$AV$3)),INDEX(AO50:AU50,1,$AV$3))</f>
        <v>0.5</v>
      </c>
      <c r="AX50"/>
      <c r="AY50" s="119" t="str">
        <f>IFERROR(IF((W50/FORMULACIÓN!X50)&lt;&gt;0,W50/FORMULACIÓN!X50,0),"")</f>
        <v/>
      </c>
      <c r="AZ50" s="119" t="str">
        <f>IFERROR(IF((AA50/FORMULACIÓN!AB50)&lt;&gt;0,AA50/FORMULACIÓN!AB50,0),"")</f>
        <v/>
      </c>
      <c r="BA50" s="119" t="str">
        <f>IFERROR(IF((AE50/FORMULACIÓN!AF50)&lt;&gt;0,(AE50/FORMULACIÓN!AF50),0),"")</f>
        <v/>
      </c>
      <c r="BB50" s="119" t="str">
        <f>IFERROR(IF((AI50/FORMULACIÓN!AJ50)&lt;&gt;0,AI50/FORMULACIÓN!AJ50,0),"")</f>
        <v/>
      </c>
      <c r="BC50" s="120" t="str">
        <f>IF('SEGUIMIENTO Y EVALUACIÓN'!AI50=0,0,TEXT('SEGUIMIENTO Y EVALUACIÓN'!AI50,"$ ##.###")&amp;" / "&amp;TEXT(FORMULACIÓN!AK50,"$ ##.###"))</f>
        <v xml:space="preserve"> / $ 19.645.437.698</v>
      </c>
      <c r="BD50" s="57">
        <f>IFERROR(IF((AJ50/FORMULACIÓN!AK50)&lt;&gt;0,AJ50/FORMULACIÓN!AK50,0),0)</f>
        <v>0</v>
      </c>
      <c r="BJ50"/>
      <c r="BK50"/>
      <c r="CL50" s="7"/>
    </row>
    <row r="51" spans="1:90" s="1" customFormat="1" ht="90">
      <c r="A51" s="45">
        <f>IF(FORMULACIÓN!A51="","",FORMULACIÓN!A51)</f>
        <v>40</v>
      </c>
      <c r="B51" s="45" t="str">
        <f>IF(FORMULACIÓN!B51="","",FORMULACIÓN!B51)</f>
        <v>L1 - Formación Académica Integral</v>
      </c>
      <c r="C51" s="45" t="str">
        <f>IF(FORMULACIÓN!E51="","",FORMULACIÓN!E51)</f>
        <v>M5 - Autoevaluación y acreditación Institucional y de programas académicos en el contexto nacional e internacional</v>
      </c>
      <c r="D51" s="45" t="str">
        <f>IF(FORMULACIÓN!F51="","",FORMULACIÓN!F51)</f>
        <v>Fortalecer la oferta académica pertinente con 55 programas de pregrado, 25 especializaciones, 30 maestrías, 10 doctorados, de los cuales 15 tengan modalidad virtual o mixta.</v>
      </c>
      <c r="E51" s="45" t="str">
        <f>IF(FORMULACIÓN!G51="","",FORMULACIÓN!G51)</f>
        <v>Número de programas académicos de posgrado activos</v>
      </c>
      <c r="F51" s="45" t="str">
        <f>IF(FORMULACIÓN!H51="","",FORMULACIÓN!H51)</f>
        <v>N° de programas académicos de maestría activos</v>
      </c>
      <c r="G51" s="45" t="str">
        <f>IF(FORMULACIÓN!I51="","",FORMULACIÓN!I51)</f>
        <v>Unidad</v>
      </c>
      <c r="H51" s="45" t="str">
        <f>IF(FORMULACIÓN!J51="","",FORMULACIÓN!J51)</f>
        <v>Acumulado</v>
      </c>
      <c r="I51" s="188" t="str">
        <f ca="1">IF($G51=Lists!$R$3,"PDI: "&amp;TEXT(FORMULACIÓN!Q51,"00,00%")&amp;CHAR(10)&amp;CHAR(10)&amp;"T1: "&amp;TEXT(FORMULACIÓN!L51,"00,00%")&amp;CHAR(10)&amp;"T2: "&amp;TEXT(FORMULACIÓN!M51,"00,00%")&amp;CHAR(10)&amp;"T3: "&amp;TEXT(FORMULACIÓN!N51,"00,00%")&amp;CHAR(10)&amp;"Tn: "&amp;TEXT(FORMULACIÓN!O51,"00,00%"),IF(FORMULACIÓN!Q51=0,0,"PDI: "&amp;TEXT(FORMULACIÓN!Q51,"##.###")&amp;CHAR(10)&amp;CHAR(10)&amp;"T1: "&amp;TEXT(FORMULACIÓN!L51,"##.###")&amp;CHAR(10)&amp;"T2: "&amp;TEXT(FORMULACIÓN!M51,"##.###")&amp;CHAR(10)&amp;"T3: "&amp;TEXT(FORMULACIÓN!N51,"##.###")&amp;CHAR(10)&amp;"Tn: "&amp;TEXT(FORMULACIÓN!O51,"##.###")))</f>
        <v>PDI: 30
T1: 2
T2: 2
T3: 2
Tn: 1</v>
      </c>
      <c r="J51" s="122">
        <f>IF(FORMULACIÓN!K51&lt;&gt;"",FORMULACIÓN!K51,"")</f>
        <v>23</v>
      </c>
      <c r="K51" s="310">
        <v>0</v>
      </c>
      <c r="L51" s="58"/>
      <c r="M51" s="58"/>
      <c r="N51" s="58"/>
      <c r="O51" s="47">
        <f ca="1">IFERROR(IF($H51=Lists!$S$2,SUM('SEGUIMIENTO Y EVALUACIÓN'!J51:N51),IF('SEGUIMIENTO Y EVALUACIÓN'!$H51=Lists!$S$3,SUM('SEGUIMIENTO Y EVALUACIÓN'!K51:N51),IF('SEGUIMIENTO Y EVALUACIÓN'!$H51=Lists!$S$4,AVERAGE('SEGUIMIENTO Y EVALUACIÓN'!K51:N51),IF('SEGUIMIENTO Y EVALUACIÓN'!$H51=Lists!$S$5,OFFSET(J51,0,COUNTA(K51:N51)),IF($H51=Lists!$S$6,COUNTIF(K51:N51,"&lt;"&amp;FORMULACIÓN!Q51)/COUNT('SEGUIMIENTO Y EVALUACIÓN'!K51:N51),""))))),"")</f>
        <v>23</v>
      </c>
      <c r="P51" s="51" t="str">
        <f ca="1">IF($G51=Lists!$R$3,TEXT('SEGUIMIENTO Y EVALUACIÓN'!O51,"00,00%"),IF('SEGUIMIENTO Y EVALUACIÓN'!O51=0,0,TEXT('SEGUIMIENTO Y EVALUACIÓN'!O51,"##.###")))</f>
        <v>23</v>
      </c>
      <c r="Q51" s="209" t="str">
        <f>IF(FORMULACIÓN!R51&lt;&gt;"",FORMULACIÓN!R51,"")</f>
        <v>P2 - Ampliación y diversificación de la oferta académica</v>
      </c>
      <c r="R51" s="209">
        <f>IF(FORMULACIÓN!S51&lt;&gt;"",FORMULACIÓN!S51,"")</f>
        <v>0.01</v>
      </c>
      <c r="S51" s="209" t="str">
        <f>IF(FORMULACIÓN!T51&lt;&gt;"",FORMULACIÓN!T51,"")</f>
        <v>Vicerrector de Docencia</v>
      </c>
      <c r="T51" s="42"/>
      <c r="U51" s="42"/>
      <c r="V51" s="42"/>
      <c r="W51" s="43" t="str">
        <f t="shared" si="0"/>
        <v/>
      </c>
      <c r="X51" s="42"/>
      <c r="Y51" s="42"/>
      <c r="Z51" s="42"/>
      <c r="AA51" s="43" t="str">
        <f t="shared" si="1"/>
        <v/>
      </c>
      <c r="AB51" s="42"/>
      <c r="AC51" s="42"/>
      <c r="AD51" s="42"/>
      <c r="AE51" s="43" t="str">
        <f t="shared" si="2"/>
        <v/>
      </c>
      <c r="AF51" s="42"/>
      <c r="AG51" s="42"/>
      <c r="AH51" s="42"/>
      <c r="AI51" s="46" t="str">
        <f t="shared" si="3"/>
        <v/>
      </c>
      <c r="AJ51" s="46" t="str">
        <f>IF(SUM(AA51,AE51,W51,AI51)=0,"",SUM((AA51,AE51,W51,AI51)))</f>
        <v/>
      </c>
      <c r="AK51"/>
      <c r="AL51" s="1" t="str">
        <f t="shared" si="7"/>
        <v>L1M5P2</v>
      </c>
      <c r="AM51" s="56" t="str">
        <f t="shared" si="8"/>
        <v>Número de programas académicos de posgrado activos</v>
      </c>
      <c r="AN51" s="112" t="str">
        <f ca="1">IF($G51=Lists!$R$3,"T1: "&amp;TEXT(FORMULACIÓN!L51,"00,00%")&amp;CHAR(10)&amp;"T2: "&amp;TEXT(FORMULACIÓN!M51,"00,00%")&amp;CHAR(10)&amp;"T3: "&amp;TEXT(FORMULACIÓN!N51,"00,00%")&amp;CHAR(10)&amp;"Tn: "&amp;TEXT(FORMULACIÓN!O51,"00,00%"),IF(FORMULACIÓN!Q51=0,0,"T1: "&amp;TEXT(FORMULACIÓN!L51,"##.###")&amp;CHAR(10)&amp;"T2: "&amp;TEXT(FORMULACIÓN!M51,"##.###")&amp;CHAR(10)&amp;"T3: "&amp;TEXT(FORMULACIÓN!N51,"##.###")&amp;CHAR(10)&amp;"Tn: "&amp;TEXT(FORMULACIÓN!O51,"##.###")))</f>
        <v>T1: 2
T2: 2
T3: 2
Tn: 1</v>
      </c>
      <c r="AO51" s="117">
        <f>IFERROR(IF($H51=Lists!$S$6,IF(AND(FORMULACIÓN!L51&gt;K51,K51&gt;0),1,0),IF((K51/FORMULACIÓN!L51)&lt;&gt;0,K51/FORMULACIÓN!L51,0)),"")</f>
        <v>0</v>
      </c>
      <c r="AP51" s="117">
        <f>IFERROR(IF($H51=Lists!$S$6,IF(AND(FORMULACIÓN!M51&gt;L51,L51&gt;0),1,0),IF((L51/FORMULACIÓN!M51)&lt;&gt;0,L51/FORMULACIÓN!M51,0)),"")</f>
        <v>0</v>
      </c>
      <c r="AQ51" s="117">
        <f>IFERROR(IF($H51=Lists!$S$6,IF(AND(FORMULACIÓN!N51&gt;M51,M51&gt;0),1,0),IF((M51/FORMULACIÓN!N51)&lt;&gt;0,M51/FORMULACIÓN!N51,0)),"")</f>
        <v>0</v>
      </c>
      <c r="AR51" s="117">
        <f>IFERROR(IF($H51=Lists!$S$6,IF(AND(FORMULACIÓN!O51&gt;N51,N51&gt;0),1,0),IF((N51/FORMULACIÓN!O51)&lt;&gt;0,N51/FORMULACIÓN!O51,0)),"")</f>
        <v>0</v>
      </c>
      <c r="AS51" s="110"/>
      <c r="AT51" s="118" t="str">
        <f ca="1">IF($H51=Lists!$S$6,TEXT(COUNTIF('SEGUIMIENTO Y EVALUACIÓN'!K51:N51,"&lt;"&amp;FORMULACIÓN!Q51),"##.###")&amp;" / "&amp;TEXT(COUNTIF('SEGUIMIENTO Y EVALUACIÓN'!K51:N51,"&gt;"&amp;0),"##.###"),IF($G51=Lists!$R$3,TEXT('SEGUIMIENTO Y EVALUACIÓN'!O51,"00,00%")&amp;" / "&amp;TEXT(FORMULACIÓN!P51,"00,00%"),IF('SEGUIMIENTO Y EVALUACIÓN'!O51=0,0,TEXT('SEGUIMIENTO Y EVALUACIÓN'!O51,"##.###")&amp;" / "&amp;TEXT(FORMULACIÓN!P51,"##.###"))))</f>
        <v>23 / 30</v>
      </c>
      <c r="AU51" s="57">
        <f ca="1">IFERROR(IF((P51/FORMULACIÓN!Q51)&lt;&gt;0,IF($H51=Lists!$S$6,COUNTIF('SEGUIMIENTO Y EVALUACIÓN'!K51:N51,"&lt;"&amp;FORMULACIÓN!Q51),'SEGUIMIENTO Y EVALUACIÓN'!P51)/IF($H51=Lists!$S$6,COUNTIF('SEGUIMIENTO Y EVALUACIÓN'!K51:N51,"&gt;"&amp;0),FORMULACIÓN!P51),0),0)</f>
        <v>0.76666666666666672</v>
      </c>
      <c r="AV51" s="93">
        <f t="shared" ca="1" si="6"/>
        <v>7.6666666666666671E-3</v>
      </c>
      <c r="AW51" s="93" cm="1">
        <f t="array" ref="AW51">IF(INDEX(AO51:AU51,1,$AV$3)&gt;1,IF($AU$2=1,1,INDEX(AO51:AU51,1,$AV$3)),INDEX(AO51:AU51,1,$AV$3))</f>
        <v>0</v>
      </c>
      <c r="AX51"/>
      <c r="AY51" s="119" t="str">
        <f>IFERROR(IF((W51/FORMULACIÓN!X51)&lt;&gt;0,W51/FORMULACIÓN!X51,0),"")</f>
        <v/>
      </c>
      <c r="AZ51" s="119" t="str">
        <f>IFERROR(IF((AA51/FORMULACIÓN!AB51)&lt;&gt;0,AA51/FORMULACIÓN!AB51,0),"")</f>
        <v/>
      </c>
      <c r="BA51" s="119" t="str">
        <f>IFERROR(IF((AE51/FORMULACIÓN!AF51)&lt;&gt;0,(AE51/FORMULACIÓN!AF51),0),"")</f>
        <v/>
      </c>
      <c r="BB51" s="119" t="str">
        <f>IFERROR(IF((AI51/FORMULACIÓN!AJ51)&lt;&gt;0,AI51/FORMULACIÓN!AJ51,0),"")</f>
        <v/>
      </c>
      <c r="BC51" s="120" t="str">
        <f>IF('SEGUIMIENTO Y EVALUACIÓN'!AI51=0,0,TEXT('SEGUIMIENTO Y EVALUACIÓN'!AI51,"$ ##.###")&amp;" / "&amp;TEXT(FORMULACIÓN!AK51,"$ ##.###"))</f>
        <v xml:space="preserve"> / $ 22.062.779.258</v>
      </c>
      <c r="BD51" s="57">
        <f>IFERROR(IF((AJ51/FORMULACIÓN!AK51)&lt;&gt;0,AJ51/FORMULACIÓN!AK51,0),0)</f>
        <v>0</v>
      </c>
      <c r="BJ51"/>
      <c r="BK51"/>
      <c r="CL51" s="7"/>
    </row>
    <row r="52" spans="1:90" s="1" customFormat="1" ht="90">
      <c r="A52" s="45">
        <f>IF(FORMULACIÓN!A52="","",FORMULACIÓN!A52)</f>
        <v>41</v>
      </c>
      <c r="B52" s="45" t="str">
        <f>IF(FORMULACIÓN!B52="","",FORMULACIÓN!B52)</f>
        <v>L1 - Formación Académica Integral</v>
      </c>
      <c r="C52" s="45" t="str">
        <f>IF(FORMULACIÓN!E52="","",FORMULACIÓN!E52)</f>
        <v>M5 - Autoevaluación y acreditación Institucional y de programas académicos en el contexto nacional e internacional</v>
      </c>
      <c r="D52" s="45" t="str">
        <f>IF(FORMULACIÓN!F52="","",FORMULACIÓN!F52)</f>
        <v>Fortalecer la oferta académica pertinente con 55 programas de pregrado, 25 especializaciones, 30 maestrías, 10 doctorados, de los cuales 15 tengan modalidad virtual o mixta.</v>
      </c>
      <c r="E52" s="45" t="str">
        <f>IF(FORMULACIÓN!G52="","",FORMULACIÓN!G52)</f>
        <v>Número de programas académicos de posgrado activos</v>
      </c>
      <c r="F52" s="45" t="str">
        <f>IF(FORMULACIÓN!H52="","",FORMULACIÓN!H52)</f>
        <v>N° de programas de académicos de doctorado activos</v>
      </c>
      <c r="G52" s="45" t="str">
        <f>IF(FORMULACIÓN!I52="","",FORMULACIÓN!I52)</f>
        <v>Unidad</v>
      </c>
      <c r="H52" s="45" t="str">
        <f>IF(FORMULACIÓN!J52="","",FORMULACIÓN!J52)</f>
        <v>Acumulado</v>
      </c>
      <c r="I52" s="188" t="str">
        <f ca="1">IF($G52=Lists!$R$3,"PDI: "&amp;TEXT(FORMULACIÓN!Q52,"00,00%")&amp;CHAR(10)&amp;CHAR(10)&amp;"T1: "&amp;TEXT(FORMULACIÓN!L52,"00,00%")&amp;CHAR(10)&amp;"T2: "&amp;TEXT(FORMULACIÓN!M52,"00,00%")&amp;CHAR(10)&amp;"T3: "&amp;TEXT(FORMULACIÓN!N52,"00,00%")&amp;CHAR(10)&amp;"Tn: "&amp;TEXT(FORMULACIÓN!O52,"00,00%"),IF(FORMULACIÓN!Q52=0,0,"PDI: "&amp;TEXT(FORMULACIÓN!Q52,"##.###")&amp;CHAR(10)&amp;CHAR(10)&amp;"T1: "&amp;TEXT(FORMULACIÓN!L52,"##.###")&amp;CHAR(10)&amp;"T2: "&amp;TEXT(FORMULACIÓN!M52,"##.###")&amp;CHAR(10)&amp;"T3: "&amp;TEXT(FORMULACIÓN!N52,"##.###")&amp;CHAR(10)&amp;"Tn: "&amp;TEXT(FORMULACIÓN!O52,"##.###")))</f>
        <v>PDI: 10
T1: 2
T2: 1
T3: 2
Tn: 1</v>
      </c>
      <c r="J52" s="122">
        <f>IF(FORMULACIÓN!K52&lt;&gt;"",FORMULACIÓN!K52,"")</f>
        <v>4</v>
      </c>
      <c r="K52" s="310">
        <v>0</v>
      </c>
      <c r="L52" s="58"/>
      <c r="M52" s="58"/>
      <c r="N52" s="58"/>
      <c r="O52" s="47">
        <f ca="1">IFERROR(IF($H52=Lists!$S$2,SUM('SEGUIMIENTO Y EVALUACIÓN'!J52:N52),IF('SEGUIMIENTO Y EVALUACIÓN'!$H52=Lists!$S$3,SUM('SEGUIMIENTO Y EVALUACIÓN'!K52:N52),IF('SEGUIMIENTO Y EVALUACIÓN'!$H52=Lists!$S$4,AVERAGE('SEGUIMIENTO Y EVALUACIÓN'!K52:N52),IF('SEGUIMIENTO Y EVALUACIÓN'!$H52=Lists!$S$5,OFFSET(J52,0,COUNTA(K52:N52)),IF($H52=Lists!$S$6,COUNTIF(K52:N52,"&lt;"&amp;FORMULACIÓN!Q52)/COUNT('SEGUIMIENTO Y EVALUACIÓN'!K52:N52),""))))),"")</f>
        <v>4</v>
      </c>
      <c r="P52" s="51" t="str">
        <f ca="1">IF($G52=Lists!$R$3,TEXT('SEGUIMIENTO Y EVALUACIÓN'!O52,"00,00%"),IF('SEGUIMIENTO Y EVALUACIÓN'!O52=0,0,TEXT('SEGUIMIENTO Y EVALUACIÓN'!O52,"##.###")))</f>
        <v>4</v>
      </c>
      <c r="Q52" s="209" t="str">
        <f>IF(FORMULACIÓN!R52&lt;&gt;"",FORMULACIÓN!R52,"")</f>
        <v>P2 - Ampliación y diversificación de la oferta académica</v>
      </c>
      <c r="R52" s="209">
        <f>IF(FORMULACIÓN!S52&lt;&gt;"",FORMULACIÓN!S52,"")</f>
        <v>0.01</v>
      </c>
      <c r="S52" s="209" t="str">
        <f>IF(FORMULACIÓN!T52&lt;&gt;"",FORMULACIÓN!T52,"")</f>
        <v>Vicerrector de Docencia</v>
      </c>
      <c r="T52" s="42"/>
      <c r="U52" s="42"/>
      <c r="V52" s="42"/>
      <c r="W52" s="43" t="str">
        <f t="shared" si="0"/>
        <v/>
      </c>
      <c r="X52" s="42"/>
      <c r="Y52" s="42"/>
      <c r="Z52" s="42"/>
      <c r="AA52" s="43" t="str">
        <f t="shared" si="1"/>
        <v/>
      </c>
      <c r="AB52" s="42"/>
      <c r="AC52" s="42"/>
      <c r="AD52" s="42"/>
      <c r="AE52" s="43" t="str">
        <f t="shared" si="2"/>
        <v/>
      </c>
      <c r="AF52" s="42"/>
      <c r="AG52" s="42"/>
      <c r="AH52" s="42"/>
      <c r="AI52" s="46" t="str">
        <f t="shared" si="3"/>
        <v/>
      </c>
      <c r="AJ52" s="46" t="str">
        <f>IF(SUM(AA52,AE52,W52,AI52)=0,"",SUM((AA52,AE52,W52,AI52)))</f>
        <v/>
      </c>
      <c r="AK52"/>
      <c r="AL52" s="1" t="str">
        <f t="shared" si="7"/>
        <v>L1M5P2</v>
      </c>
      <c r="AM52" s="56" t="str">
        <f t="shared" si="8"/>
        <v>Número de programas académicos de posgrado activos</v>
      </c>
      <c r="AN52" s="112" t="str">
        <f ca="1">IF($G52=Lists!$R$3,"T1: "&amp;TEXT(FORMULACIÓN!L52,"00,00%")&amp;CHAR(10)&amp;"T2: "&amp;TEXT(FORMULACIÓN!M52,"00,00%")&amp;CHAR(10)&amp;"T3: "&amp;TEXT(FORMULACIÓN!N52,"00,00%")&amp;CHAR(10)&amp;"Tn: "&amp;TEXT(FORMULACIÓN!O52,"00,00%"),IF(FORMULACIÓN!Q52=0,0,"T1: "&amp;TEXT(FORMULACIÓN!L52,"##.###")&amp;CHAR(10)&amp;"T2: "&amp;TEXT(FORMULACIÓN!M52,"##.###")&amp;CHAR(10)&amp;"T3: "&amp;TEXT(FORMULACIÓN!N52,"##.###")&amp;CHAR(10)&amp;"Tn: "&amp;TEXT(FORMULACIÓN!O52,"##.###")))</f>
        <v>T1: 2
T2: 1
T3: 2
Tn: 1</v>
      </c>
      <c r="AO52" s="117">
        <f>IFERROR(IF($H52=Lists!$S$6,IF(AND(FORMULACIÓN!L52&gt;K52,K52&gt;0),1,0),IF((K52/FORMULACIÓN!L52)&lt;&gt;0,K52/FORMULACIÓN!L52,0)),"")</f>
        <v>0</v>
      </c>
      <c r="AP52" s="117">
        <f>IFERROR(IF($H52=Lists!$S$6,IF(AND(FORMULACIÓN!M52&gt;L52,L52&gt;0),1,0),IF((L52/FORMULACIÓN!M52)&lt;&gt;0,L52/FORMULACIÓN!M52,0)),"")</f>
        <v>0</v>
      </c>
      <c r="AQ52" s="117">
        <f>IFERROR(IF($H52=Lists!$S$6,IF(AND(FORMULACIÓN!N52&gt;M52,M52&gt;0),1,0),IF((M52/FORMULACIÓN!N52)&lt;&gt;0,M52/FORMULACIÓN!N52,0)),"")</f>
        <v>0</v>
      </c>
      <c r="AR52" s="117">
        <f>IFERROR(IF($H52=Lists!$S$6,IF(AND(FORMULACIÓN!O52&gt;N52,N52&gt;0),1,0),IF((N52/FORMULACIÓN!O52)&lt;&gt;0,N52/FORMULACIÓN!O52,0)),"")</f>
        <v>0</v>
      </c>
      <c r="AS52" s="110"/>
      <c r="AT52" s="118" t="str">
        <f ca="1">IF($H52=Lists!$S$6,TEXT(COUNTIF('SEGUIMIENTO Y EVALUACIÓN'!K52:N52,"&lt;"&amp;FORMULACIÓN!Q52),"##.###")&amp;" / "&amp;TEXT(COUNTIF('SEGUIMIENTO Y EVALUACIÓN'!K52:N52,"&gt;"&amp;0),"##.###"),IF($G52=Lists!$R$3,TEXT('SEGUIMIENTO Y EVALUACIÓN'!O52,"00,00%")&amp;" / "&amp;TEXT(FORMULACIÓN!P52,"00,00%"),IF('SEGUIMIENTO Y EVALUACIÓN'!O52=0,0,TEXT('SEGUIMIENTO Y EVALUACIÓN'!O52,"##.###")&amp;" / "&amp;TEXT(FORMULACIÓN!P52,"##.###"))))</f>
        <v>4 / 10</v>
      </c>
      <c r="AU52" s="57">
        <f ca="1">IFERROR(IF((P52/FORMULACIÓN!Q52)&lt;&gt;0,IF($H52=Lists!$S$6,COUNTIF('SEGUIMIENTO Y EVALUACIÓN'!K52:N52,"&lt;"&amp;FORMULACIÓN!Q52),'SEGUIMIENTO Y EVALUACIÓN'!P52)/IF($H52=Lists!$S$6,COUNTIF('SEGUIMIENTO Y EVALUACIÓN'!K52:N52,"&gt;"&amp;0),FORMULACIÓN!P52),0),0)</f>
        <v>0.4</v>
      </c>
      <c r="AV52" s="93">
        <f t="shared" ca="1" si="6"/>
        <v>4.0000000000000001E-3</v>
      </c>
      <c r="AW52" s="93" cm="1">
        <f t="array" ref="AW52">IF(INDEX(AO52:AU52,1,$AV$3)&gt;1,IF($AU$2=1,1,INDEX(AO52:AU52,1,$AV$3)),INDEX(AO52:AU52,1,$AV$3))</f>
        <v>0</v>
      </c>
      <c r="AX52"/>
      <c r="AY52" s="119" t="str">
        <f>IFERROR(IF((W52/FORMULACIÓN!X52)&lt;&gt;0,W52/FORMULACIÓN!X52,0),"")</f>
        <v/>
      </c>
      <c r="AZ52" s="119" t="str">
        <f>IFERROR(IF((AA52/FORMULACIÓN!AB52)&lt;&gt;0,AA52/FORMULACIÓN!AB52,0),"")</f>
        <v/>
      </c>
      <c r="BA52" s="119" t="str">
        <f>IFERROR(IF((AE52/FORMULACIÓN!AF52)&lt;&gt;0,(AE52/FORMULACIÓN!AF52),0),"")</f>
        <v/>
      </c>
      <c r="BB52" s="119" t="str">
        <f>IFERROR(IF((AI52/FORMULACIÓN!AJ52)&lt;&gt;0,AI52/FORMULACIÓN!AJ52,0),"")</f>
        <v/>
      </c>
      <c r="BC52" s="120" t="str">
        <f>IF('SEGUIMIENTO Y EVALUACIÓN'!AI52=0,0,TEXT('SEGUIMIENTO Y EVALUACIÓN'!AI52,"$ ##.###")&amp;" / "&amp;TEXT(FORMULACIÓN!AK52,"$ ##.###"))</f>
        <v xml:space="preserve"> / $ 26.897.462.380</v>
      </c>
      <c r="BD52" s="57">
        <f>IFERROR(IF((AJ52/FORMULACIÓN!AK52)&lt;&gt;0,AJ52/FORMULACIÓN!AK52,0),0)</f>
        <v>0</v>
      </c>
      <c r="BJ52"/>
      <c r="BK52"/>
      <c r="CL52" s="7"/>
    </row>
    <row r="53" spans="1:90" s="1" customFormat="1" ht="90">
      <c r="A53" s="45">
        <f>IF(FORMULACIÓN!A53="","",FORMULACIÓN!A53)</f>
        <v>42</v>
      </c>
      <c r="B53" s="45" t="str">
        <f>IF(FORMULACIÓN!B53="","",FORMULACIÓN!B53)</f>
        <v>L1 - Formación Académica Integral</v>
      </c>
      <c r="C53" s="45" t="str">
        <f>IF(FORMULACIÓN!E53="","",FORMULACIÓN!E53)</f>
        <v>M5 - Autoevaluación y acreditación Institucional y de programas académicos en el contexto nacional e internacional</v>
      </c>
      <c r="D53" s="45" t="str">
        <f>IF(FORMULACIÓN!F53="","",FORMULACIÓN!F53)</f>
        <v>Gestionar la creación del Comité de Pertinencia Académica, que engrane la gestión de las Facultades con el Observatorio Regional de Mercado de Trabajo ORMET, la Vicerrectoría de Docencia, el Depto. de Extensión y Proyección Social, la Oficina de Egresados, la Oficina de Planeación, entre otras, para el análisis de apertura de nueva oferta académica.</v>
      </c>
      <c r="E53" s="45" t="str">
        <f>IF(FORMULACIÓN!G53="","",FORMULACIÓN!G53)</f>
        <v>Creación del Comité de Pertinencia Académica para el análisis de apertura de nueva oferta académica</v>
      </c>
      <c r="F53" s="45" t="str">
        <f>IF(FORMULACIÓN!H53="","",FORMULACIÓN!H53)</f>
        <v>Acto administrativo de creación del Comité de Pertinencia Académica para el análisis de apertura de nueva oferta académica</v>
      </c>
      <c r="G53" s="45" t="str">
        <f>IF(FORMULACIÓN!I53="","",FORMULACIÓN!I53)</f>
        <v>Unidad</v>
      </c>
      <c r="H53" s="45" t="str">
        <f>IF(FORMULACIÓN!J53="","",FORMULACIÓN!J53)</f>
        <v>Nuevo gestionado durante la vigencia</v>
      </c>
      <c r="I53" s="188" t="str">
        <f ca="1">IF($G53=Lists!$R$3,"PDI: "&amp;TEXT(FORMULACIÓN!Q53,"00,00%")&amp;CHAR(10)&amp;CHAR(10)&amp;"T1: "&amp;TEXT(FORMULACIÓN!L53,"00,00%")&amp;CHAR(10)&amp;"T2: "&amp;TEXT(FORMULACIÓN!M53,"00,00%")&amp;CHAR(10)&amp;"T3: "&amp;TEXT(FORMULACIÓN!N53,"00,00%")&amp;CHAR(10)&amp;"Tn: "&amp;TEXT(FORMULACIÓN!O53,"00,00%"),IF(FORMULACIÓN!Q53=0,0,"PDI: "&amp;TEXT(FORMULACIÓN!Q53,"##.###")&amp;CHAR(10)&amp;CHAR(10)&amp;"T1: "&amp;TEXT(FORMULACIÓN!L53,"##.###")&amp;CHAR(10)&amp;"T2: "&amp;TEXT(FORMULACIÓN!M53,"##.###")&amp;CHAR(10)&amp;"T3: "&amp;TEXT(FORMULACIÓN!N53,"##.###")&amp;CHAR(10)&amp;"Tn: "&amp;TEXT(FORMULACIÓN!O53,"##.###")))</f>
        <v xml:space="preserve">PDI: 1
T1: 1
T2: 
T3: 
Tn: </v>
      </c>
      <c r="J53" s="122">
        <f>IF(FORMULACIÓN!K53&lt;&gt;"",FORMULACIÓN!K53,"")</f>
        <v>0</v>
      </c>
      <c r="K53" s="310">
        <v>1</v>
      </c>
      <c r="L53" s="58"/>
      <c r="M53" s="58"/>
      <c r="N53" s="58"/>
      <c r="O53" s="47">
        <f ca="1">IFERROR(IF($H53=Lists!$S$2,SUM('SEGUIMIENTO Y EVALUACIÓN'!J53:N53),IF('SEGUIMIENTO Y EVALUACIÓN'!$H53=Lists!$S$3,SUM('SEGUIMIENTO Y EVALUACIÓN'!K53:N53),IF('SEGUIMIENTO Y EVALUACIÓN'!$H53=Lists!$S$4,AVERAGE('SEGUIMIENTO Y EVALUACIÓN'!K53:N53),IF('SEGUIMIENTO Y EVALUACIÓN'!$H53=Lists!$S$5,OFFSET(J53,0,COUNTA(K53:N53)),IF($H53=Lists!$S$6,COUNTIF(K53:N53,"&lt;"&amp;FORMULACIÓN!Q53)/COUNT('SEGUIMIENTO Y EVALUACIÓN'!K53:N53),""))))),"")</f>
        <v>1</v>
      </c>
      <c r="P53" s="51" t="str">
        <f ca="1">IF($G53=Lists!$R$3,TEXT('SEGUIMIENTO Y EVALUACIÓN'!O53,"00,00%"),IF('SEGUIMIENTO Y EVALUACIÓN'!O53=0,0,TEXT('SEGUIMIENTO Y EVALUACIÓN'!O53,"##.###")))</f>
        <v>1</v>
      </c>
      <c r="Q53" s="209" t="str">
        <f>IF(FORMULACIÓN!R53&lt;&gt;"",FORMULACIÓN!R53,"")</f>
        <v>P2 - Ampliación y diversificación de la oferta académica</v>
      </c>
      <c r="R53" s="209">
        <f>IF(FORMULACIÓN!S53&lt;&gt;"",FORMULACIÓN!S53,"")</f>
        <v>0.01</v>
      </c>
      <c r="S53" s="209" t="str">
        <f>IF(FORMULACIÓN!T53&lt;&gt;"",FORMULACIÓN!T53,"")</f>
        <v>Vicerrector de Docencia</v>
      </c>
      <c r="T53" s="42"/>
      <c r="U53" s="42"/>
      <c r="V53" s="42"/>
      <c r="W53" s="43" t="str">
        <f t="shared" si="0"/>
        <v/>
      </c>
      <c r="X53" s="42"/>
      <c r="Y53" s="42"/>
      <c r="Z53" s="42"/>
      <c r="AA53" s="43" t="str">
        <f t="shared" si="1"/>
        <v/>
      </c>
      <c r="AB53" s="42"/>
      <c r="AC53" s="42"/>
      <c r="AD53" s="42"/>
      <c r="AE53" s="43" t="str">
        <f t="shared" si="2"/>
        <v/>
      </c>
      <c r="AF53" s="42"/>
      <c r="AG53" s="42"/>
      <c r="AH53" s="42"/>
      <c r="AI53" s="46" t="str">
        <f t="shared" si="3"/>
        <v/>
      </c>
      <c r="AJ53" s="46" t="str">
        <f>IF(SUM(AA53,AE53,W53,AI53)=0,"",SUM((AA53,AE53,W53,AI53)))</f>
        <v/>
      </c>
      <c r="AK53"/>
      <c r="AL53" s="1" t="str">
        <f t="shared" si="7"/>
        <v>L1M5P2</v>
      </c>
      <c r="AM53" s="56" t="str">
        <f t="shared" si="8"/>
        <v>Creación del Comité de Pertinencia Académica para el análisis de apertura de nueva oferta académica</v>
      </c>
      <c r="AN53" s="112" t="str">
        <f ca="1">IF($G53=Lists!$R$3,"T1: "&amp;TEXT(FORMULACIÓN!L53,"00,00%")&amp;CHAR(10)&amp;"T2: "&amp;TEXT(FORMULACIÓN!M53,"00,00%")&amp;CHAR(10)&amp;"T3: "&amp;TEXT(FORMULACIÓN!N53,"00,00%")&amp;CHAR(10)&amp;"Tn: "&amp;TEXT(FORMULACIÓN!O53,"00,00%"),IF(FORMULACIÓN!Q53=0,0,"T1: "&amp;TEXT(FORMULACIÓN!L53,"##.###")&amp;CHAR(10)&amp;"T2: "&amp;TEXT(FORMULACIÓN!M53,"##.###")&amp;CHAR(10)&amp;"T3: "&amp;TEXT(FORMULACIÓN!N53,"##.###")&amp;CHAR(10)&amp;"Tn: "&amp;TEXT(FORMULACIÓN!O53,"##.###")))</f>
        <v xml:space="preserve">T1: 1
T2: 
T3: 
Tn: </v>
      </c>
      <c r="AO53" s="117">
        <f>IFERROR(IF($H53=Lists!$S$6,IF(AND(FORMULACIÓN!L53&gt;K53,K53&gt;0),1,0),IF((K53/FORMULACIÓN!L53)&lt;&gt;0,K53/FORMULACIÓN!L53,0)),"")</f>
        <v>1</v>
      </c>
      <c r="AP53" s="117" t="str">
        <f>IFERROR(IF($H53=Lists!$S$6,IF(AND(FORMULACIÓN!M53&gt;L53,L53&gt;0),1,0),IF((L53/FORMULACIÓN!M53)&lt;&gt;0,L53/FORMULACIÓN!M53,0)),"")</f>
        <v/>
      </c>
      <c r="AQ53" s="117" t="str">
        <f>IFERROR(IF($H53=Lists!$S$6,IF(AND(FORMULACIÓN!N53&gt;M53,M53&gt;0),1,0),IF((M53/FORMULACIÓN!N53)&lt;&gt;0,M53/FORMULACIÓN!N53,0)),"")</f>
        <v/>
      </c>
      <c r="AR53" s="117" t="str">
        <f>IFERROR(IF($H53=Lists!$S$6,IF(AND(FORMULACIÓN!O53&gt;N53,N53&gt;0),1,0),IF((N53/FORMULACIÓN!O53)&lt;&gt;0,N53/FORMULACIÓN!O53,0)),"")</f>
        <v/>
      </c>
      <c r="AS53" s="110"/>
      <c r="AT53" s="118" t="str">
        <f ca="1">IF($H53=Lists!$S$6,TEXT(COUNTIF('SEGUIMIENTO Y EVALUACIÓN'!K53:N53,"&lt;"&amp;FORMULACIÓN!Q53),"##.###")&amp;" / "&amp;TEXT(COUNTIF('SEGUIMIENTO Y EVALUACIÓN'!K53:N53,"&gt;"&amp;0),"##.###"),IF($G53=Lists!$R$3,TEXT('SEGUIMIENTO Y EVALUACIÓN'!O53,"00,00%")&amp;" / "&amp;TEXT(FORMULACIÓN!P53,"00,00%"),IF('SEGUIMIENTO Y EVALUACIÓN'!O53=0,0,TEXT('SEGUIMIENTO Y EVALUACIÓN'!O53,"##.###")&amp;" / "&amp;TEXT(FORMULACIÓN!P53,"##.###"))))</f>
        <v>1 / 1</v>
      </c>
      <c r="AU53" s="57">
        <f ca="1">IFERROR(IF((P53/FORMULACIÓN!Q53)&lt;&gt;0,IF($H53=Lists!$S$6,COUNTIF('SEGUIMIENTO Y EVALUACIÓN'!K53:N53,"&lt;"&amp;FORMULACIÓN!Q53),'SEGUIMIENTO Y EVALUACIÓN'!P53)/IF($H53=Lists!$S$6,COUNTIF('SEGUIMIENTO Y EVALUACIÓN'!K53:N53,"&gt;"&amp;0),FORMULACIÓN!P53),0),0)</f>
        <v>1</v>
      </c>
      <c r="AV53" s="93">
        <f t="shared" ca="1" si="6"/>
        <v>0.01</v>
      </c>
      <c r="AW53" s="93" cm="1">
        <f t="array" ref="AW53">IF(INDEX(AO53:AU53,1,$AV$3)&gt;1,IF($AU$2=1,1,INDEX(AO53:AU53,1,$AV$3)),INDEX(AO53:AU53,1,$AV$3))</f>
        <v>1</v>
      </c>
      <c r="AX53"/>
      <c r="AY53" s="119" t="str">
        <f>IFERROR(IF((W53/FORMULACIÓN!X53)&lt;&gt;0,W53/FORMULACIÓN!X53,0),"")</f>
        <v/>
      </c>
      <c r="AZ53" s="119" t="str">
        <f>IFERROR(IF((AA53/FORMULACIÓN!AB53)&lt;&gt;0,AA53/FORMULACIÓN!AB53,0),"")</f>
        <v/>
      </c>
      <c r="BA53" s="119" t="str">
        <f>IFERROR(IF((AE53/FORMULACIÓN!AF53)&lt;&gt;0,(AE53/FORMULACIÓN!AF53),0),"")</f>
        <v/>
      </c>
      <c r="BB53" s="119" t="str">
        <f>IFERROR(IF((AI53/FORMULACIÓN!AJ53)&lt;&gt;0,AI53/FORMULACIÓN!AJ53,0),"")</f>
        <v/>
      </c>
      <c r="BC53" s="120" t="str">
        <f>IF('SEGUIMIENTO Y EVALUACIÓN'!AI53=0,0,TEXT('SEGUIMIENTO Y EVALUACIÓN'!AI53,"$ ##.###")&amp;" / "&amp;TEXT(FORMULACIÓN!AK53,"$ ##.###"))</f>
        <v xml:space="preserve"> / $ 11.474.823.223</v>
      </c>
      <c r="BD53" s="57">
        <f>IFERROR(IF((AJ53/FORMULACIÓN!AK53)&lt;&gt;0,AJ53/FORMULACIÓN!AK53,0),0)</f>
        <v>0</v>
      </c>
      <c r="BJ53"/>
      <c r="BK53"/>
      <c r="CL53" s="7"/>
    </row>
    <row r="54" spans="1:90" s="1" customFormat="1" ht="90">
      <c r="A54" s="45">
        <f>IF(FORMULACIÓN!A54="","",FORMULACIÓN!A54)</f>
        <v>43</v>
      </c>
      <c r="B54" s="45" t="str">
        <f>IF(FORMULACIÓN!B54="","",FORMULACIÓN!B54)</f>
        <v>L1 - Formación Académica Integral</v>
      </c>
      <c r="C54" s="45" t="str">
        <f>IF(FORMULACIÓN!E54="","",FORMULACIÓN!E54)</f>
        <v>M5 - Autoevaluación y acreditación Institucional y de programas académicos en el contexto nacional e internacional</v>
      </c>
      <c r="D54" s="45" t="str">
        <f>IF(FORMULACIÓN!F54="","",FORMULACIÓN!F54)</f>
        <v>Diseñar e implementar los Lineamientos curriculares asociados a la modernización curricular frente al Enfoque Pedagógico Emergente, Integrador e Interdisciplinar.</v>
      </c>
      <c r="E54" s="45" t="str">
        <f>IF(FORMULACIÓN!G54="","",FORMULACIÓN!G54)</f>
        <v>Documento de lineamientos para la modernización curricular elaborado y adoptado por el Consejo Académico</v>
      </c>
      <c r="F54" s="45" t="str">
        <f>IF(FORMULACIÓN!H54="","",FORMULACIÓN!H54)</f>
        <v>Documento de lineamientos para la modernización curricular adoptado por el Consejo Académico</v>
      </c>
      <c r="G54" s="45" t="str">
        <f>IF(FORMULACIÓN!I54="","",FORMULACIÓN!I54)</f>
        <v>Unidad</v>
      </c>
      <c r="H54" s="45" t="str">
        <f>IF(FORMULACIÓN!J54="","",FORMULACIÓN!J54)</f>
        <v>Nuevo gestionado durante la vigencia</v>
      </c>
      <c r="I54" s="188" t="str">
        <f ca="1">IF($G54=Lists!$R$3,"PDI: "&amp;TEXT(FORMULACIÓN!Q54,"00,00%")&amp;CHAR(10)&amp;CHAR(10)&amp;"T1: "&amp;TEXT(FORMULACIÓN!L54,"00,00%")&amp;CHAR(10)&amp;"T2: "&amp;TEXT(FORMULACIÓN!M54,"00,00%")&amp;CHAR(10)&amp;"T3: "&amp;TEXT(FORMULACIÓN!N54,"00,00%")&amp;CHAR(10)&amp;"Tn: "&amp;TEXT(FORMULACIÓN!O54,"00,00%"),IF(FORMULACIÓN!Q54=0,0,"PDI: "&amp;TEXT(FORMULACIÓN!Q54,"##.###")&amp;CHAR(10)&amp;CHAR(10)&amp;"T1: "&amp;TEXT(FORMULACIÓN!L54,"##.###")&amp;CHAR(10)&amp;"T2: "&amp;TEXT(FORMULACIÓN!M54,"##.###")&amp;CHAR(10)&amp;"T3: "&amp;TEXT(FORMULACIÓN!N54,"##.###")&amp;CHAR(10)&amp;"Tn: "&amp;TEXT(FORMULACIÓN!O54,"##.###")))</f>
        <v xml:space="preserve">PDI: 1
T1: 1
T2: 
T3: 
Tn: </v>
      </c>
      <c r="J54" s="122">
        <f>IF(FORMULACIÓN!K54&lt;&gt;"",FORMULACIÓN!K54,"")</f>
        <v>0</v>
      </c>
      <c r="K54" s="310">
        <v>0</v>
      </c>
      <c r="L54" s="58"/>
      <c r="M54" s="58"/>
      <c r="N54" s="58"/>
      <c r="O54" s="47">
        <f ca="1">IFERROR(IF($H54=Lists!$S$2,SUM('SEGUIMIENTO Y EVALUACIÓN'!J54:N54),IF('SEGUIMIENTO Y EVALUACIÓN'!$H54=Lists!$S$3,SUM('SEGUIMIENTO Y EVALUACIÓN'!K54:N54),IF('SEGUIMIENTO Y EVALUACIÓN'!$H54=Lists!$S$4,AVERAGE('SEGUIMIENTO Y EVALUACIÓN'!K54:N54),IF('SEGUIMIENTO Y EVALUACIÓN'!$H54=Lists!$S$5,OFFSET(J54,0,COUNTA(K54:N54)),IF($H54=Lists!$S$6,COUNTIF(K54:N54,"&lt;"&amp;FORMULACIÓN!Q54)/COUNT('SEGUIMIENTO Y EVALUACIÓN'!K54:N54),""))))),"")</f>
        <v>0</v>
      </c>
      <c r="P54" s="51">
        <f ca="1">IF($G54=Lists!$R$3,TEXT('SEGUIMIENTO Y EVALUACIÓN'!O54,"00,00%"),IF('SEGUIMIENTO Y EVALUACIÓN'!O54=0,0,TEXT('SEGUIMIENTO Y EVALUACIÓN'!O54,"##.###")))</f>
        <v>0</v>
      </c>
      <c r="Q54" s="209" t="str">
        <f>IF(FORMULACIÓN!R54&lt;&gt;"",FORMULACIÓN!R54,"")</f>
        <v xml:space="preserve">P3 - Gestión y mejoramiento curricular </v>
      </c>
      <c r="R54" s="209">
        <f>IF(FORMULACIÓN!S54&lt;&gt;"",FORMULACIÓN!S54,"")</f>
        <v>3.8461538461538464E-3</v>
      </c>
      <c r="S54" s="209" t="str">
        <f>IF(FORMULACIÓN!T54&lt;&gt;"",FORMULACIÓN!T54,"")</f>
        <v>Vicerrector de Docencia</v>
      </c>
      <c r="T54" s="42"/>
      <c r="U54" s="42"/>
      <c r="V54" s="42"/>
      <c r="W54" s="43" t="str">
        <f t="shared" si="0"/>
        <v/>
      </c>
      <c r="X54" s="42"/>
      <c r="Y54" s="42"/>
      <c r="Z54" s="42"/>
      <c r="AA54" s="43" t="str">
        <f t="shared" si="1"/>
        <v/>
      </c>
      <c r="AB54" s="42"/>
      <c r="AC54" s="42"/>
      <c r="AD54" s="42"/>
      <c r="AE54" s="43" t="str">
        <f t="shared" si="2"/>
        <v/>
      </c>
      <c r="AF54" s="42"/>
      <c r="AG54" s="42"/>
      <c r="AH54" s="42"/>
      <c r="AI54" s="46" t="str">
        <f t="shared" si="3"/>
        <v/>
      </c>
      <c r="AJ54" s="46" t="str">
        <f>IF(SUM(AA54,AE54,W54,AI54)=0,"",SUM((AA54,AE54,W54,AI54)))</f>
        <v/>
      </c>
      <c r="AK54"/>
      <c r="AL54" s="1" t="str">
        <f t="shared" si="7"/>
        <v>L1M5P3</v>
      </c>
      <c r="AM54" s="56" t="str">
        <f t="shared" si="8"/>
        <v>Documento de lineamientos para la modernización curricular elaborado y adoptado por el Consejo Académico</v>
      </c>
      <c r="AN54" s="112" t="str">
        <f ca="1">IF($G54=Lists!$R$3,"T1: "&amp;TEXT(FORMULACIÓN!L54,"00,00%")&amp;CHAR(10)&amp;"T2: "&amp;TEXT(FORMULACIÓN!M54,"00,00%")&amp;CHAR(10)&amp;"T3: "&amp;TEXT(FORMULACIÓN!N54,"00,00%")&amp;CHAR(10)&amp;"Tn: "&amp;TEXT(FORMULACIÓN!O54,"00,00%"),IF(FORMULACIÓN!Q54=0,0,"T1: "&amp;TEXT(FORMULACIÓN!L54,"##.###")&amp;CHAR(10)&amp;"T2: "&amp;TEXT(FORMULACIÓN!M54,"##.###")&amp;CHAR(10)&amp;"T3: "&amp;TEXT(FORMULACIÓN!N54,"##.###")&amp;CHAR(10)&amp;"Tn: "&amp;TEXT(FORMULACIÓN!O54,"##.###")))</f>
        <v xml:space="preserve">T1: 1
T2: 
T3: 
Tn: </v>
      </c>
      <c r="AO54" s="117">
        <f>IFERROR(IF($H54=Lists!$S$6,IF(AND(FORMULACIÓN!L54&gt;K54,K54&gt;0),1,0),IF((K54/FORMULACIÓN!L54)&lt;&gt;0,K54/FORMULACIÓN!L54,0)),"")</f>
        <v>0</v>
      </c>
      <c r="AP54" s="117" t="str">
        <f>IFERROR(IF($H54=Lists!$S$6,IF(AND(FORMULACIÓN!M54&gt;L54,L54&gt;0),1,0),IF((L54/FORMULACIÓN!M54)&lt;&gt;0,L54/FORMULACIÓN!M54,0)),"")</f>
        <v/>
      </c>
      <c r="AQ54" s="117" t="str">
        <f>IFERROR(IF($H54=Lists!$S$6,IF(AND(FORMULACIÓN!N54&gt;M54,M54&gt;0),1,0),IF((M54/FORMULACIÓN!N54)&lt;&gt;0,M54/FORMULACIÓN!N54,0)),"")</f>
        <v/>
      </c>
      <c r="AR54" s="117" t="str">
        <f>IFERROR(IF($H54=Lists!$S$6,IF(AND(FORMULACIÓN!O54&gt;N54,N54&gt;0),1,0),IF((N54/FORMULACIÓN!O54)&lt;&gt;0,N54/FORMULACIÓN!O54,0)),"")</f>
        <v/>
      </c>
      <c r="AS54" s="110"/>
      <c r="AT54" s="118">
        <f ca="1">IF($H54=Lists!$S$6,TEXT(COUNTIF('SEGUIMIENTO Y EVALUACIÓN'!K54:N54,"&lt;"&amp;FORMULACIÓN!Q54),"##.###")&amp;" / "&amp;TEXT(COUNTIF('SEGUIMIENTO Y EVALUACIÓN'!K54:N54,"&gt;"&amp;0),"##.###"),IF($G54=Lists!$R$3,TEXT('SEGUIMIENTO Y EVALUACIÓN'!O54,"00,00%")&amp;" / "&amp;TEXT(FORMULACIÓN!P54,"00,00%"),IF('SEGUIMIENTO Y EVALUACIÓN'!O54=0,0,TEXT('SEGUIMIENTO Y EVALUACIÓN'!O54,"##.###")&amp;" / "&amp;TEXT(FORMULACIÓN!P54,"##.###"))))</f>
        <v>0</v>
      </c>
      <c r="AU54" s="57">
        <f ca="1">IFERROR(IF((P54/FORMULACIÓN!Q54)&lt;&gt;0,IF($H54=Lists!$S$6,COUNTIF('SEGUIMIENTO Y EVALUACIÓN'!K54:N54,"&lt;"&amp;FORMULACIÓN!Q54),'SEGUIMIENTO Y EVALUACIÓN'!P54)/IF($H54=Lists!$S$6,COUNTIF('SEGUIMIENTO Y EVALUACIÓN'!K54:N54,"&gt;"&amp;0),FORMULACIÓN!P54),0),0)</f>
        <v>0</v>
      </c>
      <c r="AV54" s="93">
        <f t="shared" ca="1" si="6"/>
        <v>0</v>
      </c>
      <c r="AW54" s="93" cm="1">
        <f t="array" ref="AW54">IF(INDEX(AO54:AU54,1,$AV$3)&gt;1,IF($AU$2=1,1,INDEX(AO54:AU54,1,$AV$3)),INDEX(AO54:AU54,1,$AV$3))</f>
        <v>0</v>
      </c>
      <c r="AX54"/>
      <c r="AY54" s="119" t="str">
        <f>IFERROR(IF((W54/FORMULACIÓN!X54)&lt;&gt;0,W54/FORMULACIÓN!X54,0),"")</f>
        <v/>
      </c>
      <c r="AZ54" s="119" t="str">
        <f>IFERROR(IF((AA54/FORMULACIÓN!AB54)&lt;&gt;0,AA54/FORMULACIÓN!AB54,0),"")</f>
        <v/>
      </c>
      <c r="BA54" s="119" t="str">
        <f>IFERROR(IF((AE54/FORMULACIÓN!AF54)&lt;&gt;0,(AE54/FORMULACIÓN!AF54),0),"")</f>
        <v/>
      </c>
      <c r="BB54" s="119" t="str">
        <f>IFERROR(IF((AI54/FORMULACIÓN!AJ54)&lt;&gt;0,AI54/FORMULACIÓN!AJ54,0),"")</f>
        <v/>
      </c>
      <c r="BC54" s="120" t="str">
        <f>IF('SEGUIMIENTO Y EVALUACIÓN'!AI54=0,0,TEXT('SEGUIMIENTO Y EVALUACIÓN'!AI54,"$ ##.###")&amp;" / "&amp;TEXT(FORMULACIÓN!AK54,"$ ##.###"))</f>
        <v xml:space="preserve"> / $ 4.299.003.884</v>
      </c>
      <c r="BD54" s="57">
        <f>IFERROR(IF((AJ54/FORMULACIÓN!AK54)&lt;&gt;0,AJ54/FORMULACIÓN!AK54,0),0)</f>
        <v>0</v>
      </c>
      <c r="BJ54"/>
      <c r="BK54"/>
      <c r="CL54" s="7"/>
    </row>
    <row r="55" spans="1:90" s="1" customFormat="1" ht="90">
      <c r="A55" s="45">
        <f>IF(FORMULACIÓN!A55="","",FORMULACIÓN!A55)</f>
        <v>44</v>
      </c>
      <c r="B55" s="45" t="str">
        <f>IF(FORMULACIÓN!B55="","",FORMULACIÓN!B55)</f>
        <v>L1 - Formación Académica Integral</v>
      </c>
      <c r="C55" s="45" t="str">
        <f>IF(FORMULACIÓN!E55="","",FORMULACIÓN!E55)</f>
        <v>M5 - Autoevaluación y acreditación Institucional y de programas académicos en el contexto nacional e internacional</v>
      </c>
      <c r="D55" s="45" t="str">
        <f>IF(FORMULACIÓN!F55="","",FORMULACIÓN!F55)</f>
        <v>Diseñar e implementar los Lineamientos curriculares asociados a la modernización curricular frente al Enfoque Pedagógico Emergente, Integrador e Interdisciplinar.</v>
      </c>
      <c r="E55" s="45" t="str">
        <f>IF(FORMULACIÓN!G55="","",FORMULACIÓN!G55)</f>
        <v>Proyecto Educativo Institucional PEI resignificado</v>
      </c>
      <c r="F55" s="45" t="str">
        <f>IF(FORMULACIÓN!H55="","",FORMULACIÓN!H55)</f>
        <v>Documento PEI resignificado adoptado por el Consejo Académico</v>
      </c>
      <c r="G55" s="45" t="str">
        <f>IF(FORMULACIÓN!I55="","",FORMULACIÓN!I55)</f>
        <v>Unidad</v>
      </c>
      <c r="H55" s="45" t="str">
        <f>IF(FORMULACIÓN!J55="","",FORMULACIÓN!J55)</f>
        <v>Nuevo gestionado durante la vigencia</v>
      </c>
      <c r="I55" s="188" t="str">
        <f ca="1">IF($G55=Lists!$R$3,"PDI: "&amp;TEXT(FORMULACIÓN!Q55,"00,00%")&amp;CHAR(10)&amp;CHAR(10)&amp;"T1: "&amp;TEXT(FORMULACIÓN!L55,"00,00%")&amp;CHAR(10)&amp;"T2: "&amp;TEXT(FORMULACIÓN!M55,"00,00%")&amp;CHAR(10)&amp;"T3: "&amp;TEXT(FORMULACIÓN!N55,"00,00%")&amp;CHAR(10)&amp;"Tn: "&amp;TEXT(FORMULACIÓN!O55,"00,00%"),IF(FORMULACIÓN!Q55=0,0,"PDI: "&amp;TEXT(FORMULACIÓN!Q55,"##.###")&amp;CHAR(10)&amp;CHAR(10)&amp;"T1: "&amp;TEXT(FORMULACIÓN!L55,"##.###")&amp;CHAR(10)&amp;"T2: "&amp;TEXT(FORMULACIÓN!M55,"##.###")&amp;CHAR(10)&amp;"T3: "&amp;TEXT(FORMULACIÓN!N55,"##.###")&amp;CHAR(10)&amp;"Tn: "&amp;TEXT(FORMULACIÓN!O55,"##.###")))</f>
        <v xml:space="preserve">PDI: 1
T1: 1
T2: 
T3: 
Tn: </v>
      </c>
      <c r="J55" s="122">
        <f>IF(FORMULACIÓN!K55&lt;&gt;"",FORMULACIÓN!K55,"")</f>
        <v>0</v>
      </c>
      <c r="K55" s="310">
        <v>0</v>
      </c>
      <c r="L55" s="58"/>
      <c r="M55" s="58"/>
      <c r="N55" s="58"/>
      <c r="O55" s="47">
        <f ca="1">IFERROR(IF($H55=Lists!$S$2,SUM('SEGUIMIENTO Y EVALUACIÓN'!J55:N55),IF('SEGUIMIENTO Y EVALUACIÓN'!$H55=Lists!$S$3,SUM('SEGUIMIENTO Y EVALUACIÓN'!K55:N55),IF('SEGUIMIENTO Y EVALUACIÓN'!$H55=Lists!$S$4,AVERAGE('SEGUIMIENTO Y EVALUACIÓN'!K55:N55),IF('SEGUIMIENTO Y EVALUACIÓN'!$H55=Lists!$S$5,OFFSET(J55,0,COUNTA(K55:N55)),IF($H55=Lists!$S$6,COUNTIF(K55:N55,"&lt;"&amp;FORMULACIÓN!Q55)/COUNT('SEGUIMIENTO Y EVALUACIÓN'!K55:N55),""))))),"")</f>
        <v>0</v>
      </c>
      <c r="P55" s="51">
        <f ca="1">IF($G55=Lists!$R$3,TEXT('SEGUIMIENTO Y EVALUACIÓN'!O55,"00,00%"),IF('SEGUIMIENTO Y EVALUACIÓN'!O55=0,0,TEXT('SEGUIMIENTO Y EVALUACIÓN'!O55,"##.###")))</f>
        <v>0</v>
      </c>
      <c r="Q55" s="209" t="str">
        <f>IF(FORMULACIÓN!R55&lt;&gt;"",FORMULACIÓN!R55,"")</f>
        <v xml:space="preserve">P3 - Gestión y mejoramiento curricular </v>
      </c>
      <c r="R55" s="209">
        <f>IF(FORMULACIÓN!S55&lt;&gt;"",FORMULACIÓN!S55,"")</f>
        <v>3.8461538461538464E-3</v>
      </c>
      <c r="S55" s="209" t="str">
        <f>IF(FORMULACIÓN!T55&lt;&gt;"",FORMULACIÓN!T55,"")</f>
        <v>Vicerrector de Docencia</v>
      </c>
      <c r="T55" s="42"/>
      <c r="U55" s="42"/>
      <c r="V55" s="42"/>
      <c r="W55" s="43" t="str">
        <f t="shared" si="0"/>
        <v/>
      </c>
      <c r="X55" s="42"/>
      <c r="Y55" s="42"/>
      <c r="Z55" s="42"/>
      <c r="AA55" s="43" t="str">
        <f t="shared" si="1"/>
        <v/>
      </c>
      <c r="AB55" s="42"/>
      <c r="AC55" s="42"/>
      <c r="AD55" s="42"/>
      <c r="AE55" s="43" t="str">
        <f t="shared" si="2"/>
        <v/>
      </c>
      <c r="AF55" s="42"/>
      <c r="AG55" s="42"/>
      <c r="AH55" s="42"/>
      <c r="AI55" s="46" t="str">
        <f t="shared" si="3"/>
        <v/>
      </c>
      <c r="AJ55" s="46" t="str">
        <f>IF(SUM(AA55,AE55,W55,AI55)=0,"",SUM((AA55,AE55,W55,AI55)))</f>
        <v/>
      </c>
      <c r="AK55"/>
      <c r="AL55" s="1" t="str">
        <f t="shared" si="7"/>
        <v>L1M5P3</v>
      </c>
      <c r="AM55" s="56" t="str">
        <f t="shared" si="8"/>
        <v>Proyecto Educativo Institucional PEI resignificado</v>
      </c>
      <c r="AN55" s="112" t="str">
        <f ca="1">IF($G55=Lists!$R$3,"T1: "&amp;TEXT(FORMULACIÓN!L55,"00,00%")&amp;CHAR(10)&amp;"T2: "&amp;TEXT(FORMULACIÓN!M55,"00,00%")&amp;CHAR(10)&amp;"T3: "&amp;TEXT(FORMULACIÓN!N55,"00,00%")&amp;CHAR(10)&amp;"Tn: "&amp;TEXT(FORMULACIÓN!O55,"00,00%"),IF(FORMULACIÓN!Q55=0,0,"T1: "&amp;TEXT(FORMULACIÓN!L55,"##.###")&amp;CHAR(10)&amp;"T2: "&amp;TEXT(FORMULACIÓN!M55,"##.###")&amp;CHAR(10)&amp;"T3: "&amp;TEXT(FORMULACIÓN!N55,"##.###")&amp;CHAR(10)&amp;"Tn: "&amp;TEXT(FORMULACIÓN!O55,"##.###")))</f>
        <v xml:space="preserve">T1: 1
T2: 
T3: 
Tn: </v>
      </c>
      <c r="AO55" s="117">
        <f>IFERROR(IF($H55=Lists!$S$6,IF(AND(FORMULACIÓN!L55&gt;K55,K55&gt;0),1,0),IF((K55/FORMULACIÓN!L55)&lt;&gt;0,K55/FORMULACIÓN!L55,0)),"")</f>
        <v>0</v>
      </c>
      <c r="AP55" s="117" t="str">
        <f>IFERROR(IF($H55=Lists!$S$6,IF(AND(FORMULACIÓN!M55&gt;L55,L55&gt;0),1,0),IF((L55/FORMULACIÓN!M55)&lt;&gt;0,L55/FORMULACIÓN!M55,0)),"")</f>
        <v/>
      </c>
      <c r="AQ55" s="117" t="str">
        <f>IFERROR(IF($H55=Lists!$S$6,IF(AND(FORMULACIÓN!N55&gt;M55,M55&gt;0),1,0),IF((M55/FORMULACIÓN!N55)&lt;&gt;0,M55/FORMULACIÓN!N55,0)),"")</f>
        <v/>
      </c>
      <c r="AR55" s="117" t="str">
        <f>IFERROR(IF($H55=Lists!$S$6,IF(AND(FORMULACIÓN!O55&gt;N55,N55&gt;0),1,0),IF((N55/FORMULACIÓN!O55)&lt;&gt;0,N55/FORMULACIÓN!O55,0)),"")</f>
        <v/>
      </c>
      <c r="AS55" s="110"/>
      <c r="AT55" s="118">
        <f ca="1">IF($H55=Lists!$S$6,TEXT(COUNTIF('SEGUIMIENTO Y EVALUACIÓN'!K55:N55,"&lt;"&amp;FORMULACIÓN!Q55),"##.###")&amp;" / "&amp;TEXT(COUNTIF('SEGUIMIENTO Y EVALUACIÓN'!K55:N55,"&gt;"&amp;0),"##.###"),IF($G55=Lists!$R$3,TEXT('SEGUIMIENTO Y EVALUACIÓN'!O55,"00,00%")&amp;" / "&amp;TEXT(FORMULACIÓN!P55,"00,00%"),IF('SEGUIMIENTO Y EVALUACIÓN'!O55=0,0,TEXT('SEGUIMIENTO Y EVALUACIÓN'!O55,"##.###")&amp;" / "&amp;TEXT(FORMULACIÓN!P55,"##.###"))))</f>
        <v>0</v>
      </c>
      <c r="AU55" s="57">
        <f ca="1">IFERROR(IF((P55/FORMULACIÓN!Q55)&lt;&gt;0,IF($H55=Lists!$S$6,COUNTIF('SEGUIMIENTO Y EVALUACIÓN'!K55:N55,"&lt;"&amp;FORMULACIÓN!Q55),'SEGUIMIENTO Y EVALUACIÓN'!P55)/IF($H55=Lists!$S$6,COUNTIF('SEGUIMIENTO Y EVALUACIÓN'!K55:N55,"&gt;"&amp;0),FORMULACIÓN!P55),0),0)</f>
        <v>0</v>
      </c>
      <c r="AV55" s="93">
        <f t="shared" ca="1" si="6"/>
        <v>0</v>
      </c>
      <c r="AW55" s="93" cm="1">
        <f t="array" ref="AW55">IF(INDEX(AO55:AU55,1,$AV$3)&gt;1,IF($AU$2=1,1,INDEX(AO55:AU55,1,$AV$3)),INDEX(AO55:AU55,1,$AV$3))</f>
        <v>0</v>
      </c>
      <c r="AX55"/>
      <c r="AY55" s="119" t="str">
        <f>IFERROR(IF((W55/FORMULACIÓN!X55)&lt;&gt;0,W55/FORMULACIÓN!X55,0),"")</f>
        <v/>
      </c>
      <c r="AZ55" s="119" t="str">
        <f>IFERROR(IF((AA55/FORMULACIÓN!AB55)&lt;&gt;0,AA55/FORMULACIÓN!AB55,0),"")</f>
        <v/>
      </c>
      <c r="BA55" s="119" t="str">
        <f>IFERROR(IF((AE55/FORMULACIÓN!AF55)&lt;&gt;0,(AE55/FORMULACIÓN!AF55),0),"")</f>
        <v/>
      </c>
      <c r="BB55" s="119" t="str">
        <f>IFERROR(IF((AI55/FORMULACIÓN!AJ55)&lt;&gt;0,AI55/FORMULACIÓN!AJ55,0),"")</f>
        <v/>
      </c>
      <c r="BC55" s="120" t="str">
        <f>IF('SEGUIMIENTO Y EVALUACIÓN'!AI55=0,0,TEXT('SEGUIMIENTO Y EVALUACIÓN'!AI55,"$ ##.###")&amp;" / "&amp;TEXT(FORMULACIÓN!AK55,"$ ##.###"))</f>
        <v xml:space="preserve"> / $ 7.456.428.439</v>
      </c>
      <c r="BD55" s="57">
        <f>IFERROR(IF((AJ55/FORMULACIÓN!AK55)&lt;&gt;0,AJ55/FORMULACIÓN!AK55,0),0)</f>
        <v>0</v>
      </c>
      <c r="BJ55"/>
      <c r="BK55"/>
      <c r="CL55" s="7"/>
    </row>
    <row r="56" spans="1:90" s="1" customFormat="1" ht="90">
      <c r="A56" s="45">
        <f>IF(FORMULACIÓN!A56="","",FORMULACIÓN!A56)</f>
        <v>45</v>
      </c>
      <c r="B56" s="45" t="str">
        <f>IF(FORMULACIÓN!B56="","",FORMULACIÓN!B56)</f>
        <v>L1 - Formación Académica Integral</v>
      </c>
      <c r="C56" s="45" t="str">
        <f>IF(FORMULACIÓN!E56="","",FORMULACIÓN!E56)</f>
        <v>M5 - Autoevaluación y acreditación Institucional y de programas académicos en el contexto nacional e internacional</v>
      </c>
      <c r="D56" s="45" t="str">
        <f>IF(FORMULACIÓN!F56="","",FORMULACIÓN!F56)</f>
        <v>Formación profesional con enfoque hacia la responsabilidad social universitaria (RSU) en el 100% de los programas académicos.</v>
      </c>
      <c r="E56" s="45" t="str">
        <f>IF(FORMULACIÓN!G56="","",FORMULACIÓN!G56)</f>
        <v>Cursos de los planes de estudio que aborden temáticas ciudadanas y de responsabilidad social  (DD.HH, desarrollo sostenible, ética profesional y cívica, gestión de la RS, ODS)</v>
      </c>
      <c r="F56" s="45" t="str">
        <f>IF(FORMULACIÓN!H56="","",FORMULACIÓN!H56)</f>
        <v>(N° de cursos por plan de estudio que abordan temas de los Objetivos del Milenio, el Pacto Global, la Carta de la Tierra, el Decenio de Naciones Unidas de la Educación para el Desarrollo Sustentable, entre otros / N° de planes de estudios de los pogramas de pregrado) * 100</v>
      </c>
      <c r="G56" s="45" t="str">
        <f>IF(FORMULACIÓN!I56="","",FORMULACIÓN!I56)</f>
        <v>Porcentaje</v>
      </c>
      <c r="H56" s="45" t="str">
        <f>IF(FORMULACIÓN!J56="","",FORMULACIÓN!J56)</f>
        <v>Acumulado</v>
      </c>
      <c r="I56" s="188" t="str">
        <f ca="1">IF($G56=Lists!$R$3,"PDI: "&amp;TEXT(FORMULACIÓN!Q56,"00,00%")&amp;CHAR(10)&amp;CHAR(10)&amp;"T1: "&amp;TEXT(FORMULACIÓN!L56,"00,00%")&amp;CHAR(10)&amp;"T2: "&amp;TEXT(FORMULACIÓN!M56,"00,00%")&amp;CHAR(10)&amp;"T3: "&amp;TEXT(FORMULACIÓN!N56,"00,00%")&amp;CHAR(10)&amp;"Tn: "&amp;TEXT(FORMULACIÓN!O56,"00,00%"),IF(FORMULACIÓN!Q56=0,0,"PDI: "&amp;TEXT(FORMULACIÓN!Q56,"##.###")&amp;CHAR(10)&amp;CHAR(10)&amp;"T1: "&amp;TEXT(FORMULACIÓN!L56,"##.###")&amp;CHAR(10)&amp;"T2: "&amp;TEXT(FORMULACIÓN!M56,"##.###")&amp;CHAR(10)&amp;"T3: "&amp;TEXT(FORMULACIÓN!N56,"##.###")&amp;CHAR(10)&amp;"Tn: "&amp;TEXT(FORMULACIÓN!O56,"##.###")))</f>
        <v>PDI: 100,00%
T1: 10,00%
T2: 30,00%
T3: 30,00%
Tn: 30,00%</v>
      </c>
      <c r="J56" s="122">
        <f>IF(FORMULACIÓN!K56&lt;&gt;"",FORMULACIÓN!K56,"")</f>
        <v>0</v>
      </c>
      <c r="K56" s="309">
        <v>0.05</v>
      </c>
      <c r="L56" s="59"/>
      <c r="M56" s="59"/>
      <c r="N56" s="59"/>
      <c r="O56" s="47">
        <f ca="1">IFERROR(IF($H56=Lists!$S$2,SUM('SEGUIMIENTO Y EVALUACIÓN'!J56:N56),IF('SEGUIMIENTO Y EVALUACIÓN'!$H56=Lists!$S$3,SUM('SEGUIMIENTO Y EVALUACIÓN'!K56:N56),IF('SEGUIMIENTO Y EVALUACIÓN'!$H56=Lists!$S$4,AVERAGE('SEGUIMIENTO Y EVALUACIÓN'!K56:N56),IF('SEGUIMIENTO Y EVALUACIÓN'!$H56=Lists!$S$5,OFFSET(J56,0,COUNTA(K56:N56)),IF($H56=Lists!$S$6,COUNTIF(K56:N56,"&lt;"&amp;FORMULACIÓN!Q56)/COUNT('SEGUIMIENTO Y EVALUACIÓN'!K56:N56),""))))),"")</f>
        <v>0.05</v>
      </c>
      <c r="P56" s="51" t="str">
        <f ca="1">IF($G56=Lists!$R$3,TEXT('SEGUIMIENTO Y EVALUACIÓN'!O56,"00,00%"),IF('SEGUIMIENTO Y EVALUACIÓN'!O56=0,0,TEXT('SEGUIMIENTO Y EVALUACIÓN'!O56,"##.###")))</f>
        <v>05,00%</v>
      </c>
      <c r="Q56" s="209" t="str">
        <f>IF(FORMULACIÓN!R56&lt;&gt;"",FORMULACIÓN!R56,"")</f>
        <v xml:space="preserve">P3 - Gestión y mejoramiento curricular </v>
      </c>
      <c r="R56" s="209">
        <f>IF(FORMULACIÓN!S56&lt;&gt;"",FORMULACIÓN!S56,"")</f>
        <v>3.8461538461538464E-3</v>
      </c>
      <c r="S56" s="209" t="str">
        <f>IF(FORMULACIÓN!T56&lt;&gt;"",FORMULACIÓN!T56,"")</f>
        <v>Vicerrector de Docencia</v>
      </c>
      <c r="T56" s="42"/>
      <c r="U56" s="42"/>
      <c r="V56" s="42"/>
      <c r="W56" s="43" t="str">
        <f t="shared" si="0"/>
        <v/>
      </c>
      <c r="X56" s="42"/>
      <c r="Y56" s="42"/>
      <c r="Z56" s="42"/>
      <c r="AA56" s="43" t="str">
        <f t="shared" si="1"/>
        <v/>
      </c>
      <c r="AB56" s="42"/>
      <c r="AC56" s="42"/>
      <c r="AD56" s="42"/>
      <c r="AE56" s="43" t="str">
        <f t="shared" si="2"/>
        <v/>
      </c>
      <c r="AF56" s="42"/>
      <c r="AG56" s="42"/>
      <c r="AH56" s="42"/>
      <c r="AI56" s="46" t="str">
        <f t="shared" si="3"/>
        <v/>
      </c>
      <c r="AJ56" s="46" t="str">
        <f>IF(SUM(AA56,AE56,W56,AI56)=0,"",SUM((AA56,AE56,W56,AI56)))</f>
        <v/>
      </c>
      <c r="AK56"/>
      <c r="AL56" s="1" t="str">
        <f t="shared" si="7"/>
        <v>L1M5P3</v>
      </c>
      <c r="AM56" s="56" t="str">
        <f t="shared" si="8"/>
        <v>Cursos de los planes de estudio que aborden temáticas ciudadanas y de responsabilidad social  (DD.HH, desarrollo sostenible, ética profesional y cívica, gestión de la RS, ODS)</v>
      </c>
      <c r="AN56" s="112" t="str">
        <f>IF($G56=Lists!$R$3,"T1: "&amp;TEXT(FORMULACIÓN!L56,"00,00%")&amp;CHAR(10)&amp;"T2: "&amp;TEXT(FORMULACIÓN!M56,"00,00%")&amp;CHAR(10)&amp;"T3: "&amp;TEXT(FORMULACIÓN!N56,"00,00%")&amp;CHAR(10)&amp;"Tn: "&amp;TEXT(FORMULACIÓN!O56,"00,00%"),IF(FORMULACIÓN!Q56=0,0,"T1: "&amp;TEXT(FORMULACIÓN!L56,"##.###")&amp;CHAR(10)&amp;"T2: "&amp;TEXT(FORMULACIÓN!M56,"##.###")&amp;CHAR(10)&amp;"T3: "&amp;TEXT(FORMULACIÓN!N56,"##.###")&amp;CHAR(10)&amp;"Tn: "&amp;TEXT(FORMULACIÓN!O56,"##.###")))</f>
        <v>T1: 10,00%
T2: 30,00%
T3: 30,00%
Tn: 30,00%</v>
      </c>
      <c r="AO56" s="117">
        <f>IFERROR(IF($H56=Lists!$S$6,IF(AND(FORMULACIÓN!L56&gt;K56,K56&gt;0),1,0),IF((K56/FORMULACIÓN!L56)&lt;&gt;0,K56/FORMULACIÓN!L56,0)),"")</f>
        <v>0.5</v>
      </c>
      <c r="AP56" s="117">
        <f>IFERROR(IF($H56=Lists!$S$6,IF(AND(FORMULACIÓN!M56&gt;L56,L56&gt;0),1,0),IF((L56/FORMULACIÓN!M56)&lt;&gt;0,L56/FORMULACIÓN!M56,0)),"")</f>
        <v>0</v>
      </c>
      <c r="AQ56" s="117">
        <f>IFERROR(IF($H56=Lists!$S$6,IF(AND(FORMULACIÓN!N56&gt;M56,M56&gt;0),1,0),IF((M56/FORMULACIÓN!N56)&lt;&gt;0,M56/FORMULACIÓN!N56,0)),"")</f>
        <v>0</v>
      </c>
      <c r="AR56" s="117">
        <f>IFERROR(IF($H56=Lists!$S$6,IF(AND(FORMULACIÓN!O56&gt;N56,N56&gt;0),1,0),IF((N56/FORMULACIÓN!O56)&lt;&gt;0,N56/FORMULACIÓN!O56,0)),"")</f>
        <v>0</v>
      </c>
      <c r="AS56" s="110"/>
      <c r="AT56" s="118" t="str">
        <f ca="1">IF($H56=Lists!$S$6,TEXT(COUNTIF('SEGUIMIENTO Y EVALUACIÓN'!K56:N56,"&lt;"&amp;FORMULACIÓN!Q56),"##.###")&amp;" / "&amp;TEXT(COUNTIF('SEGUIMIENTO Y EVALUACIÓN'!K56:N56,"&gt;"&amp;0),"##.###"),IF($G56=Lists!$R$3,TEXT('SEGUIMIENTO Y EVALUACIÓN'!O56,"00,00%")&amp;" / "&amp;TEXT(FORMULACIÓN!P56,"00,00%"),IF('SEGUIMIENTO Y EVALUACIÓN'!O56=0,0,TEXT('SEGUIMIENTO Y EVALUACIÓN'!O56,"##.###")&amp;" / "&amp;TEXT(FORMULACIÓN!P56,"##.###"))))</f>
        <v>05,00% / 100,00%</v>
      </c>
      <c r="AU56" s="57">
        <f ca="1">IFERROR(IF((P56/FORMULACIÓN!Q56)&lt;&gt;0,IF($H56=Lists!$S$6,COUNTIF('SEGUIMIENTO Y EVALUACIÓN'!K56:N56,"&lt;"&amp;FORMULACIÓN!Q56),'SEGUIMIENTO Y EVALUACIÓN'!P56)/IF($H56=Lists!$S$6,COUNTIF('SEGUIMIENTO Y EVALUACIÓN'!K56:N56,"&gt;"&amp;0),FORMULACIÓN!P56),0),0)</f>
        <v>0.05</v>
      </c>
      <c r="AV56" s="93">
        <f t="shared" ca="1" si="6"/>
        <v>1.9230769230769233E-4</v>
      </c>
      <c r="AW56" s="93" cm="1">
        <f t="array" ref="AW56">IF(INDEX(AO56:AU56,1,$AV$3)&gt;1,IF($AU$2=1,1,INDEX(AO56:AU56,1,$AV$3)),INDEX(AO56:AU56,1,$AV$3))</f>
        <v>0.5</v>
      </c>
      <c r="AX56"/>
      <c r="AY56" s="119" t="str">
        <f>IFERROR(IF((W56/FORMULACIÓN!X56)&lt;&gt;0,W56/FORMULACIÓN!X56,0),"")</f>
        <v/>
      </c>
      <c r="AZ56" s="119" t="str">
        <f>IFERROR(IF((AA56/FORMULACIÓN!AB56)&lt;&gt;0,AA56/FORMULACIÓN!AB56,0),"")</f>
        <v/>
      </c>
      <c r="BA56" s="119" t="str">
        <f>IFERROR(IF((AE56/FORMULACIÓN!AF56)&lt;&gt;0,(AE56/FORMULACIÓN!AF56),0),"")</f>
        <v/>
      </c>
      <c r="BB56" s="119" t="str">
        <f>IFERROR(IF((AI56/FORMULACIÓN!AJ56)&lt;&gt;0,AI56/FORMULACIÓN!AJ56,0),"")</f>
        <v/>
      </c>
      <c r="BC56" s="120" t="str">
        <f>IF('SEGUIMIENTO Y EVALUACIÓN'!AI56=0,0,TEXT('SEGUIMIENTO Y EVALUACIÓN'!AI56,"$ ##.###")&amp;" / "&amp;TEXT(FORMULACIÓN!AK56,"$ ##.###"))</f>
        <v xml:space="preserve"> / $ 5.133.725.318</v>
      </c>
      <c r="BD56" s="57">
        <f>IFERROR(IF((AJ56/FORMULACIÓN!AK56)&lt;&gt;0,AJ56/FORMULACIÓN!AK56,0),0)</f>
        <v>0</v>
      </c>
      <c r="BJ56"/>
      <c r="BK56"/>
      <c r="CL56" s="7"/>
    </row>
    <row r="57" spans="1:90" s="1" customFormat="1" ht="90">
      <c r="A57" s="45">
        <f>IF(FORMULACIÓN!A57="","",FORMULACIÓN!A57)</f>
        <v>46</v>
      </c>
      <c r="B57" s="45" t="str">
        <f>IF(FORMULACIÓN!B57="","",FORMULACIÓN!B57)</f>
        <v>L1 - Formación Académica Integral</v>
      </c>
      <c r="C57" s="45" t="str">
        <f>IF(FORMULACIÓN!E57="","",FORMULACIÓN!E57)</f>
        <v>M5 - Autoevaluación y acreditación Institucional y de programas académicos en el contexto nacional e internacional</v>
      </c>
      <c r="D57" s="45" t="str">
        <f>IF(FORMULACIÓN!F57="","",FORMULACIÓN!F57)</f>
        <v>Formación profesional con enfoque hacia la responsabilidad social universitaria (RSU) en el 100% de los programas académicos.</v>
      </c>
      <c r="E57" s="45" t="str">
        <f>IF(FORMULACIÓN!G57="","",FORMULACIÓN!G57)</f>
        <v>Cursos de los planes de estudio que aborden temáticas ciudadanas y de responsabilidad social  (DD.HH, desarrollo sostenible, ética profesional y cívica, gestión de la RS, ODS)</v>
      </c>
      <c r="F57" s="45" t="str">
        <f>IF(FORMULACIÓN!H57="","",FORMULACIÓN!H57)</f>
        <v>N° de proyectos de aula por facultad articulados a convocatorias del  Voluntariado UA que evidencien alto impacto en el sector externo</v>
      </c>
      <c r="G57" s="45" t="str">
        <f>IF(FORMULACIÓN!I57="","",FORMULACIÓN!I57)</f>
        <v>Unidad</v>
      </c>
      <c r="H57" s="45" t="str">
        <f>IF(FORMULACIÓN!J57="","",FORMULACIÓN!J57)</f>
        <v>Acumulado</v>
      </c>
      <c r="I57" s="188" t="str">
        <f ca="1">IF($G57=Lists!$R$3,"PDI: "&amp;TEXT(FORMULACIÓN!Q57,"00,00%")&amp;CHAR(10)&amp;CHAR(10)&amp;"T1: "&amp;TEXT(FORMULACIÓN!L57,"00,00%")&amp;CHAR(10)&amp;"T2: "&amp;TEXT(FORMULACIÓN!M57,"00,00%")&amp;CHAR(10)&amp;"T3: "&amp;TEXT(FORMULACIÓN!N57,"00,00%")&amp;CHAR(10)&amp;"Tn: "&amp;TEXT(FORMULACIÓN!O57,"00,00%"),IF(FORMULACIÓN!Q57=0,0,"PDI: "&amp;TEXT(FORMULACIÓN!Q57,"##.###")&amp;CHAR(10)&amp;CHAR(10)&amp;"T1: "&amp;TEXT(FORMULACIÓN!L57,"##.###")&amp;CHAR(10)&amp;"T2: "&amp;TEXT(FORMULACIÓN!M57,"##.###")&amp;CHAR(10)&amp;"T3: "&amp;TEXT(FORMULACIÓN!N57,"##.###")&amp;CHAR(10)&amp;"Tn: "&amp;TEXT(FORMULACIÓN!O57,"##.###")))</f>
        <v>PDI: 100
T1: 30
T2: 30
T3: 30
Tn: 10</v>
      </c>
      <c r="J57" s="122">
        <f>IF(FORMULACIÓN!K57&lt;&gt;"",FORMULACIÓN!K57,"")</f>
        <v>0</v>
      </c>
      <c r="K57" s="310">
        <v>6</v>
      </c>
      <c r="L57" s="58"/>
      <c r="M57" s="58"/>
      <c r="N57" s="58"/>
      <c r="O57" s="47">
        <f ca="1">IFERROR(IF($H57=Lists!$S$2,SUM('SEGUIMIENTO Y EVALUACIÓN'!J57:N57),IF('SEGUIMIENTO Y EVALUACIÓN'!$H57=Lists!$S$3,SUM('SEGUIMIENTO Y EVALUACIÓN'!K57:N57),IF('SEGUIMIENTO Y EVALUACIÓN'!$H57=Lists!$S$4,AVERAGE('SEGUIMIENTO Y EVALUACIÓN'!K57:N57),IF('SEGUIMIENTO Y EVALUACIÓN'!$H57=Lists!$S$5,OFFSET(J57,0,COUNTA(K57:N57)),IF($H57=Lists!$S$6,COUNTIF(K57:N57,"&lt;"&amp;FORMULACIÓN!Q57)/COUNT('SEGUIMIENTO Y EVALUACIÓN'!K57:N57),""))))),"")</f>
        <v>6</v>
      </c>
      <c r="P57" s="51" t="str">
        <f ca="1">IF($G57=Lists!$R$3,TEXT('SEGUIMIENTO Y EVALUACIÓN'!O57,"00,00%"),IF('SEGUIMIENTO Y EVALUACIÓN'!O57=0,0,TEXT('SEGUIMIENTO Y EVALUACIÓN'!O57,"##.###")))</f>
        <v>6</v>
      </c>
      <c r="Q57" s="209" t="str">
        <f>IF(FORMULACIÓN!R57&lt;&gt;"",FORMULACIÓN!R57,"")</f>
        <v xml:space="preserve">P3 - Gestión y mejoramiento curricular </v>
      </c>
      <c r="R57" s="209">
        <f>IF(FORMULACIÓN!S57&lt;&gt;"",FORMULACIÓN!S57,"")</f>
        <v>3.8461538461538464E-3</v>
      </c>
      <c r="S57" s="209" t="str">
        <f>IF(FORMULACIÓN!T57&lt;&gt;"",FORMULACIÓN!T57,"")</f>
        <v>Vicerrector de Docencia</v>
      </c>
      <c r="T57" s="42"/>
      <c r="U57" s="42"/>
      <c r="V57" s="42"/>
      <c r="W57" s="43" t="str">
        <f t="shared" si="0"/>
        <v/>
      </c>
      <c r="X57" s="42"/>
      <c r="Y57" s="42"/>
      <c r="Z57" s="42"/>
      <c r="AA57" s="43" t="str">
        <f t="shared" si="1"/>
        <v/>
      </c>
      <c r="AB57" s="42"/>
      <c r="AC57" s="42"/>
      <c r="AD57" s="42"/>
      <c r="AE57" s="43" t="str">
        <f t="shared" si="2"/>
        <v/>
      </c>
      <c r="AF57" s="42"/>
      <c r="AG57" s="42"/>
      <c r="AH57" s="42"/>
      <c r="AI57" s="46" t="str">
        <f t="shared" si="3"/>
        <v/>
      </c>
      <c r="AJ57" s="46" t="str">
        <f>IF(SUM(AA57,AE57,W57,AI57)=0,"",SUM((AA57,AE57,W57,AI57)))</f>
        <v/>
      </c>
      <c r="AK57"/>
      <c r="AL57" s="1" t="str">
        <f t="shared" si="7"/>
        <v>L1M5P3</v>
      </c>
      <c r="AM57" s="56" t="str">
        <f t="shared" si="8"/>
        <v>Cursos de los planes de estudio que aborden temáticas ciudadanas y de responsabilidad social  (DD.HH, desarrollo sostenible, ética profesional y cívica, gestión de la RS, ODS)</v>
      </c>
      <c r="AN57" s="112" t="str">
        <f ca="1">IF($G57=Lists!$R$3,"T1: "&amp;TEXT(FORMULACIÓN!L57,"00,00%")&amp;CHAR(10)&amp;"T2: "&amp;TEXT(FORMULACIÓN!M57,"00,00%")&amp;CHAR(10)&amp;"T3: "&amp;TEXT(FORMULACIÓN!N57,"00,00%")&amp;CHAR(10)&amp;"Tn: "&amp;TEXT(FORMULACIÓN!O57,"00,00%"),IF(FORMULACIÓN!Q57=0,0,"T1: "&amp;TEXT(FORMULACIÓN!L57,"##.###")&amp;CHAR(10)&amp;"T2: "&amp;TEXT(FORMULACIÓN!M57,"##.###")&amp;CHAR(10)&amp;"T3: "&amp;TEXT(FORMULACIÓN!N57,"##.###")&amp;CHAR(10)&amp;"Tn: "&amp;TEXT(FORMULACIÓN!O57,"##.###")))</f>
        <v>T1: 30
T2: 30
T3: 30
Tn: 10</v>
      </c>
      <c r="AO57" s="117">
        <f>IFERROR(IF($H57=Lists!$S$6,IF(AND(FORMULACIÓN!L57&gt;K57,K57&gt;0),1,0),IF((K57/FORMULACIÓN!L57)&lt;&gt;0,K57/FORMULACIÓN!L57,0)),"")</f>
        <v>0.2</v>
      </c>
      <c r="AP57" s="117">
        <f>IFERROR(IF($H57=Lists!$S$6,IF(AND(FORMULACIÓN!M57&gt;L57,L57&gt;0),1,0),IF((L57/FORMULACIÓN!M57)&lt;&gt;0,L57/FORMULACIÓN!M57,0)),"")</f>
        <v>0</v>
      </c>
      <c r="AQ57" s="117">
        <f>IFERROR(IF($H57=Lists!$S$6,IF(AND(FORMULACIÓN!N57&gt;M57,M57&gt;0),1,0),IF((M57/FORMULACIÓN!N57)&lt;&gt;0,M57/FORMULACIÓN!N57,0)),"")</f>
        <v>0</v>
      </c>
      <c r="AR57" s="117">
        <f>IFERROR(IF($H57=Lists!$S$6,IF(AND(FORMULACIÓN!O57&gt;N57,N57&gt;0),1,0),IF((N57/FORMULACIÓN!O57)&lt;&gt;0,N57/FORMULACIÓN!O57,0)),"")</f>
        <v>0</v>
      </c>
      <c r="AS57" s="110"/>
      <c r="AT57" s="118" t="str">
        <f ca="1">IF($H57=Lists!$S$6,TEXT(COUNTIF('SEGUIMIENTO Y EVALUACIÓN'!K57:N57,"&lt;"&amp;FORMULACIÓN!Q57),"##.###")&amp;" / "&amp;TEXT(COUNTIF('SEGUIMIENTO Y EVALUACIÓN'!K57:N57,"&gt;"&amp;0),"##.###"),IF($G57=Lists!$R$3,TEXT('SEGUIMIENTO Y EVALUACIÓN'!O57,"00,00%")&amp;" / "&amp;TEXT(FORMULACIÓN!P57,"00,00%"),IF('SEGUIMIENTO Y EVALUACIÓN'!O57=0,0,TEXT('SEGUIMIENTO Y EVALUACIÓN'!O57,"##.###")&amp;" / "&amp;TEXT(FORMULACIÓN!P57,"##.###"))))</f>
        <v>6 / 100</v>
      </c>
      <c r="AU57" s="57">
        <f ca="1">IFERROR(IF((P57/FORMULACIÓN!Q57)&lt;&gt;0,IF($H57=Lists!$S$6,COUNTIF('SEGUIMIENTO Y EVALUACIÓN'!K57:N57,"&lt;"&amp;FORMULACIÓN!Q57),'SEGUIMIENTO Y EVALUACIÓN'!P57)/IF($H57=Lists!$S$6,COUNTIF('SEGUIMIENTO Y EVALUACIÓN'!K57:N57,"&gt;"&amp;0),FORMULACIÓN!P57),0),0)</f>
        <v>0.06</v>
      </c>
      <c r="AV57" s="93">
        <f t="shared" ca="1" si="6"/>
        <v>2.3076923076923076E-4</v>
      </c>
      <c r="AW57" s="93" cm="1">
        <f t="array" ref="AW57">IF(INDEX(AO57:AU57,1,$AV$3)&gt;1,IF($AU$2=1,1,INDEX(AO57:AU57,1,$AV$3)),INDEX(AO57:AU57,1,$AV$3))</f>
        <v>0.2</v>
      </c>
      <c r="AX57"/>
      <c r="AY57" s="119"/>
      <c r="AZ57" s="119" t="str">
        <f>IFERROR(IF((AA57/FORMULACIÓN!AB57)&lt;&gt;0,AA57/FORMULACIÓN!AB57,0),"")</f>
        <v/>
      </c>
      <c r="BA57" s="119" t="str">
        <f>IFERROR(IF((AE57/FORMULACIÓN!AF57)&lt;&gt;0,(AE57/FORMULACIÓN!AF57),0),"")</f>
        <v/>
      </c>
      <c r="BB57" s="119" t="str">
        <f>IFERROR(IF((AI57/FORMULACIÓN!AJ57)&lt;&gt;0,AI57/FORMULACIÓN!AJ57,0),"")</f>
        <v/>
      </c>
      <c r="BC57" s="120" t="str">
        <f>IF('SEGUIMIENTO Y EVALUACIÓN'!AI57=0,0,TEXT('SEGUIMIENTO Y EVALUACIÓN'!AI57,"$ ##.###")&amp;" / "&amp;TEXT(FORMULACIÓN!AK57,"$ ##.###"))</f>
        <v xml:space="preserve"> / $ 4.444.172.830</v>
      </c>
      <c r="BD57" s="57">
        <f>IFERROR(IF((AJ57/FORMULACIÓN!AK57)&lt;&gt;0,AJ57/FORMULACIÓN!AK57,0),0)</f>
        <v>0</v>
      </c>
      <c r="BJ57"/>
      <c r="BK57"/>
      <c r="BL57" s="1">
        <f>(BN57*BO57)+(BN58*BO58)</f>
        <v>1</v>
      </c>
      <c r="BM57" s="1" t="s">
        <v>680</v>
      </c>
      <c r="BN57" s="86">
        <v>0.5</v>
      </c>
      <c r="BO57" s="21">
        <f>BQ57*BR57</f>
        <v>1</v>
      </c>
      <c r="BP57" s="1" t="s">
        <v>681</v>
      </c>
      <c r="BQ57" s="86">
        <v>1</v>
      </c>
      <c r="BR57" s="21">
        <v>1</v>
      </c>
      <c r="CL57" s="7"/>
    </row>
    <row r="58" spans="1:90" s="1" customFormat="1" ht="90">
      <c r="A58" s="45">
        <f>IF(FORMULACIÓN!A58="","",FORMULACIÓN!A58)</f>
        <v>47</v>
      </c>
      <c r="B58" s="45" t="str">
        <f>IF(FORMULACIÓN!B58="","",FORMULACIÓN!B58)</f>
        <v>L1 - Formación Académica Integral</v>
      </c>
      <c r="C58" s="45" t="str">
        <f>IF(FORMULACIÓN!E58="","",FORMULACIÓN!E58)</f>
        <v>M5 - Autoevaluación y acreditación Institucional y de programas académicos en el contexto nacional e internacional</v>
      </c>
      <c r="D58" s="45" t="str">
        <f>IF(FORMULACIÓN!F58="","",FORMULACIÓN!F58)</f>
        <v xml:space="preserve">Creación de un Centro de apoyo y gestión a la enseñanza aprendizaje. </v>
      </c>
      <c r="E58" s="45" t="str">
        <f>IF(FORMULACIÓN!G58="","",FORMULACIÓN!G58)</f>
        <v>Creación de un Centro de apoyo y gestión a la enseñanza aprendizaje</v>
      </c>
      <c r="F58" s="45" t="str">
        <f>IF(FORMULACIÓN!H58="","",FORMULACIÓN!H58)</f>
        <v>Centro de apoyo y gestión a la enseñanza aprendizaje puesto en marcha</v>
      </c>
      <c r="G58" s="45" t="str">
        <f>IF(FORMULACIÓN!I58="","",FORMULACIÓN!I58)</f>
        <v>Unidad</v>
      </c>
      <c r="H58" s="45" t="str">
        <f>IF(FORMULACIÓN!J58="","",FORMULACIÓN!J58)</f>
        <v>Nuevo gestionado durante la vigencia</v>
      </c>
      <c r="I58" s="188" t="str">
        <f ca="1">IF($G58=Lists!$R$3,"PDI: "&amp;TEXT(FORMULACIÓN!Q58,"00,00%")&amp;CHAR(10)&amp;CHAR(10)&amp;"T1: "&amp;TEXT(FORMULACIÓN!L58,"00,00%")&amp;CHAR(10)&amp;"T2: "&amp;TEXT(FORMULACIÓN!M58,"00,00%")&amp;CHAR(10)&amp;"T3: "&amp;TEXT(FORMULACIÓN!N58,"00,00%")&amp;CHAR(10)&amp;"Tn: "&amp;TEXT(FORMULACIÓN!O58,"00,00%"),IF(FORMULACIÓN!Q58=0,0,"PDI: "&amp;TEXT(FORMULACIÓN!Q58,"##.###")&amp;CHAR(10)&amp;CHAR(10)&amp;"T1: "&amp;TEXT(FORMULACIÓN!L58,"##.###")&amp;CHAR(10)&amp;"T2: "&amp;TEXT(FORMULACIÓN!M58,"##.###")&amp;CHAR(10)&amp;"T3: "&amp;TEXT(FORMULACIÓN!N58,"##.###")&amp;CHAR(10)&amp;"Tn: "&amp;TEXT(FORMULACIÓN!O58,"##.###")))</f>
        <v xml:space="preserve">PDI: 1
T1: 
T2: 1
T3: 
Tn: </v>
      </c>
      <c r="J58" s="122">
        <f>IF(FORMULACIÓN!K58&lt;&gt;"",FORMULACIÓN!K58,"")</f>
        <v>0</v>
      </c>
      <c r="K58" s="310">
        <v>0</v>
      </c>
      <c r="L58" s="58"/>
      <c r="M58" s="58"/>
      <c r="N58" s="58"/>
      <c r="O58" s="47">
        <f ca="1">IFERROR(IF($H58=Lists!$S$2,SUM('SEGUIMIENTO Y EVALUACIÓN'!J58:N58),IF('SEGUIMIENTO Y EVALUACIÓN'!$H58=Lists!$S$3,SUM('SEGUIMIENTO Y EVALUACIÓN'!K58:N58),IF('SEGUIMIENTO Y EVALUACIÓN'!$H58=Lists!$S$4,AVERAGE('SEGUIMIENTO Y EVALUACIÓN'!K58:N58),IF('SEGUIMIENTO Y EVALUACIÓN'!$H58=Lists!$S$5,OFFSET(J58,0,COUNTA(K58:N58)),IF($H58=Lists!$S$6,COUNTIF(K58:N58,"&lt;"&amp;FORMULACIÓN!Q58)/COUNT('SEGUIMIENTO Y EVALUACIÓN'!K58:N58),""))))),"")</f>
        <v>0</v>
      </c>
      <c r="P58" s="51">
        <f ca="1">IF($G58=Lists!$R$3,TEXT('SEGUIMIENTO Y EVALUACIÓN'!O58,"00,00%"),IF('SEGUIMIENTO Y EVALUACIÓN'!O58=0,0,TEXT('SEGUIMIENTO Y EVALUACIÓN'!O58,"##.###")))</f>
        <v>0</v>
      </c>
      <c r="Q58" s="209" t="str">
        <f>IF(FORMULACIÓN!R58&lt;&gt;"",FORMULACIÓN!R58,"")</f>
        <v xml:space="preserve">P3 - Gestión y mejoramiento curricular </v>
      </c>
      <c r="R58" s="209">
        <f>IF(FORMULACIÓN!S58&lt;&gt;"",FORMULACIÓN!S58,"")</f>
        <v>3.8461538461538464E-3</v>
      </c>
      <c r="S58" s="209" t="str">
        <f>IF(FORMULACIÓN!T58&lt;&gt;"",FORMULACIÓN!T58,"")</f>
        <v>Vicerrector de Docencia</v>
      </c>
      <c r="T58" s="42"/>
      <c r="U58" s="42"/>
      <c r="V58" s="42"/>
      <c r="W58" s="43" t="str">
        <f t="shared" si="0"/>
        <v/>
      </c>
      <c r="X58" s="42"/>
      <c r="Y58" s="42"/>
      <c r="Z58" s="42"/>
      <c r="AA58" s="43" t="str">
        <f t="shared" si="1"/>
        <v/>
      </c>
      <c r="AB58" s="42"/>
      <c r="AC58" s="42"/>
      <c r="AD58" s="42"/>
      <c r="AE58" s="43" t="str">
        <f t="shared" si="2"/>
        <v/>
      </c>
      <c r="AF58" s="42"/>
      <c r="AG58" s="42"/>
      <c r="AH58" s="42"/>
      <c r="AI58" s="46" t="str">
        <f t="shared" si="3"/>
        <v/>
      </c>
      <c r="AJ58" s="46" t="str">
        <f>IF(SUM(AA58,AE58,W58,AI58)=0,"",SUM((AA58,AE58,W58,AI58)))</f>
        <v/>
      </c>
      <c r="AK58"/>
      <c r="AL58" s="1" t="str">
        <f t="shared" si="7"/>
        <v>L1M5P3</v>
      </c>
      <c r="AM58" s="56" t="str">
        <f t="shared" si="8"/>
        <v>Creación de un Centro de apoyo y gestión a la enseñanza aprendizaje</v>
      </c>
      <c r="AN58" s="112" t="str">
        <f ca="1">IF($G58=Lists!$R$3,"T1: "&amp;TEXT(FORMULACIÓN!L58,"00,00%")&amp;CHAR(10)&amp;"T2: "&amp;TEXT(FORMULACIÓN!M58,"00,00%")&amp;CHAR(10)&amp;"T3: "&amp;TEXT(FORMULACIÓN!N58,"00,00%")&amp;CHAR(10)&amp;"Tn: "&amp;TEXT(FORMULACIÓN!O58,"00,00%"),IF(FORMULACIÓN!Q58=0,0,"T1: "&amp;TEXT(FORMULACIÓN!L58,"##.###")&amp;CHAR(10)&amp;"T2: "&amp;TEXT(FORMULACIÓN!M58,"##.###")&amp;CHAR(10)&amp;"T3: "&amp;TEXT(FORMULACIÓN!N58,"##.###")&amp;CHAR(10)&amp;"Tn: "&amp;TEXT(FORMULACIÓN!O58,"##.###")))</f>
        <v xml:space="preserve">T1: 
T2: 1
T3: 
Tn: </v>
      </c>
      <c r="AO58" s="117" t="str">
        <f>IFERROR(IF($H58=Lists!$S$6,IF(AND(FORMULACIÓN!L58&gt;K58,K58&gt;0),1,0),IF((K58/FORMULACIÓN!L58)&lt;&gt;0,K58/FORMULACIÓN!L58,0)),"")</f>
        <v/>
      </c>
      <c r="AP58" s="117">
        <f>IFERROR(IF($H58=Lists!$S$6,IF(AND(FORMULACIÓN!M58&gt;L58,L58&gt;0),1,0),IF((L58/FORMULACIÓN!M58)&lt;&gt;0,L58/FORMULACIÓN!M58,0)),"")</f>
        <v>0</v>
      </c>
      <c r="AQ58" s="117" t="str">
        <f>IFERROR(IF($H58=Lists!$S$6,IF(AND(FORMULACIÓN!N58&gt;M58,M58&gt;0),1,0),IF((M58/FORMULACIÓN!N58)&lt;&gt;0,M58/FORMULACIÓN!N58,0)),"")</f>
        <v/>
      </c>
      <c r="AR58" s="117" t="str">
        <f>IFERROR(IF($H58=Lists!$S$6,IF(AND(FORMULACIÓN!O58&gt;N58,N58&gt;0),1,0),IF((N58/FORMULACIÓN!O58)&lt;&gt;0,N58/FORMULACIÓN!O58,0)),"")</f>
        <v/>
      </c>
      <c r="AS58" s="110"/>
      <c r="AT58" s="118">
        <f ca="1">IF($H58=Lists!$S$6,TEXT(COUNTIF('SEGUIMIENTO Y EVALUACIÓN'!K58:N58,"&lt;"&amp;FORMULACIÓN!Q58),"##.###")&amp;" / "&amp;TEXT(COUNTIF('SEGUIMIENTO Y EVALUACIÓN'!K58:N58,"&gt;"&amp;0),"##.###"),IF($G58=Lists!$R$3,TEXT('SEGUIMIENTO Y EVALUACIÓN'!O58,"00,00%")&amp;" / "&amp;TEXT(FORMULACIÓN!P58,"00,00%"),IF('SEGUIMIENTO Y EVALUACIÓN'!O58=0,0,TEXT('SEGUIMIENTO Y EVALUACIÓN'!O58,"##.###")&amp;" / "&amp;TEXT(FORMULACIÓN!P58,"##.###"))))</f>
        <v>0</v>
      </c>
      <c r="AU58" s="57">
        <f ca="1">IFERROR(IF((P58/FORMULACIÓN!Q58)&lt;&gt;0,IF($H58=Lists!$S$6,COUNTIF('SEGUIMIENTO Y EVALUACIÓN'!K58:N58,"&lt;"&amp;FORMULACIÓN!Q58),'SEGUIMIENTO Y EVALUACIÓN'!P58)/IF($H58=Lists!$S$6,COUNTIF('SEGUIMIENTO Y EVALUACIÓN'!K58:N58,"&gt;"&amp;0),FORMULACIÓN!P58),0),0)</f>
        <v>0</v>
      </c>
      <c r="AV58" s="93">
        <f t="shared" ca="1" si="6"/>
        <v>0</v>
      </c>
      <c r="AW58" s="93" cm="1">
        <f t="array" ref="AW58">IF(INDEX(AO58:AU58,1,$AV$3)&gt;1,IF($AU$2=1,1,INDEX(AO58:AU58,1,$AV$3)),INDEX(AO58:AU58,1,$AV$3))</f>
        <v>1</v>
      </c>
      <c r="AX58"/>
      <c r="AY58" s="119" t="str">
        <f>IFERROR(IF((W58/FORMULACIÓN!X58)&lt;&gt;0,W58/FORMULACIÓN!X58,0),"")</f>
        <v/>
      </c>
      <c r="AZ58" s="119" t="str">
        <f>IFERROR(IF((AA58/FORMULACIÓN!AB58)&lt;&gt;0,AA58/FORMULACIÓN!AB58,0),"")</f>
        <v/>
      </c>
      <c r="BA58" s="119" t="str">
        <f>IFERROR(IF((AE58/FORMULACIÓN!AF58)&lt;&gt;0,(AE58/FORMULACIÓN!AF58),0),"")</f>
        <v/>
      </c>
      <c r="BB58" s="119" t="str">
        <f>IFERROR(IF((AI58/FORMULACIÓN!AJ58)&lt;&gt;0,AI58/FORMULACIÓN!AJ58,0),"")</f>
        <v/>
      </c>
      <c r="BC58" s="120" t="str">
        <f>IF('SEGUIMIENTO Y EVALUACIÓN'!AI58=0,0,TEXT('SEGUIMIENTO Y EVALUACIÓN'!AI58,"$ ##.###")&amp;" / "&amp;TEXT(FORMULACIÓN!AK58,"$ ##.###"))</f>
        <v xml:space="preserve"> / $ 7.964.519.747</v>
      </c>
      <c r="BD58" s="57">
        <f>IFERROR(IF((AJ58/FORMULACIÓN!AK58)&lt;&gt;0,AJ58/FORMULACIÓN!AK58,0),0)</f>
        <v>0</v>
      </c>
      <c r="BJ58"/>
      <c r="BK58"/>
      <c r="BM58" s="1" t="s">
        <v>682</v>
      </c>
      <c r="BN58" s="86">
        <v>0.5</v>
      </c>
      <c r="BO58" s="21">
        <f>(BQ58*BR58)+(BQ59*BR59)</f>
        <v>1</v>
      </c>
      <c r="BP58" s="1" t="s">
        <v>683</v>
      </c>
      <c r="BQ58" s="86">
        <v>0.5</v>
      </c>
      <c r="BR58" s="21">
        <v>1</v>
      </c>
      <c r="CL58" s="7"/>
    </row>
    <row r="59" spans="1:90" s="1" customFormat="1" ht="90">
      <c r="A59" s="45">
        <f>IF(FORMULACIÓN!A59="","",FORMULACIÓN!A59)</f>
        <v>48</v>
      </c>
      <c r="B59" s="45" t="str">
        <f>IF(FORMULACIÓN!B59="","",FORMULACIÓN!B59)</f>
        <v>L1 - Formación Académica Integral</v>
      </c>
      <c r="C59" s="45" t="str">
        <f>IF(FORMULACIÓN!E59="","",FORMULACIÓN!E59)</f>
        <v>M5 - Autoevaluación y acreditación Institucional y de programas académicos en el contexto nacional e internacional</v>
      </c>
      <c r="D59" s="45" t="str">
        <f>IF(FORMULACIÓN!F59="","",FORMULACIÓN!F59)</f>
        <v xml:space="preserve">Incrementar en un 20% los niveles de desempeño globales en Pruebas Saber Pro de los programas académicos y 50 puntos en el puntaje de la institución. </v>
      </c>
      <c r="E59" s="45" t="str">
        <f>IF(FORMULACIÓN!G59="","",FORMULACIÓN!G59)</f>
        <v>Porcentaje de programas académicos con promedio del puntaje global superior y/o similar al grupo de referencia NBC (Núcleo Básico de Conocimiento) en Saber Pro, TyT o su equivalente por 3 años consecutivos</v>
      </c>
      <c r="F59" s="45" t="str">
        <f>IF(FORMULACIÓN!H59="","",FORMULACIÓN!H59)</f>
        <v>(N° de programas académicos de pregrado con promedio del puntaje global superior y/o similar al grupo de referencia NBC durante los 3 últimos años/ total de programas académicos de pregrado que presentan las pruebas Saber Pro y TyT )* 100</v>
      </c>
      <c r="G59" s="45" t="str">
        <f>IF(FORMULACIÓN!I59="","",FORMULACIÓN!I59)</f>
        <v>Porcentaje</v>
      </c>
      <c r="H59" s="45" t="str">
        <f>IF(FORMULACIÓN!J59="","",FORMULACIÓN!J59)</f>
        <v>Acumulado</v>
      </c>
      <c r="I59" s="188" t="str">
        <f ca="1">IF($G59=Lists!$R$3,"PDI: "&amp;TEXT(FORMULACIÓN!Q59,"00,00%")&amp;CHAR(10)&amp;CHAR(10)&amp;"T1: "&amp;TEXT(FORMULACIÓN!L59,"00,00%")&amp;CHAR(10)&amp;"T2: "&amp;TEXT(FORMULACIÓN!M59,"00,00%")&amp;CHAR(10)&amp;"T3: "&amp;TEXT(FORMULACIÓN!N59,"00,00%")&amp;CHAR(10)&amp;"Tn: "&amp;TEXT(FORMULACIÓN!O59,"00,00%"),IF(FORMULACIÓN!Q59=0,0,"PDI: "&amp;TEXT(FORMULACIÓN!Q59,"##.###")&amp;CHAR(10)&amp;CHAR(10)&amp;"T1: "&amp;TEXT(FORMULACIÓN!L59,"##.###")&amp;CHAR(10)&amp;"T2: "&amp;TEXT(FORMULACIÓN!M59,"##.###")&amp;CHAR(10)&amp;"T3: "&amp;TEXT(FORMULACIÓN!N59,"##.###")&amp;CHAR(10)&amp;"Tn: "&amp;TEXT(FORMULACIÓN!O59,"##.###")))</f>
        <v>PDI: 80,00%
T1: 05,00%
T2: 05,00%
T3: 05,00%
Tn: 05,00%</v>
      </c>
      <c r="J59" s="209">
        <f>IF(FORMULACIÓN!K59&lt;&gt;"",FORMULACIÓN!K59,"")</f>
        <v>0.6</v>
      </c>
      <c r="K59" s="309">
        <v>0.05</v>
      </c>
      <c r="L59" s="59"/>
      <c r="M59" s="59"/>
      <c r="N59" s="59"/>
      <c r="O59" s="47">
        <f ca="1">IFERROR(IF($H59=Lists!$S$2,SUM('SEGUIMIENTO Y EVALUACIÓN'!J59:N59),IF('SEGUIMIENTO Y EVALUACIÓN'!$H59=Lists!$S$3,SUM('SEGUIMIENTO Y EVALUACIÓN'!K59:N59),IF('SEGUIMIENTO Y EVALUACIÓN'!$H59=Lists!$S$4,AVERAGE('SEGUIMIENTO Y EVALUACIÓN'!K59:N59),IF('SEGUIMIENTO Y EVALUACIÓN'!$H59=Lists!$S$5,OFFSET(J59,0,COUNTA(K59:N59)),IF($H59=Lists!$S$6,COUNTIF(K59:N59,"&lt;"&amp;FORMULACIÓN!Q59)/COUNT('SEGUIMIENTO Y EVALUACIÓN'!K59:N59),""))))),"")</f>
        <v>0.65</v>
      </c>
      <c r="P59" s="51" t="str">
        <f ca="1">IF($G59=Lists!$R$3,TEXT('SEGUIMIENTO Y EVALUACIÓN'!O59,"00,00%"),IF('SEGUIMIENTO Y EVALUACIÓN'!O59=0,0,TEXT('SEGUIMIENTO Y EVALUACIÓN'!O59,"##.###")))</f>
        <v>65,00%</v>
      </c>
      <c r="Q59" s="209" t="str">
        <f>IF(FORMULACIÓN!R59&lt;&gt;"",FORMULACIÓN!R59,"")</f>
        <v xml:space="preserve">P3 - Gestión y mejoramiento curricular </v>
      </c>
      <c r="R59" s="209">
        <f>IF(FORMULACIÓN!S59&lt;&gt;"",FORMULACIÓN!S59,"")</f>
        <v>3.8461538461538464E-3</v>
      </c>
      <c r="S59" s="209" t="str">
        <f>IF(FORMULACIÓN!T59&lt;&gt;"",FORMULACIÓN!T59,"")</f>
        <v>Vicerrector de Docencia</v>
      </c>
      <c r="T59" s="42"/>
      <c r="U59" s="42"/>
      <c r="V59" s="42"/>
      <c r="W59" s="43" t="str">
        <f t="shared" si="0"/>
        <v/>
      </c>
      <c r="X59" s="42"/>
      <c r="Y59" s="42"/>
      <c r="Z59" s="42"/>
      <c r="AA59" s="43" t="str">
        <f t="shared" si="1"/>
        <v/>
      </c>
      <c r="AB59" s="42"/>
      <c r="AC59" s="42"/>
      <c r="AD59" s="42"/>
      <c r="AE59" s="43" t="str">
        <f t="shared" si="2"/>
        <v/>
      </c>
      <c r="AF59" s="42"/>
      <c r="AG59" s="42"/>
      <c r="AH59" s="42"/>
      <c r="AI59" s="46" t="str">
        <f t="shared" si="3"/>
        <v/>
      </c>
      <c r="AJ59" s="46" t="str">
        <f>IF(SUM(AA59,AE59,W59,AI59)=0,"",SUM((AA59,AE59,W59,AI59)))</f>
        <v/>
      </c>
      <c r="AK59"/>
      <c r="AL59" s="1" t="str">
        <f t="shared" si="7"/>
        <v>L1M5P3</v>
      </c>
      <c r="AM59" s="56" t="str">
        <f t="shared" si="8"/>
        <v>Porcentaje de programas académicos con promedio del puntaje global superior y/o similar al grupo de referencia NBC (Núcleo Básico de Conocimiento) en Saber Pro, TyT o su equivalente por 3 años consecutivos</v>
      </c>
      <c r="AN59" s="112" t="str">
        <f>IF($G59=Lists!$R$3,"T1: "&amp;TEXT(FORMULACIÓN!L59,"00,00%")&amp;CHAR(10)&amp;"T2: "&amp;TEXT(FORMULACIÓN!M59,"00,00%")&amp;CHAR(10)&amp;"T3: "&amp;TEXT(FORMULACIÓN!N59,"00,00%")&amp;CHAR(10)&amp;"Tn: "&amp;TEXT(FORMULACIÓN!O59,"00,00%"),IF(FORMULACIÓN!Q59=0,0,"T1: "&amp;TEXT(FORMULACIÓN!L59,"##.###")&amp;CHAR(10)&amp;"T2: "&amp;TEXT(FORMULACIÓN!M59,"##.###")&amp;CHAR(10)&amp;"T3: "&amp;TEXT(FORMULACIÓN!N59,"##.###")&amp;CHAR(10)&amp;"Tn: "&amp;TEXT(FORMULACIÓN!O59,"##.###")))</f>
        <v>T1: 05,00%
T2: 05,00%
T3: 05,00%
Tn: 05,00%</v>
      </c>
      <c r="AO59" s="117">
        <f>IFERROR(IF($H59=Lists!$S$6,IF(AND(FORMULACIÓN!L59&gt;K59,K59&gt;0),1,0),IF((K59/FORMULACIÓN!L59)&lt;&gt;0,K59/FORMULACIÓN!L59,0)),"")</f>
        <v>1</v>
      </c>
      <c r="AP59" s="117">
        <f>IFERROR(IF($H59=Lists!$S$6,IF(AND(FORMULACIÓN!M59&gt;L59,L59&gt;0),1,0),IF((L59/FORMULACIÓN!M59)&lt;&gt;0,L59/FORMULACIÓN!M59,0)),"")</f>
        <v>0</v>
      </c>
      <c r="AQ59" s="117">
        <f>IFERROR(IF($H59=Lists!$S$6,IF(AND(FORMULACIÓN!N59&gt;M59,M59&gt;0),1,0),IF((M59/FORMULACIÓN!N59)&lt;&gt;0,M59/FORMULACIÓN!N59,0)),"")</f>
        <v>0</v>
      </c>
      <c r="AR59" s="117">
        <f>IFERROR(IF($H59=Lists!$S$6,IF(AND(FORMULACIÓN!O59&gt;N59,N59&gt;0),1,0),IF((N59/FORMULACIÓN!O59)&lt;&gt;0,N59/FORMULACIÓN!O59,0)),"")</f>
        <v>0</v>
      </c>
      <c r="AS59" s="110"/>
      <c r="AT59" s="118" t="str">
        <f ca="1">IF($H59=Lists!$S$6,TEXT(COUNTIF('SEGUIMIENTO Y EVALUACIÓN'!K59:N59,"&lt;"&amp;FORMULACIÓN!Q59),"##.###")&amp;" / "&amp;TEXT(COUNTIF('SEGUIMIENTO Y EVALUACIÓN'!K59:N59,"&gt;"&amp;0),"##.###"),IF($G59=Lists!$R$3,TEXT('SEGUIMIENTO Y EVALUACIÓN'!O59,"00,00%")&amp;" / "&amp;TEXT(FORMULACIÓN!P59,"00,00%"),IF('SEGUIMIENTO Y EVALUACIÓN'!O59=0,0,TEXT('SEGUIMIENTO Y EVALUACIÓN'!O59,"##.###")&amp;" / "&amp;TEXT(FORMULACIÓN!P59,"##.###"))))</f>
        <v>65,00% / 80,00%</v>
      </c>
      <c r="AU59" s="57">
        <f ca="1">IFERROR(IF((P59/FORMULACIÓN!Q59)&lt;&gt;0,IF($H59=Lists!$S$6,COUNTIF('SEGUIMIENTO Y EVALUACIÓN'!K59:N59,"&lt;"&amp;FORMULACIÓN!Q59),'SEGUIMIENTO Y EVALUACIÓN'!P59)/IF($H59=Lists!$S$6,COUNTIF('SEGUIMIENTO Y EVALUACIÓN'!K59:N59,"&gt;"&amp;0),FORMULACIÓN!P59),0),0)</f>
        <v>0.81249999999999989</v>
      </c>
      <c r="AV59" s="93">
        <f t="shared" ca="1" si="6"/>
        <v>3.1249999999999997E-3</v>
      </c>
      <c r="AW59" s="93" cm="1">
        <f t="array" ref="AW59">IF(INDEX(AO59:AU59,1,$AV$3)&gt;1,IF($AU$2=1,1,INDEX(AO59:AU59,1,$AV$3)),INDEX(AO59:AU59,1,$AV$3))</f>
        <v>1</v>
      </c>
      <c r="AX59"/>
      <c r="AY59" s="119" t="str">
        <f>IFERROR(IF((W59/FORMULACIÓN!X59)&lt;&gt;0,W59/FORMULACIÓN!X59,0),"")</f>
        <v/>
      </c>
      <c r="AZ59" s="119" t="str">
        <f>IFERROR(IF((AA59/FORMULACIÓN!AB59)&lt;&gt;0,AA59/FORMULACIÓN!AB59,0),"")</f>
        <v/>
      </c>
      <c r="BA59" s="119" t="str">
        <f>IFERROR(IF((AE59/FORMULACIÓN!AF59)&lt;&gt;0,(AE59/FORMULACIÓN!AF59),0),"")</f>
        <v/>
      </c>
      <c r="BB59" s="119" t="str">
        <f>IFERROR(IF((AI59/FORMULACIÓN!AJ59)&lt;&gt;0,AI59/FORMULACIÓN!AJ59,0),"")</f>
        <v/>
      </c>
      <c r="BC59" s="120" t="str">
        <f>IF('SEGUIMIENTO Y EVALUACIÓN'!AI59=0,0,TEXT('SEGUIMIENTO Y EVALUACIÓN'!AI59,"$ ##.###")&amp;" / "&amp;TEXT(FORMULACIÓN!AK59,"$ ##.###"))</f>
        <v xml:space="preserve"> / $ 7.964.519.747</v>
      </c>
      <c r="BD59" s="57">
        <f>IFERROR(IF((AJ59/FORMULACIÓN!AK59)&lt;&gt;0,AJ59/FORMULACIÓN!AK59,0),0)</f>
        <v>0</v>
      </c>
      <c r="BJ59"/>
      <c r="BK59"/>
      <c r="BP59" s="1" t="s">
        <v>684</v>
      </c>
      <c r="BQ59" s="86">
        <v>0.5</v>
      </c>
      <c r="BR59" s="21">
        <v>1</v>
      </c>
      <c r="CL59" s="7"/>
    </row>
    <row r="60" spans="1:90" s="1" customFormat="1" ht="90">
      <c r="A60" s="45">
        <f>IF(FORMULACIÓN!A60="","",FORMULACIÓN!A60)</f>
        <v>49</v>
      </c>
      <c r="B60" s="45" t="str">
        <f>IF(FORMULACIÓN!B60="","",FORMULACIÓN!B60)</f>
        <v>L1 - Formación Académica Integral</v>
      </c>
      <c r="C60" s="45" t="str">
        <f>IF(FORMULACIÓN!E60="","",FORMULACIÓN!E60)</f>
        <v>M5 - Autoevaluación y acreditación Institucional y de programas académicos en el contexto nacional e internacional</v>
      </c>
      <c r="D60" s="45" t="str">
        <f>IF(FORMULACIÓN!F60="","",FORMULACIÓN!F60)</f>
        <v xml:space="preserve">Incrementar en un 20% los niveles de desempeño globales en Pruebas Saber Pro de los programas académicos y 50 puntos en el puntaje de la institución. </v>
      </c>
      <c r="E60" s="45" t="str">
        <f>IF(FORMULACIÓN!G60="","",FORMULACIÓN!G60)</f>
        <v>Puntaje global institucional en Pruebas Saber Pro</v>
      </c>
      <c r="F60" s="45" t="str">
        <f>IF(FORMULACIÓN!H60="","",FORMULACIÓN!H60)</f>
        <v>Promedio de puntaje global de la institución en nivel superior y/o similar al de otras IES a nivel nacional durante los 3 últimos años</v>
      </c>
      <c r="G60" s="45" t="str">
        <f>IF(FORMULACIÓN!I60="","",FORMULACIÓN!I60)</f>
        <v>Unidad</v>
      </c>
      <c r="H60" s="45" t="str">
        <f>IF(FORMULACIÓN!J60="","",FORMULACIÓN!J60)</f>
        <v>Acumulado</v>
      </c>
      <c r="I60" s="188" t="str">
        <f ca="1">IF($G60=Lists!$R$3,"PDI: "&amp;TEXT(FORMULACIÓN!Q60,"00,00%")&amp;CHAR(10)&amp;CHAR(10)&amp;"T1: "&amp;TEXT(FORMULACIÓN!L60,"00,00%")&amp;CHAR(10)&amp;"T2: "&amp;TEXT(FORMULACIÓN!M60,"00,00%")&amp;CHAR(10)&amp;"T3: "&amp;TEXT(FORMULACIÓN!N60,"00,00%")&amp;CHAR(10)&amp;"Tn: "&amp;TEXT(FORMULACIÓN!O60,"00,00%"),IF(FORMULACIÓN!Q60=0,0,"PDI: "&amp;TEXT(FORMULACIÓN!Q60,"##.###")&amp;CHAR(10)&amp;CHAR(10)&amp;"T1: "&amp;TEXT(FORMULACIÓN!L60,"##.###")&amp;CHAR(10)&amp;"T2: "&amp;TEXT(FORMULACIÓN!M60,"##.###")&amp;CHAR(10)&amp;"T3: "&amp;TEXT(FORMULACIÓN!N60,"##.###")&amp;CHAR(10)&amp;"Tn: "&amp;TEXT(FORMULACIÓN!O60,"##.###")))</f>
        <v>PDI: 202
T1: 10
T2: 15
T3: 20
Tn: 5</v>
      </c>
      <c r="J60" s="122">
        <f>IF(FORMULACIÓN!K60&lt;&gt;"",FORMULACIÓN!K60,"")</f>
        <v>152</v>
      </c>
      <c r="K60" s="310">
        <v>10</v>
      </c>
      <c r="L60" s="58"/>
      <c r="M60" s="58"/>
      <c r="N60" s="58"/>
      <c r="O60" s="47">
        <f ca="1">IFERROR(IF($H60=Lists!$S$2,SUM('SEGUIMIENTO Y EVALUACIÓN'!J60:N60),IF('SEGUIMIENTO Y EVALUACIÓN'!$H60=Lists!$S$3,SUM('SEGUIMIENTO Y EVALUACIÓN'!K60:N60),IF('SEGUIMIENTO Y EVALUACIÓN'!$H60=Lists!$S$4,AVERAGE('SEGUIMIENTO Y EVALUACIÓN'!K60:N60),IF('SEGUIMIENTO Y EVALUACIÓN'!$H60=Lists!$S$5,OFFSET(J60,0,COUNTA(K60:N60)),IF($H60=Lists!$S$6,COUNTIF(K60:N60,"&lt;"&amp;FORMULACIÓN!Q60)/COUNT('SEGUIMIENTO Y EVALUACIÓN'!K60:N60),""))))),"")</f>
        <v>162</v>
      </c>
      <c r="P60" s="51" t="str">
        <f ca="1">IF($G60=Lists!$R$3,TEXT('SEGUIMIENTO Y EVALUACIÓN'!O60,"00,00%"),IF('SEGUIMIENTO Y EVALUACIÓN'!O60=0,0,TEXT('SEGUIMIENTO Y EVALUACIÓN'!O60,"##.###")))</f>
        <v>162</v>
      </c>
      <c r="Q60" s="209" t="str">
        <f>IF(FORMULACIÓN!R60&lt;&gt;"",FORMULACIÓN!R60,"")</f>
        <v xml:space="preserve">P3 - Gestión y mejoramiento curricular </v>
      </c>
      <c r="R60" s="209">
        <f>IF(FORMULACIÓN!S60&lt;&gt;"",FORMULACIÓN!S60,"")</f>
        <v>3.8461538461538464E-3</v>
      </c>
      <c r="S60" s="209" t="str">
        <f>IF(FORMULACIÓN!T60&lt;&gt;"",FORMULACIÓN!T60,"")</f>
        <v>Vicerrector de Docencia</v>
      </c>
      <c r="T60" s="42"/>
      <c r="U60" s="42"/>
      <c r="V60" s="42"/>
      <c r="W60" s="43" t="str">
        <f t="shared" si="0"/>
        <v/>
      </c>
      <c r="X60" s="42"/>
      <c r="Y60" s="42"/>
      <c r="Z60" s="42"/>
      <c r="AA60" s="43" t="str">
        <f t="shared" si="1"/>
        <v/>
      </c>
      <c r="AB60" s="42"/>
      <c r="AC60" s="42"/>
      <c r="AD60" s="42"/>
      <c r="AE60" s="43" t="str">
        <f t="shared" si="2"/>
        <v/>
      </c>
      <c r="AF60" s="42"/>
      <c r="AG60" s="42"/>
      <c r="AH60" s="42"/>
      <c r="AI60" s="46" t="str">
        <f t="shared" si="3"/>
        <v/>
      </c>
      <c r="AJ60" s="46" t="str">
        <f>IF(SUM(AA60,AE60,W60,AI60)=0,"",SUM((AA60,AE60,W60,AI60)))</f>
        <v/>
      </c>
      <c r="AK60"/>
      <c r="AL60" s="1" t="str">
        <f t="shared" si="7"/>
        <v>L1M5P3</v>
      </c>
      <c r="AM60" s="56" t="str">
        <f t="shared" si="8"/>
        <v>Puntaje global institucional en Pruebas Saber Pro</v>
      </c>
      <c r="AN60" s="112" t="str">
        <f ca="1">IF($G60=Lists!$R$3,"T1: "&amp;TEXT(FORMULACIÓN!L60,"00,00%")&amp;CHAR(10)&amp;"T2: "&amp;TEXT(FORMULACIÓN!M60,"00,00%")&amp;CHAR(10)&amp;"T3: "&amp;TEXT(FORMULACIÓN!N60,"00,00%")&amp;CHAR(10)&amp;"Tn: "&amp;TEXT(FORMULACIÓN!O60,"00,00%"),IF(FORMULACIÓN!Q60=0,0,"T1: "&amp;TEXT(FORMULACIÓN!L60,"##.###")&amp;CHAR(10)&amp;"T2: "&amp;TEXT(FORMULACIÓN!M60,"##.###")&amp;CHAR(10)&amp;"T3: "&amp;TEXT(FORMULACIÓN!N60,"##.###")&amp;CHAR(10)&amp;"Tn: "&amp;TEXT(FORMULACIÓN!O60,"##.###")))</f>
        <v>T1: 10
T2: 15
T3: 20
Tn: 5</v>
      </c>
      <c r="AO60" s="117">
        <f>IFERROR(IF($H60=Lists!$S$6,IF(AND(FORMULACIÓN!L60&gt;K60,K60&gt;0),1,0),IF((K60/FORMULACIÓN!L60)&lt;&gt;0,K60/FORMULACIÓN!L60,0)),"")</f>
        <v>1</v>
      </c>
      <c r="AP60" s="117">
        <f>IFERROR(IF($H60=Lists!$S$6,IF(AND(FORMULACIÓN!M60&gt;L60,L60&gt;0),1,0),IF((L60/FORMULACIÓN!M60)&lt;&gt;0,L60/FORMULACIÓN!M60,0)),"")</f>
        <v>0</v>
      </c>
      <c r="AQ60" s="117">
        <f>IFERROR(IF($H60=Lists!$S$6,IF(AND(FORMULACIÓN!N60&gt;M60,M60&gt;0),1,0),IF((M60/FORMULACIÓN!N60)&lt;&gt;0,M60/FORMULACIÓN!N60,0)),"")</f>
        <v>0</v>
      </c>
      <c r="AR60" s="117">
        <f>IFERROR(IF($H60=Lists!$S$6,IF(AND(FORMULACIÓN!O60&gt;N60,N60&gt;0),1,0),IF((N60/FORMULACIÓN!O60)&lt;&gt;0,N60/FORMULACIÓN!O60,0)),"")</f>
        <v>0</v>
      </c>
      <c r="AS60" s="110"/>
      <c r="AT60" s="118" t="str">
        <f ca="1">IF($H60=Lists!$S$6,TEXT(COUNTIF('SEGUIMIENTO Y EVALUACIÓN'!K60:N60,"&lt;"&amp;FORMULACIÓN!Q60),"##.###")&amp;" / "&amp;TEXT(COUNTIF('SEGUIMIENTO Y EVALUACIÓN'!K60:N60,"&gt;"&amp;0),"##.###"),IF($G60=Lists!$R$3,TEXT('SEGUIMIENTO Y EVALUACIÓN'!O60,"00,00%")&amp;" / "&amp;TEXT(FORMULACIÓN!P60,"00,00%"),IF('SEGUIMIENTO Y EVALUACIÓN'!O60=0,0,TEXT('SEGUIMIENTO Y EVALUACIÓN'!O60,"##.###")&amp;" / "&amp;TEXT(FORMULACIÓN!P60,"##.###"))))</f>
        <v>162 / 202</v>
      </c>
      <c r="AU60" s="57">
        <f ca="1">IFERROR(IF((P60/FORMULACIÓN!Q60)&lt;&gt;0,IF($H60=Lists!$S$6,COUNTIF('SEGUIMIENTO Y EVALUACIÓN'!K60:N60,"&lt;"&amp;FORMULACIÓN!Q60),'SEGUIMIENTO Y EVALUACIÓN'!P60)/IF($H60=Lists!$S$6,COUNTIF('SEGUIMIENTO Y EVALUACIÓN'!K60:N60,"&gt;"&amp;0),FORMULACIÓN!P60),0),0)</f>
        <v>0.80198019801980203</v>
      </c>
      <c r="AV60" s="93">
        <f t="shared" ca="1" si="6"/>
        <v>3.0845392231530848E-3</v>
      </c>
      <c r="AW60" s="93" cm="1">
        <f t="array" ref="AW60">IF(INDEX(AO60:AU60,1,$AV$3)&gt;1,IF($AU$2=1,1,INDEX(AO60:AU60,1,$AV$3)),INDEX(AO60:AU60,1,$AV$3))</f>
        <v>1</v>
      </c>
      <c r="AX60"/>
      <c r="AY60" s="119" t="str">
        <f>IFERROR(IF((W60/FORMULACIÓN!X60)&lt;&gt;0,W60/FORMULACIÓN!X60,0),"")</f>
        <v/>
      </c>
      <c r="AZ60" s="119" t="str">
        <f>IFERROR(IF((AA60/FORMULACIÓN!AB60)&lt;&gt;0,AA60/FORMULACIÓN!AB60,0),"")</f>
        <v/>
      </c>
      <c r="BA60" s="119" t="str">
        <f>IFERROR(IF((AE60/FORMULACIÓN!AF60)&lt;&gt;0,(AE60/FORMULACIÓN!AF60),0),"")</f>
        <v/>
      </c>
      <c r="BB60" s="119" t="str">
        <f>IFERROR(IF((AI60/FORMULACIÓN!AJ60)&lt;&gt;0,AI60/FORMULACIÓN!AJ60,0),"")</f>
        <v/>
      </c>
      <c r="BC60" s="120" t="str">
        <f>IF('SEGUIMIENTO Y EVALUACIÓN'!AI60=0,0,TEXT('SEGUIMIENTO Y EVALUACIÓN'!AI60,"$ ##.###")&amp;" / "&amp;TEXT(FORMULACIÓN!AK60,"$ ##.###"))</f>
        <v xml:space="preserve"> / $ 7.746.766.329</v>
      </c>
      <c r="BD60" s="57">
        <f>IFERROR(IF((AJ60/FORMULACIÓN!AK60)&lt;&gt;0,AJ60/FORMULACIÓN!AK60,0),0)</f>
        <v>0</v>
      </c>
      <c r="BJ60"/>
      <c r="BK60"/>
      <c r="CL60" s="7"/>
    </row>
    <row r="61" spans="1:90" s="1" customFormat="1" ht="90">
      <c r="A61" s="45">
        <f>IF(FORMULACIÓN!A61="","",FORMULACIÓN!A61)</f>
        <v>50</v>
      </c>
      <c r="B61" s="45" t="str">
        <f>IF(FORMULACIÓN!B61="","",FORMULACIÓN!B61)</f>
        <v>L1 - Formación Académica Integral</v>
      </c>
      <c r="C61" s="45" t="str">
        <f>IF(FORMULACIÓN!E61="","",FORMULACIÓN!E61)</f>
        <v>M5 - Autoevaluación y acreditación Institucional y de programas académicos en el contexto nacional e internacional</v>
      </c>
      <c r="D61" s="45" t="str">
        <f>IF(FORMULACIÓN!F61="","",FORMULACIÓN!F61)</f>
        <v>Diseñar e implementar el sistema de evaluación académica integral aplicable a docentes, estudiantes, y planes de estudio, para garantizar los resultados del aprendizaje.</v>
      </c>
      <c r="E61" s="45" t="str">
        <f>IF(FORMULACIÓN!G61="","",FORMULACIÓN!G61)</f>
        <v>Documento del diseño del sistema de evaluación académica integral</v>
      </c>
      <c r="F61" s="45" t="str">
        <f>IF(FORMULACIÓN!H61="","",FORMULACIÓN!H61)</f>
        <v>Acto administrativo de adopción del sistema de evaluación académica integral</v>
      </c>
      <c r="G61" s="45" t="str">
        <f>IF(FORMULACIÓN!I61="","",FORMULACIÓN!I61)</f>
        <v>Unidad</v>
      </c>
      <c r="H61" s="45" t="str">
        <f>IF(FORMULACIÓN!J61="","",FORMULACIÓN!J61)</f>
        <v>Nuevo gestionado durante la vigencia</v>
      </c>
      <c r="I61" s="188" t="str">
        <f ca="1">IF($G61=Lists!$R$3,"PDI: "&amp;TEXT(FORMULACIÓN!Q61,"00,00%")&amp;CHAR(10)&amp;CHAR(10)&amp;"T1: "&amp;TEXT(FORMULACIÓN!L61,"00,00%")&amp;CHAR(10)&amp;"T2: "&amp;TEXT(FORMULACIÓN!M61,"00,00%")&amp;CHAR(10)&amp;"T3: "&amp;TEXT(FORMULACIÓN!N61,"00,00%")&amp;CHAR(10)&amp;"Tn: "&amp;TEXT(FORMULACIÓN!O61,"00,00%"),IF(FORMULACIÓN!Q61=0,0,"PDI: "&amp;TEXT(FORMULACIÓN!Q61,"##.###")&amp;CHAR(10)&amp;CHAR(10)&amp;"T1: "&amp;TEXT(FORMULACIÓN!L61,"##.###")&amp;CHAR(10)&amp;"T2: "&amp;TEXT(FORMULACIÓN!M61,"##.###")&amp;CHAR(10)&amp;"T3: "&amp;TEXT(FORMULACIÓN!N61,"##.###")&amp;CHAR(10)&amp;"Tn: "&amp;TEXT(FORMULACIÓN!O61,"##.###")))</f>
        <v xml:space="preserve">PDI: 1
T1: 1
T2: 
T3: 
Tn: </v>
      </c>
      <c r="J61" s="122">
        <f>IF(FORMULACIÓN!K61&lt;&gt;"",FORMULACIÓN!K61,"")</f>
        <v>0</v>
      </c>
      <c r="K61" s="310">
        <v>0</v>
      </c>
      <c r="L61" s="58"/>
      <c r="M61" s="58"/>
      <c r="N61" s="58"/>
      <c r="O61" s="47">
        <f ca="1">IFERROR(IF($H61=Lists!$S$2,SUM('SEGUIMIENTO Y EVALUACIÓN'!J61:N61),IF('SEGUIMIENTO Y EVALUACIÓN'!$H61=Lists!$S$3,SUM('SEGUIMIENTO Y EVALUACIÓN'!K61:N61),IF('SEGUIMIENTO Y EVALUACIÓN'!$H61=Lists!$S$4,AVERAGE('SEGUIMIENTO Y EVALUACIÓN'!K61:N61),IF('SEGUIMIENTO Y EVALUACIÓN'!$H61=Lists!$S$5,OFFSET(J61,0,COUNTA(K61:N61)),IF($H61=Lists!$S$6,COUNTIF(K61:N61,"&lt;"&amp;FORMULACIÓN!Q61)/COUNT('SEGUIMIENTO Y EVALUACIÓN'!K61:N61),""))))),"")</f>
        <v>0</v>
      </c>
      <c r="P61" s="51">
        <f ca="1">IF($G61=Lists!$R$3,TEXT('SEGUIMIENTO Y EVALUACIÓN'!O61,"00,00%"),IF('SEGUIMIENTO Y EVALUACIÓN'!O61=0,0,TEXT('SEGUIMIENTO Y EVALUACIÓN'!O61,"##.###")))</f>
        <v>0</v>
      </c>
      <c r="Q61" s="209" t="str">
        <f>IF(FORMULACIÓN!R61&lt;&gt;"",FORMULACIÓN!R61,"")</f>
        <v xml:space="preserve">P3 - Gestión y mejoramiento curricular </v>
      </c>
      <c r="R61" s="209">
        <f>IF(FORMULACIÓN!S61&lt;&gt;"",FORMULACIÓN!S61,"")</f>
        <v>3.8461538461538464E-3</v>
      </c>
      <c r="S61" s="209" t="str">
        <f>IF(FORMULACIÓN!T61&lt;&gt;"",FORMULACIÓN!T61,"")</f>
        <v>Vicerrector de Docencia</v>
      </c>
      <c r="T61" s="42"/>
      <c r="U61" s="42"/>
      <c r="V61" s="42"/>
      <c r="W61" s="43" t="str">
        <f t="shared" si="0"/>
        <v/>
      </c>
      <c r="X61" s="42"/>
      <c r="Y61" s="42"/>
      <c r="Z61" s="42"/>
      <c r="AA61" s="43" t="str">
        <f t="shared" si="1"/>
        <v/>
      </c>
      <c r="AB61" s="42"/>
      <c r="AC61" s="42"/>
      <c r="AD61" s="42"/>
      <c r="AE61" s="43" t="str">
        <f t="shared" si="2"/>
        <v/>
      </c>
      <c r="AF61" s="42"/>
      <c r="AG61" s="42"/>
      <c r="AH61" s="42"/>
      <c r="AI61" s="46" t="str">
        <f t="shared" si="3"/>
        <v/>
      </c>
      <c r="AJ61" s="46" t="str">
        <f>IF(SUM(AA61,AE61,W61,AI61)=0,"",SUM((AA61,AE61,W61,AI61)))</f>
        <v/>
      </c>
      <c r="AK61"/>
      <c r="AL61" s="1" t="str">
        <f t="shared" si="7"/>
        <v>L1M5P3</v>
      </c>
      <c r="AM61" s="56" t="str">
        <f t="shared" si="8"/>
        <v>Documento del diseño del sistema de evaluación académica integral</v>
      </c>
      <c r="AN61" s="112" t="str">
        <f ca="1">IF($G61=Lists!$R$3,"T1: "&amp;TEXT(FORMULACIÓN!L61,"00,00%")&amp;CHAR(10)&amp;"T2: "&amp;TEXT(FORMULACIÓN!M61,"00,00%")&amp;CHAR(10)&amp;"T3: "&amp;TEXT(FORMULACIÓN!N61,"00,00%")&amp;CHAR(10)&amp;"Tn: "&amp;TEXT(FORMULACIÓN!O61,"00,00%"),IF(FORMULACIÓN!Q61=0,0,"T1: "&amp;TEXT(FORMULACIÓN!L61,"##.###")&amp;CHAR(10)&amp;"T2: "&amp;TEXT(FORMULACIÓN!M61,"##.###")&amp;CHAR(10)&amp;"T3: "&amp;TEXT(FORMULACIÓN!N61,"##.###")&amp;CHAR(10)&amp;"Tn: "&amp;TEXT(FORMULACIÓN!O61,"##.###")))</f>
        <v xml:space="preserve">T1: 1
T2: 
T3: 
Tn: </v>
      </c>
      <c r="AO61" s="117">
        <f>IFERROR(IF($H61=Lists!$S$6,IF(AND(FORMULACIÓN!L61&gt;K61,K61&gt;0),1,0),IF((K61/FORMULACIÓN!L61)&lt;&gt;0,K61/FORMULACIÓN!L61,0)),"")</f>
        <v>0</v>
      </c>
      <c r="AP61" s="117" t="str">
        <f>IFERROR(IF($H61=Lists!$S$6,IF(AND(FORMULACIÓN!M61&gt;L61,L61&gt;0),1,0),IF((L61/FORMULACIÓN!M61)&lt;&gt;0,L61/FORMULACIÓN!M61,0)),"")</f>
        <v/>
      </c>
      <c r="AQ61" s="117" t="str">
        <f>IFERROR(IF($H61=Lists!$S$6,IF(AND(FORMULACIÓN!N61&gt;M61,M61&gt;0),1,0),IF((M61/FORMULACIÓN!N61)&lt;&gt;0,M61/FORMULACIÓN!N61,0)),"")</f>
        <v/>
      </c>
      <c r="AR61" s="117" t="str">
        <f>IFERROR(IF($H61=Lists!$S$6,IF(AND(FORMULACIÓN!O61&gt;N61,N61&gt;0),1,0),IF((N61/FORMULACIÓN!O61)&lt;&gt;0,N61/FORMULACIÓN!O61,0)),"")</f>
        <v/>
      </c>
      <c r="AS61" s="110"/>
      <c r="AT61" s="118">
        <f ca="1">IF($H61=Lists!$S$6,TEXT(COUNTIF('SEGUIMIENTO Y EVALUACIÓN'!K61:N61,"&lt;"&amp;FORMULACIÓN!Q61),"##.###")&amp;" / "&amp;TEXT(COUNTIF('SEGUIMIENTO Y EVALUACIÓN'!K61:N61,"&gt;"&amp;0),"##.###"),IF($G61=Lists!$R$3,TEXT('SEGUIMIENTO Y EVALUACIÓN'!O61,"00,00%")&amp;" / "&amp;TEXT(FORMULACIÓN!P61,"00,00%"),IF('SEGUIMIENTO Y EVALUACIÓN'!O61=0,0,TEXT('SEGUIMIENTO Y EVALUACIÓN'!O61,"##.###")&amp;" / "&amp;TEXT(FORMULACIÓN!P61,"##.###"))))</f>
        <v>0</v>
      </c>
      <c r="AU61" s="57">
        <f ca="1">IFERROR(IF((P61/FORMULACIÓN!Q61)&lt;&gt;0,IF($H61=Lists!$S$6,COUNTIF('SEGUIMIENTO Y EVALUACIÓN'!K61:N61,"&lt;"&amp;FORMULACIÓN!Q61),'SEGUIMIENTO Y EVALUACIÓN'!P61)/IF($H61=Lists!$S$6,COUNTIF('SEGUIMIENTO Y EVALUACIÓN'!K61:N61,"&gt;"&amp;0),FORMULACIÓN!P61),0),0)</f>
        <v>0</v>
      </c>
      <c r="AV61" s="93">
        <f t="shared" ca="1" si="6"/>
        <v>0</v>
      </c>
      <c r="AW61" s="93" cm="1">
        <f t="array" ref="AW61">IF(INDEX(AO61:AU61,1,$AV$3)&gt;1,IF($AU$2=1,1,INDEX(AO61:AU61,1,$AV$3)),INDEX(AO61:AU61,1,$AV$3))</f>
        <v>0</v>
      </c>
      <c r="AX61"/>
      <c r="AY61" s="119" t="str">
        <f>IFERROR(IF((W61/FORMULACIÓN!X61)&lt;&gt;0,W61/FORMULACIÓN!X61,0),"")</f>
        <v/>
      </c>
      <c r="AZ61" s="119" t="str">
        <f>IFERROR(IF((AA61/FORMULACIÓN!AB61)&lt;&gt;0,AA61/FORMULACIÓN!AB61,0),"")</f>
        <v/>
      </c>
      <c r="BA61" s="119" t="str">
        <f>IFERROR(IF((AE61/FORMULACIÓN!AF61)&lt;&gt;0,(AE61/FORMULACIÓN!AF61),0),"")</f>
        <v/>
      </c>
      <c r="BB61" s="119" t="str">
        <f>IFERROR(IF((AI61/FORMULACIÓN!AJ61)&lt;&gt;0,AI61/FORMULACIÓN!AJ61,0),"")</f>
        <v/>
      </c>
      <c r="BC61" s="120" t="str">
        <f>IF('SEGUIMIENTO Y EVALUACIÓN'!AI61=0,0,TEXT('SEGUIMIENTO Y EVALUACIÓN'!AI61,"$ ##.###")&amp;" / "&amp;TEXT(FORMULACIÓN!AK61,"$ ##.###"))</f>
        <v xml:space="preserve"> / $ 5.569.232.154</v>
      </c>
      <c r="BD61" s="57">
        <f>IFERROR(IF((AJ61/FORMULACIÓN!AK61)&lt;&gt;0,AJ61/FORMULACIÓN!AK61,0),0)</f>
        <v>0</v>
      </c>
      <c r="BJ61"/>
      <c r="BK61"/>
      <c r="CL61" s="7"/>
    </row>
    <row r="62" spans="1:90" s="1" customFormat="1" ht="90">
      <c r="A62" s="45">
        <f>IF(FORMULACIÓN!A62="","",FORMULACIÓN!A62)</f>
        <v>51</v>
      </c>
      <c r="B62" s="45" t="str">
        <f>IF(FORMULACIÓN!B62="","",FORMULACIÓN!B62)</f>
        <v>L1 - Formación Académica Integral</v>
      </c>
      <c r="C62" s="45" t="str">
        <f>IF(FORMULACIÓN!E62="","",FORMULACIÓN!E62)</f>
        <v>M5 - Autoevaluación y acreditación Institucional y de programas académicos en el contexto nacional e internacional</v>
      </c>
      <c r="D62" s="45" t="str">
        <f>IF(FORMULACIÓN!F62="","",FORMULACIÓN!F62)</f>
        <v>Diseñar e implementar el sistema de evaluación académica integral aplicable a docentes, estudiantes, y planes de estudio, para garantizar los resultados del aprendizaje.</v>
      </c>
      <c r="E62" s="45" t="str">
        <f>IF(FORMULACIÓN!G62="","",FORMULACIÓN!G62)</f>
        <v>Implementación del sistema de evaluación académica integral</v>
      </c>
      <c r="F62" s="45" t="str">
        <f>IF(FORMULACIÓN!H62="","",FORMULACIÓN!H62)</f>
        <v>(N° de estrategias implementadas / total de estrategias aprobadas para el sistema de evaluación) *100</v>
      </c>
      <c r="G62" s="45" t="str">
        <f>IF(FORMULACIÓN!I62="","",FORMULACIÓN!I62)</f>
        <v>Porcentaje</v>
      </c>
      <c r="H62" s="45" t="str">
        <f>IF(FORMULACIÓN!J62="","",FORMULACIÓN!J62)</f>
        <v>Acumulado</v>
      </c>
      <c r="I62" s="188" t="str">
        <f ca="1">IF($G62=Lists!$R$3,"PDI: "&amp;TEXT(FORMULACIÓN!Q62,"00,00%")&amp;CHAR(10)&amp;CHAR(10)&amp;"T1: "&amp;TEXT(FORMULACIÓN!L62,"00,00%")&amp;CHAR(10)&amp;"T2: "&amp;TEXT(FORMULACIÓN!M62,"00,00%")&amp;CHAR(10)&amp;"T3: "&amp;TEXT(FORMULACIÓN!N62,"00,00%")&amp;CHAR(10)&amp;"Tn: "&amp;TEXT(FORMULACIÓN!O62,"00,00%"),IF(FORMULACIÓN!Q62=0,0,"PDI: "&amp;TEXT(FORMULACIÓN!Q62,"##.###")&amp;CHAR(10)&amp;CHAR(10)&amp;"T1: "&amp;TEXT(FORMULACIÓN!L62,"##.###")&amp;CHAR(10)&amp;"T2: "&amp;TEXT(FORMULACIÓN!M62,"##.###")&amp;CHAR(10)&amp;"T3: "&amp;TEXT(FORMULACIÓN!N62,"##.###")&amp;CHAR(10)&amp;"Tn: "&amp;TEXT(FORMULACIÓN!O62,"##.###")))</f>
        <v>PDI: 100,00%
T1: 00,00%
T2: 30,00%
T3: 50,00%
Tn: 20,00%</v>
      </c>
      <c r="J62" s="122">
        <f>IF(FORMULACIÓN!K62&lt;&gt;"",FORMULACIÓN!K62,"")</f>
        <v>0</v>
      </c>
      <c r="K62" s="309">
        <v>0</v>
      </c>
      <c r="L62" s="59"/>
      <c r="M62" s="59"/>
      <c r="N62" s="59"/>
      <c r="O62" s="47">
        <f ca="1">IFERROR(IF($H62=Lists!$S$2,SUM('SEGUIMIENTO Y EVALUACIÓN'!J62:N62),IF('SEGUIMIENTO Y EVALUACIÓN'!$H62=Lists!$S$3,SUM('SEGUIMIENTO Y EVALUACIÓN'!K62:N62),IF('SEGUIMIENTO Y EVALUACIÓN'!$H62=Lists!$S$4,AVERAGE('SEGUIMIENTO Y EVALUACIÓN'!K62:N62),IF('SEGUIMIENTO Y EVALUACIÓN'!$H62=Lists!$S$5,OFFSET(J62,0,COUNTA(K62:N62)),IF($H62=Lists!$S$6,COUNTIF(K62:N62,"&lt;"&amp;FORMULACIÓN!Q62)/COUNT('SEGUIMIENTO Y EVALUACIÓN'!K62:N62),""))))),"")</f>
        <v>0</v>
      </c>
      <c r="P62" s="51" t="str">
        <f ca="1">IF($G62=Lists!$R$3,TEXT('SEGUIMIENTO Y EVALUACIÓN'!O62,"00,00%"),IF('SEGUIMIENTO Y EVALUACIÓN'!O62=0,0,TEXT('SEGUIMIENTO Y EVALUACIÓN'!O62,"##.###")))</f>
        <v>00,00%</v>
      </c>
      <c r="Q62" s="209" t="str">
        <f>IF(FORMULACIÓN!R62&lt;&gt;"",FORMULACIÓN!R62,"")</f>
        <v xml:space="preserve">P3 - Gestión y mejoramiento curricular </v>
      </c>
      <c r="R62" s="209">
        <f>IF(FORMULACIÓN!S62&lt;&gt;"",FORMULACIÓN!S62,"")</f>
        <v>3.8461538461538464E-3</v>
      </c>
      <c r="S62" s="209" t="str">
        <f>IF(FORMULACIÓN!T62&lt;&gt;"",FORMULACIÓN!T62,"")</f>
        <v>Vicerrector de Docencia</v>
      </c>
      <c r="T62" s="42"/>
      <c r="U62" s="42"/>
      <c r="V62" s="42"/>
      <c r="W62" s="43" t="str">
        <f t="shared" si="0"/>
        <v/>
      </c>
      <c r="X62" s="42"/>
      <c r="Y62" s="42"/>
      <c r="Z62" s="42"/>
      <c r="AA62" s="43" t="str">
        <f t="shared" si="1"/>
        <v/>
      </c>
      <c r="AB62" s="42"/>
      <c r="AC62" s="42"/>
      <c r="AD62" s="42"/>
      <c r="AE62" s="43" t="str">
        <f t="shared" si="2"/>
        <v/>
      </c>
      <c r="AF62" s="42"/>
      <c r="AG62" s="42"/>
      <c r="AH62" s="42"/>
      <c r="AI62" s="46" t="str">
        <f t="shared" si="3"/>
        <v/>
      </c>
      <c r="AJ62" s="46" t="str">
        <f>IF(SUM(AA62,AE62,W62,AI62)=0,"",SUM((AA62,AE62,W62,AI62)))</f>
        <v/>
      </c>
      <c r="AK62"/>
      <c r="AL62" s="1" t="str">
        <f t="shared" si="7"/>
        <v>L1M5P3</v>
      </c>
      <c r="AM62" s="56" t="str">
        <f t="shared" si="8"/>
        <v>Implementación del sistema de evaluación académica integral</v>
      </c>
      <c r="AN62" s="112" t="str">
        <f>IF($G62=Lists!$R$3,"T1: "&amp;TEXT(FORMULACIÓN!L62,"00,00%")&amp;CHAR(10)&amp;"T2: "&amp;TEXT(FORMULACIÓN!M62,"00,00%")&amp;CHAR(10)&amp;"T3: "&amp;TEXT(FORMULACIÓN!N62,"00,00%")&amp;CHAR(10)&amp;"Tn: "&amp;TEXT(FORMULACIÓN!O62,"00,00%"),IF(FORMULACIÓN!Q62=0,0,"T1: "&amp;TEXT(FORMULACIÓN!L62,"##.###")&amp;CHAR(10)&amp;"T2: "&amp;TEXT(FORMULACIÓN!M62,"##.###")&amp;CHAR(10)&amp;"T3: "&amp;TEXT(FORMULACIÓN!N62,"##.###")&amp;CHAR(10)&amp;"Tn: "&amp;TEXT(FORMULACIÓN!O62,"##.###")))</f>
        <v>T1: 00,00%
T2: 30,00%
T3: 50,00%
Tn: 20,00%</v>
      </c>
      <c r="AO62" s="117" t="str">
        <f>IFERROR(IF($H62=Lists!$S$6,IF(AND(FORMULACIÓN!L62&gt;K62,K62&gt;0),1,0),IF((K62/FORMULACIÓN!L62)&lt;&gt;0,K62/FORMULACIÓN!L62,0)),"")</f>
        <v/>
      </c>
      <c r="AP62" s="117">
        <f>IFERROR(IF($H62=Lists!$S$6,IF(AND(FORMULACIÓN!M62&gt;L62,L62&gt;0),1,0),IF((L62/FORMULACIÓN!M62)&lt;&gt;0,L62/FORMULACIÓN!M62,0)),"")</f>
        <v>0</v>
      </c>
      <c r="AQ62" s="117">
        <f>IFERROR(IF($H62=Lists!$S$6,IF(AND(FORMULACIÓN!N62&gt;M62,M62&gt;0),1,0),IF((M62/FORMULACIÓN!N62)&lt;&gt;0,M62/FORMULACIÓN!N62,0)),"")</f>
        <v>0</v>
      </c>
      <c r="AR62" s="117">
        <f>IFERROR(IF($H62=Lists!$S$6,IF(AND(FORMULACIÓN!O62&gt;N62,N62&gt;0),1,0),IF((N62/FORMULACIÓN!O62)&lt;&gt;0,N62/FORMULACIÓN!O62,0)),"")</f>
        <v>0</v>
      </c>
      <c r="AS62" s="110"/>
      <c r="AT62" s="118" t="str">
        <f ca="1">IF($H62=Lists!$S$6,TEXT(COUNTIF('SEGUIMIENTO Y EVALUACIÓN'!K62:N62,"&lt;"&amp;FORMULACIÓN!Q62),"##.###")&amp;" / "&amp;TEXT(COUNTIF('SEGUIMIENTO Y EVALUACIÓN'!K62:N62,"&gt;"&amp;0),"##.###"),IF($G62=Lists!$R$3,TEXT('SEGUIMIENTO Y EVALUACIÓN'!O62,"00,00%")&amp;" / "&amp;TEXT(FORMULACIÓN!P62,"00,00%"),IF('SEGUIMIENTO Y EVALUACIÓN'!O62=0,0,TEXT('SEGUIMIENTO Y EVALUACIÓN'!O62,"##.###")&amp;" / "&amp;TEXT(FORMULACIÓN!P62,"##.###"))))</f>
        <v>00,00% / 100,00%</v>
      </c>
      <c r="AU62" s="57">
        <f ca="1">IFERROR(IF((P62/FORMULACIÓN!Q62)&lt;&gt;0,IF($H62=Lists!$S$6,COUNTIF('SEGUIMIENTO Y EVALUACIÓN'!K62:N62,"&lt;"&amp;FORMULACIÓN!Q62),'SEGUIMIENTO Y EVALUACIÓN'!P62)/IF($H62=Lists!$S$6,COUNTIF('SEGUIMIENTO Y EVALUACIÓN'!K62:N62,"&gt;"&amp;0),FORMULACIÓN!P62),0),0)</f>
        <v>0</v>
      </c>
      <c r="AV62" s="93">
        <f t="shared" ca="1" si="6"/>
        <v>0</v>
      </c>
      <c r="AW62" s="93" cm="1">
        <f t="array" ref="AW62">IF(INDEX(AO62:AU62,1,$AV$3)&gt;1,IF($AU$2=1,1,INDEX(AO62:AU62,1,$AV$3)),INDEX(AO62:AU62,1,$AV$3))</f>
        <v>1</v>
      </c>
      <c r="AX62"/>
      <c r="AY62" s="119" t="str">
        <f>IFERROR(IF((W62/FORMULACIÓN!X62)&lt;&gt;0,W62/FORMULACIÓN!X62,0),"")</f>
        <v/>
      </c>
      <c r="AZ62" s="119" t="str">
        <f>IFERROR(IF((AA62/FORMULACIÓN!AB62)&lt;&gt;0,AA62/FORMULACIÓN!AB62,0),"")</f>
        <v/>
      </c>
      <c r="BA62" s="119" t="str">
        <f>IFERROR(IF((AE62/FORMULACIÓN!AF62)&lt;&gt;0,(AE62/FORMULACIÓN!AF62),0),"")</f>
        <v/>
      </c>
      <c r="BB62" s="119" t="str">
        <f>IFERROR(IF((AI62/FORMULACIÓN!AJ62)&lt;&gt;0,AI62/FORMULACIÓN!AJ62,0),"")</f>
        <v/>
      </c>
      <c r="BC62" s="120" t="str">
        <f>IF('SEGUIMIENTO Y EVALUACIÓN'!AI62=0,0,TEXT('SEGUIMIENTO Y EVALUACIÓN'!AI62,"$ ##.###")&amp;" / "&amp;TEXT(FORMULACIÓN!AK62,"$ ##.###"))</f>
        <v xml:space="preserve"> / $ 7.746.766.329</v>
      </c>
      <c r="BD62" s="57">
        <f>IFERROR(IF((AJ62/FORMULACIÓN!AK62)&lt;&gt;0,AJ62/FORMULACIÓN!AK62,0),0)</f>
        <v>0</v>
      </c>
      <c r="BJ62"/>
      <c r="BK62"/>
      <c r="CL62" s="7"/>
    </row>
    <row r="63" spans="1:90" s="1" customFormat="1" ht="101.25">
      <c r="A63" s="45">
        <f>IF(FORMULACIÓN!A63="","",FORMULACIÓN!A63)</f>
        <v>52</v>
      </c>
      <c r="B63" s="45" t="str">
        <f>IF(FORMULACIÓN!B63="","",FORMULACIÓN!B63)</f>
        <v>L1 - Formación Académica Integral</v>
      </c>
      <c r="C63" s="45" t="str">
        <f>IF(FORMULACIÓN!E63="","",FORMULACIÓN!E63)</f>
        <v>M5 - Autoevaluación y acreditación Institucional y de programas académicos en el contexto nacional e internacional</v>
      </c>
      <c r="D63" s="45" t="str">
        <f>IF(FORMULACIÓN!F63="","",FORMULACIÓN!F63)</f>
        <v xml:space="preserve">Implementar al menos un 70% de las estrategias académico administrativas dirigidas a la permanencia para alcanzar un 60% en la tasa graduación de los estudiantes. </v>
      </c>
      <c r="E63" s="45" t="str">
        <f>IF(FORMULACIÓN!G63="","",FORMULACIÓN!G63)</f>
        <v>Documento con las estrategias académico-administrativas de acompañamiento al estudiante durante su proceso formativo (desempeño académico, cursos de nivelación, graduación, repitencia, doble programa, asignación académica)</v>
      </c>
      <c r="F63" s="45" t="str">
        <f>IF(FORMULACIÓN!H63="","",FORMULACIÓN!H63)</f>
        <v>Documento con lineamientos y estrategias académico administrativas dirigidas a la permanencia y graduación de los estudiantes aprobado por Consejo Académico</v>
      </c>
      <c r="G63" s="45" t="str">
        <f>IF(FORMULACIÓN!I63="","",FORMULACIÓN!I63)</f>
        <v>Unidad</v>
      </c>
      <c r="H63" s="45" t="str">
        <f>IF(FORMULACIÓN!J63="","",FORMULACIÓN!J63)</f>
        <v>Nuevo gestionado durante la vigencia</v>
      </c>
      <c r="I63" s="188" t="str">
        <f ca="1">IF($G63=Lists!$R$3,"PDI: "&amp;TEXT(FORMULACIÓN!Q63,"00,00%")&amp;CHAR(10)&amp;CHAR(10)&amp;"T1: "&amp;TEXT(FORMULACIÓN!L63,"00,00%")&amp;CHAR(10)&amp;"T2: "&amp;TEXT(FORMULACIÓN!M63,"00,00%")&amp;CHAR(10)&amp;"T3: "&amp;TEXT(FORMULACIÓN!N63,"00,00%")&amp;CHAR(10)&amp;"Tn: "&amp;TEXT(FORMULACIÓN!O63,"00,00%"),IF(FORMULACIÓN!Q63=0,0,"PDI: "&amp;TEXT(FORMULACIÓN!Q63,"##.###")&amp;CHAR(10)&amp;CHAR(10)&amp;"T1: "&amp;TEXT(FORMULACIÓN!L63,"##.###")&amp;CHAR(10)&amp;"T2: "&amp;TEXT(FORMULACIÓN!M63,"##.###")&amp;CHAR(10)&amp;"T3: "&amp;TEXT(FORMULACIÓN!N63,"##.###")&amp;CHAR(10)&amp;"Tn: "&amp;TEXT(FORMULACIÓN!O63,"##.###")))</f>
        <v xml:space="preserve">PDI: 1
T1: 
T2: 1
T3: 
Tn: </v>
      </c>
      <c r="J63" s="122">
        <f>IF(FORMULACIÓN!K63&lt;&gt;"",FORMULACIÓN!K63,"")</f>
        <v>0</v>
      </c>
      <c r="K63" s="310">
        <v>0</v>
      </c>
      <c r="L63" s="58"/>
      <c r="M63" s="58"/>
      <c r="N63" s="58"/>
      <c r="O63" s="47">
        <f ca="1">IFERROR(IF($H63=Lists!$S$2,SUM('SEGUIMIENTO Y EVALUACIÓN'!J63:N63),IF('SEGUIMIENTO Y EVALUACIÓN'!$H63=Lists!$S$3,SUM('SEGUIMIENTO Y EVALUACIÓN'!K63:N63),IF('SEGUIMIENTO Y EVALUACIÓN'!$H63=Lists!$S$4,AVERAGE('SEGUIMIENTO Y EVALUACIÓN'!K63:N63),IF('SEGUIMIENTO Y EVALUACIÓN'!$H63=Lists!$S$5,OFFSET(J63,0,COUNTA(K63:N63)),IF($H63=Lists!$S$6,COUNTIF(K63:N63,"&lt;"&amp;FORMULACIÓN!Q63)/COUNT('SEGUIMIENTO Y EVALUACIÓN'!K63:N63),""))))),"")</f>
        <v>0</v>
      </c>
      <c r="P63" s="51">
        <f ca="1">IF($G63=Lists!$R$3,TEXT('SEGUIMIENTO Y EVALUACIÓN'!O63,"00,00%"),IF('SEGUIMIENTO Y EVALUACIÓN'!O63=0,0,TEXT('SEGUIMIENTO Y EVALUACIÓN'!O63,"##.###")))</f>
        <v>0</v>
      </c>
      <c r="Q63" s="209" t="str">
        <f>IF(FORMULACIÓN!R63&lt;&gt;"",FORMULACIÓN!R63,"")</f>
        <v xml:space="preserve">P3 - Gestión y mejoramiento curricular </v>
      </c>
      <c r="R63" s="209">
        <f>IF(FORMULACIÓN!S63&lt;&gt;"",FORMULACIÓN!S63,"")</f>
        <v>3.8461538461538464E-3</v>
      </c>
      <c r="S63" s="209" t="str">
        <f>IF(FORMULACIÓN!T63&lt;&gt;"",FORMULACIÓN!T63,"")</f>
        <v>Vicerrector de Docencia</v>
      </c>
      <c r="T63" s="42"/>
      <c r="U63" s="42"/>
      <c r="V63" s="42"/>
      <c r="W63" s="43" t="str">
        <f t="shared" si="0"/>
        <v/>
      </c>
      <c r="X63" s="42"/>
      <c r="Y63" s="42"/>
      <c r="Z63" s="42"/>
      <c r="AA63" s="43" t="str">
        <f t="shared" si="1"/>
        <v/>
      </c>
      <c r="AB63" s="42"/>
      <c r="AC63" s="42"/>
      <c r="AD63" s="42"/>
      <c r="AE63" s="43" t="str">
        <f t="shared" si="2"/>
        <v/>
      </c>
      <c r="AF63" s="42"/>
      <c r="AG63" s="42"/>
      <c r="AH63" s="42"/>
      <c r="AI63" s="46" t="str">
        <f t="shared" si="3"/>
        <v/>
      </c>
      <c r="AJ63" s="46" t="str">
        <f>IF(SUM(AA63,AE63,W63,AI63)=0,"",SUM((AA63,AE63,W63,AI63)))</f>
        <v/>
      </c>
      <c r="AK63"/>
      <c r="AL63" s="1" t="str">
        <f t="shared" si="7"/>
        <v>L1M5P3</v>
      </c>
      <c r="AM63" s="56" t="str">
        <f t="shared" si="8"/>
        <v>Documento con las estrategias académico-administrativas de acompañamiento al estudiante durante su proceso formativo (desempeño académico, cursos de nivelación, graduación, repitencia, doble programa, asignación académica)</v>
      </c>
      <c r="AN63" s="112" t="str">
        <f ca="1">IF($G63=Lists!$R$3,"T1: "&amp;TEXT(FORMULACIÓN!L63,"00,00%")&amp;CHAR(10)&amp;"T2: "&amp;TEXT(FORMULACIÓN!M63,"00,00%")&amp;CHAR(10)&amp;"T3: "&amp;TEXT(FORMULACIÓN!N63,"00,00%")&amp;CHAR(10)&amp;"Tn: "&amp;TEXT(FORMULACIÓN!O63,"00,00%"),IF(FORMULACIÓN!Q63=0,0,"T1: "&amp;TEXT(FORMULACIÓN!L63,"##.###")&amp;CHAR(10)&amp;"T2: "&amp;TEXT(FORMULACIÓN!M63,"##.###")&amp;CHAR(10)&amp;"T3: "&amp;TEXT(FORMULACIÓN!N63,"##.###")&amp;CHAR(10)&amp;"Tn: "&amp;TEXT(FORMULACIÓN!O63,"##.###")))</f>
        <v xml:space="preserve">T1: 
T2: 1
T3: 
Tn: </v>
      </c>
      <c r="AO63" s="117" t="str">
        <f>IFERROR(IF($H63=Lists!$S$6,IF(AND(FORMULACIÓN!L63&gt;K63,K63&gt;0),1,0),IF((K63/FORMULACIÓN!L63)&lt;&gt;0,K63/FORMULACIÓN!L63,0)),"")</f>
        <v/>
      </c>
      <c r="AP63" s="117">
        <f>IFERROR(IF($H63=Lists!$S$6,IF(AND(FORMULACIÓN!M63&gt;L63,L63&gt;0),1,0),IF((L63/FORMULACIÓN!M63)&lt;&gt;0,L63/FORMULACIÓN!M63,0)),"")</f>
        <v>0</v>
      </c>
      <c r="AQ63" s="117" t="str">
        <f>IFERROR(IF($H63=Lists!$S$6,IF(AND(FORMULACIÓN!N63&gt;M63,M63&gt;0),1,0),IF((M63/FORMULACIÓN!N63)&lt;&gt;0,M63/FORMULACIÓN!N63,0)),"")</f>
        <v/>
      </c>
      <c r="AR63" s="117" t="str">
        <f>IFERROR(IF($H63=Lists!$S$6,IF(AND(FORMULACIÓN!O63&gt;N63,N63&gt;0),1,0),IF((N63/FORMULACIÓN!O63)&lt;&gt;0,N63/FORMULACIÓN!O63,0)),"")</f>
        <v/>
      </c>
      <c r="AS63" s="110"/>
      <c r="AT63" s="118">
        <f ca="1">IF($H63=Lists!$S$6,TEXT(COUNTIF('SEGUIMIENTO Y EVALUACIÓN'!K63:N63,"&lt;"&amp;FORMULACIÓN!Q63),"##.###")&amp;" / "&amp;TEXT(COUNTIF('SEGUIMIENTO Y EVALUACIÓN'!K63:N63,"&gt;"&amp;0),"##.###"),IF($G63=Lists!$R$3,TEXT('SEGUIMIENTO Y EVALUACIÓN'!O63,"00,00%")&amp;" / "&amp;TEXT(FORMULACIÓN!P63,"00,00%"),IF('SEGUIMIENTO Y EVALUACIÓN'!O63=0,0,TEXT('SEGUIMIENTO Y EVALUACIÓN'!O63,"##.###")&amp;" / "&amp;TEXT(FORMULACIÓN!P63,"##.###"))))</f>
        <v>0</v>
      </c>
      <c r="AU63" s="57">
        <f ca="1">IFERROR(IF((P63/FORMULACIÓN!Q63)&lt;&gt;0,IF($H63=Lists!$S$6,COUNTIF('SEGUIMIENTO Y EVALUACIÓN'!K63:N63,"&lt;"&amp;FORMULACIÓN!Q63),'SEGUIMIENTO Y EVALUACIÓN'!P63)/IF($H63=Lists!$S$6,COUNTIF('SEGUIMIENTO Y EVALUACIÓN'!K63:N63,"&gt;"&amp;0),FORMULACIÓN!P63),0),0)</f>
        <v>0</v>
      </c>
      <c r="AV63" s="93">
        <f t="shared" ca="1" si="6"/>
        <v>0</v>
      </c>
      <c r="AW63" s="93" cm="1">
        <f t="array" ref="AW63">IF(INDEX(AO63:AU63,1,$AV$3)&gt;1,IF($AU$2=1,1,INDEX(AO63:AU63,1,$AV$3)),INDEX(AO63:AU63,1,$AV$3))</f>
        <v>1</v>
      </c>
      <c r="AX63"/>
      <c r="AY63" s="119" t="str">
        <f>IFERROR(IF((W63/FORMULACIÓN!X63)&lt;&gt;0,W63/FORMULACIÓN!X63,0),"")</f>
        <v/>
      </c>
      <c r="AZ63" s="119" t="str">
        <f>IFERROR(IF((AA63/FORMULACIÓN!AB63)&lt;&gt;0,AA63/FORMULACIÓN!AB63,0),"")</f>
        <v/>
      </c>
      <c r="BA63" s="119" t="str">
        <f>IFERROR(IF((AE63/FORMULACIÓN!AF63)&lt;&gt;0,(AE63/FORMULACIÓN!AF63),0),"")</f>
        <v/>
      </c>
      <c r="BB63" s="119" t="str">
        <f>IFERROR(IF((AI63/FORMULACIÓN!AJ63)&lt;&gt;0,AI63/FORMULACIÓN!AJ63,0),"")</f>
        <v/>
      </c>
      <c r="BC63" s="120" t="str">
        <f>IF('SEGUIMIENTO Y EVALUACIÓN'!AI63=0,0,TEXT('SEGUIMIENTO Y EVALUACIÓN'!AI63,"$ ##.###")&amp;" / "&amp;TEXT(FORMULACIÓN!AK63,"$ ##.###"))</f>
        <v xml:space="preserve"> / $ 3.957.856.864</v>
      </c>
      <c r="BD63" s="57">
        <f>IFERROR(IF((AJ63/FORMULACIÓN!AK63)&lt;&gt;0,AJ63/FORMULACIÓN!AK63,0),0)</f>
        <v>0</v>
      </c>
      <c r="BJ63"/>
      <c r="BK63"/>
      <c r="CL63" s="7"/>
    </row>
    <row r="64" spans="1:90" s="1" customFormat="1" ht="90">
      <c r="A64" s="45">
        <f>IF(FORMULACIÓN!A64="","",FORMULACIÓN!A64)</f>
        <v>53</v>
      </c>
      <c r="B64" s="45" t="str">
        <f>IF(FORMULACIÓN!B64="","",FORMULACIÓN!B64)</f>
        <v>L1 - Formación Académica Integral</v>
      </c>
      <c r="C64" s="45" t="str">
        <f>IF(FORMULACIÓN!E64="","",FORMULACIÓN!E64)</f>
        <v>M5 - Autoevaluación y acreditación Institucional y de programas académicos en el contexto nacional e internacional</v>
      </c>
      <c r="D64" s="45" t="str">
        <f>IF(FORMULACIÓN!F64="","",FORMULACIÓN!F64)</f>
        <v xml:space="preserve">Implementar al menos un 70% de las estrategias académico administrativas dirigidas a la permanencia para alcanzar un 60% en la tasa graduación de los estudiantes. </v>
      </c>
      <c r="E64" s="45" t="str">
        <f>IF(FORMULACIÓN!G64="","",FORMULACIÓN!G64)</f>
        <v>Evolución de las estrategias de acompañamiento al estudiante durante su proceso formativo</v>
      </c>
      <c r="F64" s="45" t="str">
        <f>IF(FORMULACIÓN!H64="","",FORMULACIÓN!H64)</f>
        <v>N° estrategias de acompañamiento implementadas / total de estrategias diseñadas * 100</v>
      </c>
      <c r="G64" s="45" t="str">
        <f>IF(FORMULACIÓN!I64="","",FORMULACIÓN!I64)</f>
        <v>Porcentaje</v>
      </c>
      <c r="H64" s="45" t="str">
        <f>IF(FORMULACIÓN!J64="","",FORMULACIÓN!J64)</f>
        <v>Acumulado</v>
      </c>
      <c r="I64" s="188" t="str">
        <f ca="1">IF($G64=Lists!$R$3,"PDI: "&amp;TEXT(FORMULACIÓN!Q64,"00,00%")&amp;CHAR(10)&amp;CHAR(10)&amp;"T1: "&amp;TEXT(FORMULACIÓN!L64,"00,00%")&amp;CHAR(10)&amp;"T2: "&amp;TEXT(FORMULACIÓN!M64,"00,00%")&amp;CHAR(10)&amp;"T3: "&amp;TEXT(FORMULACIÓN!N64,"00,00%")&amp;CHAR(10)&amp;"Tn: "&amp;TEXT(FORMULACIÓN!O64,"00,00%"),IF(FORMULACIÓN!Q64=0,0,"PDI: "&amp;TEXT(FORMULACIÓN!Q64,"##.###")&amp;CHAR(10)&amp;CHAR(10)&amp;"T1: "&amp;TEXT(FORMULACIÓN!L64,"##.###")&amp;CHAR(10)&amp;"T2: "&amp;TEXT(FORMULACIÓN!M64,"##.###")&amp;CHAR(10)&amp;"T3: "&amp;TEXT(FORMULACIÓN!N64,"##.###")&amp;CHAR(10)&amp;"Tn: "&amp;TEXT(FORMULACIÓN!O64,"##.###")))</f>
        <v>PDI: 70,00%
T1: 00,00%
T2: 10,00%
T3: 50,00%
Tn: 10,00%</v>
      </c>
      <c r="J64" s="122">
        <f>IF(FORMULACIÓN!K64&lt;&gt;"",FORMULACIÓN!K64,"")</f>
        <v>0</v>
      </c>
      <c r="K64" s="309">
        <v>0</v>
      </c>
      <c r="L64" s="59"/>
      <c r="M64" s="59"/>
      <c r="N64" s="59"/>
      <c r="O64" s="47">
        <f ca="1">IFERROR(IF($H64=Lists!$S$2,SUM('SEGUIMIENTO Y EVALUACIÓN'!J64:N64),IF('SEGUIMIENTO Y EVALUACIÓN'!$H64=Lists!$S$3,SUM('SEGUIMIENTO Y EVALUACIÓN'!K64:N64),IF('SEGUIMIENTO Y EVALUACIÓN'!$H64=Lists!$S$4,AVERAGE('SEGUIMIENTO Y EVALUACIÓN'!K64:N64),IF('SEGUIMIENTO Y EVALUACIÓN'!$H64=Lists!$S$5,OFFSET(J64,0,COUNTA(K64:N64)),IF($H64=Lists!$S$6,COUNTIF(K64:N64,"&lt;"&amp;FORMULACIÓN!Q64)/COUNT('SEGUIMIENTO Y EVALUACIÓN'!K64:N64),""))))),"")</f>
        <v>0</v>
      </c>
      <c r="P64" s="51" t="str">
        <f ca="1">IF($G64=Lists!$R$3,TEXT('SEGUIMIENTO Y EVALUACIÓN'!O64,"00,00%"),IF('SEGUIMIENTO Y EVALUACIÓN'!O64=0,0,TEXT('SEGUIMIENTO Y EVALUACIÓN'!O64,"##.###")))</f>
        <v>00,00%</v>
      </c>
      <c r="Q64" s="209" t="str">
        <f>IF(FORMULACIÓN!R64&lt;&gt;"",FORMULACIÓN!R64,"")</f>
        <v xml:space="preserve">P3 - Gestión y mejoramiento curricular </v>
      </c>
      <c r="R64" s="209">
        <f>IF(FORMULACIÓN!S64&lt;&gt;"",FORMULACIÓN!S64,"")</f>
        <v>3.8461538461538464E-3</v>
      </c>
      <c r="S64" s="209" t="str">
        <f>IF(FORMULACIÓN!T64&lt;&gt;"",FORMULACIÓN!T64,"")</f>
        <v>Vicerrector de Docencia</v>
      </c>
      <c r="T64" s="42"/>
      <c r="U64" s="42"/>
      <c r="V64" s="42"/>
      <c r="W64" s="43" t="str">
        <f t="shared" si="0"/>
        <v/>
      </c>
      <c r="X64" s="42"/>
      <c r="Y64" s="42"/>
      <c r="Z64" s="42"/>
      <c r="AA64" s="43" t="str">
        <f t="shared" si="1"/>
        <v/>
      </c>
      <c r="AB64" s="42"/>
      <c r="AC64" s="42"/>
      <c r="AD64" s="42"/>
      <c r="AE64" s="43" t="str">
        <f t="shared" si="2"/>
        <v/>
      </c>
      <c r="AF64" s="42"/>
      <c r="AG64" s="42"/>
      <c r="AH64" s="42"/>
      <c r="AI64" s="46" t="str">
        <f t="shared" si="3"/>
        <v/>
      </c>
      <c r="AJ64" s="46" t="str">
        <f>IF(SUM(AA64,AE64,W64,AI64)=0,"",SUM((AA64,AE64,W64,AI64)))</f>
        <v/>
      </c>
      <c r="AK64"/>
      <c r="AL64" s="1" t="str">
        <f t="shared" si="7"/>
        <v>L1M5P3</v>
      </c>
      <c r="AM64" s="56" t="str">
        <f t="shared" si="8"/>
        <v>Evolución de las estrategias de acompañamiento al estudiante durante su proceso formativo</v>
      </c>
      <c r="AN64" s="112" t="str">
        <f>IF($G64=Lists!$R$3,"T1: "&amp;TEXT(FORMULACIÓN!L64,"00,00%")&amp;CHAR(10)&amp;"T2: "&amp;TEXT(FORMULACIÓN!M64,"00,00%")&amp;CHAR(10)&amp;"T3: "&amp;TEXT(FORMULACIÓN!N64,"00,00%")&amp;CHAR(10)&amp;"Tn: "&amp;TEXT(FORMULACIÓN!O64,"00,00%"),IF(FORMULACIÓN!Q64=0,0,"T1: "&amp;TEXT(FORMULACIÓN!L64,"##.###")&amp;CHAR(10)&amp;"T2: "&amp;TEXT(FORMULACIÓN!M64,"##.###")&amp;CHAR(10)&amp;"T3: "&amp;TEXT(FORMULACIÓN!N64,"##.###")&amp;CHAR(10)&amp;"Tn: "&amp;TEXT(FORMULACIÓN!O64,"##.###")))</f>
        <v>T1: 00,00%
T2: 10,00%
T3: 50,00%
Tn: 10,00%</v>
      </c>
      <c r="AO64" s="117" t="str">
        <f>IFERROR(IF($H64=Lists!$S$6,IF(AND(FORMULACIÓN!L64&gt;K64,K64&gt;0),1,0),IF((K64/FORMULACIÓN!L64)&lt;&gt;0,K64/FORMULACIÓN!L64,0)),"")</f>
        <v/>
      </c>
      <c r="AP64" s="117">
        <f>IFERROR(IF($H64=Lists!$S$6,IF(AND(FORMULACIÓN!M64&gt;L64,L64&gt;0),1,0),IF((L64/FORMULACIÓN!M64)&lt;&gt;0,L64/FORMULACIÓN!M64,0)),"")</f>
        <v>0</v>
      </c>
      <c r="AQ64" s="117">
        <f>IFERROR(IF($H64=Lists!$S$6,IF(AND(FORMULACIÓN!N64&gt;M64,M64&gt;0),1,0),IF((M64/FORMULACIÓN!N64)&lt;&gt;0,M64/FORMULACIÓN!N64,0)),"")</f>
        <v>0</v>
      </c>
      <c r="AR64" s="117">
        <f>IFERROR(IF($H64=Lists!$S$6,IF(AND(FORMULACIÓN!O64&gt;N64,N64&gt;0),1,0),IF((N64/FORMULACIÓN!O64)&lt;&gt;0,N64/FORMULACIÓN!O64,0)),"")</f>
        <v>0</v>
      </c>
      <c r="AS64" s="110"/>
      <c r="AT64" s="118" t="str">
        <f ca="1">IF($H64=Lists!$S$6,TEXT(COUNTIF('SEGUIMIENTO Y EVALUACIÓN'!K64:N64,"&lt;"&amp;FORMULACIÓN!Q64),"##.###")&amp;" / "&amp;TEXT(COUNTIF('SEGUIMIENTO Y EVALUACIÓN'!K64:N64,"&gt;"&amp;0),"##.###"),IF($G64=Lists!$R$3,TEXT('SEGUIMIENTO Y EVALUACIÓN'!O64,"00,00%")&amp;" / "&amp;TEXT(FORMULACIÓN!P64,"00,00%"),IF('SEGUIMIENTO Y EVALUACIÓN'!O64=0,0,TEXT('SEGUIMIENTO Y EVALUACIÓN'!O64,"##.###")&amp;" / "&amp;TEXT(FORMULACIÓN!P64,"##.###"))))</f>
        <v>00,00% / 70,00%</v>
      </c>
      <c r="AU64" s="57">
        <f ca="1">IFERROR(IF((P64/FORMULACIÓN!Q64)&lt;&gt;0,IF($H64=Lists!$S$6,COUNTIF('SEGUIMIENTO Y EVALUACIÓN'!K64:N64,"&lt;"&amp;FORMULACIÓN!Q64),'SEGUIMIENTO Y EVALUACIÓN'!P64)/IF($H64=Lists!$S$6,COUNTIF('SEGUIMIENTO Y EVALUACIÓN'!K64:N64,"&gt;"&amp;0),FORMULACIÓN!P64),0),0)</f>
        <v>0</v>
      </c>
      <c r="AV64" s="93">
        <f t="shared" ca="1" si="6"/>
        <v>0</v>
      </c>
      <c r="AW64" s="93" cm="1">
        <f t="array" ref="AW64">IF(INDEX(AO64:AU64,1,$AV$3)&gt;1,IF($AU$2=1,1,INDEX(AO64:AU64,1,$AV$3)),INDEX(AO64:AU64,1,$AV$3))</f>
        <v>1</v>
      </c>
      <c r="AX64"/>
      <c r="AY64" s="119" t="str">
        <f>IFERROR(IF((W64/FORMULACIÓN!X64)&lt;&gt;0,W64/FORMULACIÓN!X64,0),"")</f>
        <v/>
      </c>
      <c r="AZ64" s="119" t="str">
        <f>IFERROR(IF((AA64/FORMULACIÓN!AB64)&lt;&gt;0,AA64/FORMULACIÓN!AB64,0),"")</f>
        <v/>
      </c>
      <c r="BA64" s="119" t="str">
        <f>IFERROR(IF((AE64/FORMULACIÓN!AF64)&lt;&gt;0,(AE64/FORMULACIÓN!AF64),0),"")</f>
        <v/>
      </c>
      <c r="BB64" s="119" t="str">
        <f>IFERROR(IF((AI64/FORMULACIÓN!AJ64)&lt;&gt;0,AI64/FORMULACIÓN!AJ64,0),"")</f>
        <v/>
      </c>
      <c r="BC64" s="120" t="str">
        <f>IF('SEGUIMIENTO Y EVALUACIÓN'!AI64=0,0,TEXT('SEGUIMIENTO Y EVALUACIÓN'!AI64,"$ ##.###")&amp;" / "&amp;TEXT(FORMULACIÓN!AK64,"$ ##.###"))</f>
        <v xml:space="preserve"> / $ 4.153.834.939</v>
      </c>
      <c r="BD64" s="57">
        <f>IFERROR(IF((AJ64/FORMULACIÓN!AK64)&lt;&gt;0,AJ64/FORMULACIÓN!AK64,0),0)</f>
        <v>0</v>
      </c>
      <c r="BJ64"/>
      <c r="BK64"/>
      <c r="CL64" s="7"/>
    </row>
    <row r="65" spans="1:90" s="1" customFormat="1" ht="90">
      <c r="A65" s="45">
        <f>IF(FORMULACIÓN!A65="","",FORMULACIÓN!A65)</f>
        <v>54</v>
      </c>
      <c r="B65" s="45" t="str">
        <f>IF(FORMULACIÓN!B65="","",FORMULACIÓN!B65)</f>
        <v>L1 - Formación Académica Integral</v>
      </c>
      <c r="C65" s="45" t="str">
        <f>IF(FORMULACIÓN!E65="","",FORMULACIÓN!E65)</f>
        <v>M5 - Autoevaluación y acreditación Institucional y de programas académicos en el contexto nacional e internacional</v>
      </c>
      <c r="D65" s="45" t="str">
        <f>IF(FORMULACIÓN!F65="","",FORMULACIÓN!F65)</f>
        <v xml:space="preserve">Implementar al menos un 70% de las estrategias académico administrativas dirigidas a la permanencia para alcanzar un 60% en la tasa graduación de los estudiantes. </v>
      </c>
      <c r="E65" s="45" t="str">
        <f>IF(FORMULACIÓN!G65="","",FORMULACIÓN!G65)</f>
        <v>Impacto de las estrategias académico-administrativas de acompañamiento al estudiante en su proceso formativo por facultad por año</v>
      </c>
      <c r="F65" s="45" t="str">
        <f>IF(FORMULACIÓN!H65="","",FORMULACIÓN!H65)</f>
        <v xml:space="preserve">Informe por facultad del Estudio de impacto de las estrategias académico-administrativas de acompañamiento para la permanencia y graduación elaborado y socializado  </v>
      </c>
      <c r="G65" s="45" t="str">
        <f>IF(FORMULACIÓN!I65="","",FORMULACIÓN!I65)</f>
        <v>Unidad</v>
      </c>
      <c r="H65" s="45" t="str">
        <f>IF(FORMULACIÓN!J65="","",FORMULACIÓN!J65)</f>
        <v>Acumulado</v>
      </c>
      <c r="I65" s="188" t="str">
        <f ca="1">IF($G65=Lists!$R$3,"PDI: "&amp;TEXT(FORMULACIÓN!Q65,"00,00%")&amp;CHAR(10)&amp;CHAR(10)&amp;"T1: "&amp;TEXT(FORMULACIÓN!L65,"00,00%")&amp;CHAR(10)&amp;"T2: "&amp;TEXT(FORMULACIÓN!M65,"00,00%")&amp;CHAR(10)&amp;"T3: "&amp;TEXT(FORMULACIÓN!N65,"00,00%")&amp;CHAR(10)&amp;"Tn: "&amp;TEXT(FORMULACIÓN!O65,"00,00%"),IF(FORMULACIÓN!Q65=0,0,"PDI: "&amp;TEXT(FORMULACIÓN!Q65,"##.###")&amp;CHAR(10)&amp;CHAR(10)&amp;"T1: "&amp;TEXT(FORMULACIÓN!L65,"##.###")&amp;CHAR(10)&amp;"T2: "&amp;TEXT(FORMULACIÓN!M65,"##.###")&amp;CHAR(10)&amp;"T3: "&amp;TEXT(FORMULACIÓN!N65,"##.###")&amp;CHAR(10)&amp;"Tn: "&amp;TEXT(FORMULACIÓN!O65,"##.###")))</f>
        <v>PDI: 100
T1: 30
T2: 30
T3: 30
Tn: 10</v>
      </c>
      <c r="J65" s="122">
        <f>IF(FORMULACIÓN!K65&lt;&gt;"",FORMULACIÓN!K65,"")</f>
        <v>0</v>
      </c>
      <c r="K65" s="310">
        <v>19</v>
      </c>
      <c r="L65" s="58"/>
      <c r="M65" s="58"/>
      <c r="N65" s="58"/>
      <c r="O65" s="47">
        <f ca="1">IFERROR(IF($H65=Lists!$S$2,SUM('SEGUIMIENTO Y EVALUACIÓN'!J65:N65),IF('SEGUIMIENTO Y EVALUACIÓN'!$H65=Lists!$S$3,SUM('SEGUIMIENTO Y EVALUACIÓN'!K65:N65),IF('SEGUIMIENTO Y EVALUACIÓN'!$H65=Lists!$S$4,AVERAGE('SEGUIMIENTO Y EVALUACIÓN'!K65:N65),IF('SEGUIMIENTO Y EVALUACIÓN'!$H65=Lists!$S$5,OFFSET(J65,0,COUNTA(K65:N65)),IF($H65=Lists!$S$6,COUNTIF(K65:N65,"&lt;"&amp;FORMULACIÓN!Q65)/COUNT('SEGUIMIENTO Y EVALUACIÓN'!K65:N65),""))))),"")</f>
        <v>19</v>
      </c>
      <c r="P65" s="51" t="str">
        <f ca="1">IF($G65=Lists!$R$3,TEXT('SEGUIMIENTO Y EVALUACIÓN'!O65,"00,00%"),IF('SEGUIMIENTO Y EVALUACIÓN'!O65=0,0,TEXT('SEGUIMIENTO Y EVALUACIÓN'!O65,"##.###")))</f>
        <v>19</v>
      </c>
      <c r="Q65" s="209" t="str">
        <f>IF(FORMULACIÓN!R65&lt;&gt;"",FORMULACIÓN!R65,"")</f>
        <v xml:space="preserve">P3 - Gestión y mejoramiento curricular </v>
      </c>
      <c r="R65" s="209">
        <f>IF(FORMULACIÓN!S65&lt;&gt;"",FORMULACIÓN!S65,"")</f>
        <v>3.8461538461538464E-3</v>
      </c>
      <c r="S65" s="209" t="str">
        <f>IF(FORMULACIÓN!T65&lt;&gt;"",FORMULACIÓN!T65,"")</f>
        <v>Vicerrector de Docencia</v>
      </c>
      <c r="T65" s="42"/>
      <c r="U65" s="42"/>
      <c r="V65" s="42"/>
      <c r="W65" s="43" t="str">
        <f t="shared" si="0"/>
        <v/>
      </c>
      <c r="X65" s="42"/>
      <c r="Y65" s="42"/>
      <c r="Z65" s="42"/>
      <c r="AA65" s="43" t="str">
        <f t="shared" si="1"/>
        <v/>
      </c>
      <c r="AB65" s="42"/>
      <c r="AC65" s="42"/>
      <c r="AD65" s="42"/>
      <c r="AE65" s="43" t="str">
        <f t="shared" si="2"/>
        <v/>
      </c>
      <c r="AF65" s="42"/>
      <c r="AG65" s="42"/>
      <c r="AH65" s="42"/>
      <c r="AI65" s="46" t="str">
        <f t="shared" si="3"/>
        <v/>
      </c>
      <c r="AJ65" s="46" t="str">
        <f>IF(SUM(AA65,AE65,W65,AI65)=0,"",SUM((AA65,AE65,W65,AI65)))</f>
        <v/>
      </c>
      <c r="AK65"/>
      <c r="AL65" s="1" t="str">
        <f t="shared" si="7"/>
        <v>L1M5P3</v>
      </c>
      <c r="AM65" s="56" t="str">
        <f t="shared" si="8"/>
        <v>Impacto de las estrategias académico-administrativas de acompañamiento al estudiante en su proceso formativo por facultad por año</v>
      </c>
      <c r="AN65" s="112" t="str">
        <f ca="1">IF($G65=Lists!$R$3,"T1: "&amp;TEXT(FORMULACIÓN!L65,"00,00%")&amp;CHAR(10)&amp;"T2: "&amp;TEXT(FORMULACIÓN!M65,"00,00%")&amp;CHAR(10)&amp;"T3: "&amp;TEXT(FORMULACIÓN!N65,"00,00%")&amp;CHAR(10)&amp;"Tn: "&amp;TEXT(FORMULACIÓN!O65,"00,00%"),IF(FORMULACIÓN!Q65=0,0,"T1: "&amp;TEXT(FORMULACIÓN!L65,"##.###")&amp;CHAR(10)&amp;"T2: "&amp;TEXT(FORMULACIÓN!M65,"##.###")&amp;CHAR(10)&amp;"T3: "&amp;TEXT(FORMULACIÓN!N65,"##.###")&amp;CHAR(10)&amp;"Tn: "&amp;TEXT(FORMULACIÓN!O65,"##.###")))</f>
        <v>T1: 30
T2: 30
T3: 30
Tn: 10</v>
      </c>
      <c r="AO65" s="117">
        <f>IFERROR(IF($H65=Lists!$S$6,IF(AND(FORMULACIÓN!L65&gt;K65,K65&gt;0),1,0),IF((K65/FORMULACIÓN!L65)&lt;&gt;0,K65/FORMULACIÓN!L65,0)),"")</f>
        <v>0.6333333333333333</v>
      </c>
      <c r="AP65" s="117">
        <f>IFERROR(IF($H65=Lists!$S$6,IF(AND(FORMULACIÓN!M65&gt;L65,L65&gt;0),1,0),IF((L65/FORMULACIÓN!M65)&lt;&gt;0,L65/FORMULACIÓN!M65,0)),"")</f>
        <v>0</v>
      </c>
      <c r="AQ65" s="117">
        <f>IFERROR(IF($H65=Lists!$S$6,IF(AND(FORMULACIÓN!N65&gt;M65,M65&gt;0),1,0),IF((M65/FORMULACIÓN!N65)&lt;&gt;0,M65/FORMULACIÓN!N65,0)),"")</f>
        <v>0</v>
      </c>
      <c r="AR65" s="117">
        <f>IFERROR(IF($H65=Lists!$S$6,IF(AND(FORMULACIÓN!O65&gt;N65,N65&gt;0),1,0),IF((N65/FORMULACIÓN!O65)&lt;&gt;0,N65/FORMULACIÓN!O65,0)),"")</f>
        <v>0</v>
      </c>
      <c r="AS65" s="110"/>
      <c r="AT65" s="118" t="str">
        <f ca="1">IF($H65=Lists!$S$6,TEXT(COUNTIF('SEGUIMIENTO Y EVALUACIÓN'!K65:N65,"&lt;"&amp;FORMULACIÓN!Q65),"##.###")&amp;" / "&amp;TEXT(COUNTIF('SEGUIMIENTO Y EVALUACIÓN'!K65:N65,"&gt;"&amp;0),"##.###"),IF($G65=Lists!$R$3,TEXT('SEGUIMIENTO Y EVALUACIÓN'!O65,"00,00%")&amp;" / "&amp;TEXT(FORMULACIÓN!P65,"00,00%"),IF('SEGUIMIENTO Y EVALUACIÓN'!O65=0,0,TEXT('SEGUIMIENTO Y EVALUACIÓN'!O65,"##.###")&amp;" / "&amp;TEXT(FORMULACIÓN!P65,"##.###"))))</f>
        <v>19 / 100</v>
      </c>
      <c r="AU65" s="57">
        <f ca="1">IFERROR(IF((P65/FORMULACIÓN!Q65)&lt;&gt;0,IF($H65=Lists!$S$6,COUNTIF('SEGUIMIENTO Y EVALUACIÓN'!K65:N65,"&lt;"&amp;FORMULACIÓN!Q65),'SEGUIMIENTO Y EVALUACIÓN'!P65)/IF($H65=Lists!$S$6,COUNTIF('SEGUIMIENTO Y EVALUACIÓN'!K65:N65,"&gt;"&amp;0),FORMULACIÓN!P65),0),0)</f>
        <v>0.19</v>
      </c>
      <c r="AV65" s="93">
        <f t="shared" ca="1" si="6"/>
        <v>7.307692307692308E-4</v>
      </c>
      <c r="AW65" s="93" cm="1">
        <f t="array" ref="AW65">IF(INDEX(AO65:AU65,1,$AV$3)&gt;1,IF($AU$2=1,1,INDEX(AO65:AU65,1,$AV$3)),INDEX(AO65:AU65,1,$AV$3))</f>
        <v>0.6333333333333333</v>
      </c>
      <c r="AX65"/>
      <c r="AY65" s="119" t="str">
        <f>IFERROR(IF((W65/FORMULACIÓN!X65)&lt;&gt;0,W65/FORMULACIÓN!X65,0),"")</f>
        <v/>
      </c>
      <c r="AZ65" s="119" t="str">
        <f>IFERROR(IF((AA65/FORMULACIÓN!AB65)&lt;&gt;0,AA65/FORMULACIÓN!AB65,0),"")</f>
        <v/>
      </c>
      <c r="BA65" s="119" t="str">
        <f>IFERROR(IF((AE65/FORMULACIÓN!AF65)&lt;&gt;0,(AE65/FORMULACIÓN!AF65),0),"")</f>
        <v/>
      </c>
      <c r="BB65" s="119" t="str">
        <f>IFERROR(IF((AI65/FORMULACIÓN!AJ65)&lt;&gt;0,AI65/FORMULACIÓN!AJ65,0),"")</f>
        <v/>
      </c>
      <c r="BC65" s="120" t="str">
        <f>IF('SEGUIMIENTO Y EVALUACIÓN'!AI65=0,0,TEXT('SEGUIMIENTO Y EVALUACIÓN'!AI65,"$ ##.###")&amp;" / "&amp;TEXT(FORMULACIÓN!AK65,"$ ##.###"))</f>
        <v xml:space="preserve"> / $ 3.957.856.864</v>
      </c>
      <c r="BD65" s="57">
        <f>IFERROR(IF((AJ65/FORMULACIÓN!AK65)&lt;&gt;0,AJ65/FORMULACIÓN!AK65,0),0)</f>
        <v>0</v>
      </c>
      <c r="BJ65"/>
      <c r="BK65"/>
      <c r="CL65" s="7"/>
    </row>
    <row r="66" spans="1:90" s="1" customFormat="1" ht="90">
      <c r="A66" s="45">
        <f>IF(FORMULACIÓN!A66="","",FORMULACIÓN!A66)</f>
        <v>55</v>
      </c>
      <c r="B66" s="45" t="str">
        <f>IF(FORMULACIÓN!B66="","",FORMULACIÓN!B66)</f>
        <v>L1 - Formación Académica Integral</v>
      </c>
      <c r="C66" s="45" t="str">
        <f>IF(FORMULACIÓN!E66="","",FORMULACIÓN!E66)</f>
        <v>M5 - Autoevaluación y acreditación Institucional y de programas académicos en el contexto nacional e internacional</v>
      </c>
      <c r="D66" s="45" t="str">
        <f>IF(FORMULACIÓN!F66="","",FORMULACIÓN!F66)</f>
        <v xml:space="preserve">Implementar al menos un 70% de las estrategias académico administrativas dirigidas a la permanencia para alcanzar un 60% en la tasa graduación de los estudiantes. </v>
      </c>
      <c r="E66" s="45" t="str">
        <f>IF(FORMULACIÓN!G66="","",FORMULACIÓN!G66)</f>
        <v>Tasa de graduación acumulada</v>
      </c>
      <c r="F66" s="45" t="str">
        <f>IF(FORMULACIÓN!H66="","",FORMULACIÓN!H66)</f>
        <v>(N° de estudiantes graduados acumulados de todas las cohortes hasta el periodo t / Total de estudiantes acumulados de primer ingreso de todas las cohortes hasta el periodo t) * 100</v>
      </c>
      <c r="G66" s="45" t="str">
        <f>IF(FORMULACIÓN!I66="","",FORMULACIÓN!I66)</f>
        <v>Porcentaje</v>
      </c>
      <c r="H66" s="45" t="str">
        <f>IF(FORMULACIÓN!J66="","",FORMULACIÓN!J66)</f>
        <v>Promedio</v>
      </c>
      <c r="I66" s="188" t="str">
        <f ca="1">IF($G66=Lists!$R$3,"PDI: "&amp;TEXT(FORMULACIÓN!Q66,"00,00%")&amp;CHAR(10)&amp;CHAR(10)&amp;"T1: "&amp;TEXT(FORMULACIÓN!L66,"00,00%")&amp;CHAR(10)&amp;"T2: "&amp;TEXT(FORMULACIÓN!M66,"00,00%")&amp;CHAR(10)&amp;"T3: "&amp;TEXT(FORMULACIÓN!N66,"00,00%")&amp;CHAR(10)&amp;"Tn: "&amp;TEXT(FORMULACIÓN!O66,"00,00%"),IF(FORMULACIÓN!Q66=0,0,"PDI: "&amp;TEXT(FORMULACIÓN!Q66,"##.###")&amp;CHAR(10)&amp;CHAR(10)&amp;"T1: "&amp;TEXT(FORMULACIÓN!L66,"##.###")&amp;CHAR(10)&amp;"T2: "&amp;TEXT(FORMULACIÓN!M66,"##.###")&amp;CHAR(10)&amp;"T3: "&amp;TEXT(FORMULACIÓN!N66,"##.###")&amp;CHAR(10)&amp;"Tn: "&amp;TEXT(FORMULACIÓN!O66,"##.###")))</f>
        <v>PDI: 60,00%
T1: 50,00%
T2: 60,00%
T3: 65,00%
Tn: 65,00%</v>
      </c>
      <c r="J66" s="122">
        <f>IF(FORMULACIÓN!K66&lt;&gt;"",FORMULACIÓN!K66,"")</f>
        <v>0.33</v>
      </c>
      <c r="K66" s="309">
        <v>0.93200000000000005</v>
      </c>
      <c r="L66" s="58"/>
      <c r="M66" s="58"/>
      <c r="N66" s="58"/>
      <c r="O66" s="47">
        <f ca="1">IFERROR(IF($H66=Lists!$S$2,SUM('SEGUIMIENTO Y EVALUACIÓN'!J66:N66),IF('SEGUIMIENTO Y EVALUACIÓN'!$H66=Lists!$S$3,SUM('SEGUIMIENTO Y EVALUACIÓN'!K66:N66),IF('SEGUIMIENTO Y EVALUACIÓN'!$H66=Lists!$S$4,AVERAGE('SEGUIMIENTO Y EVALUACIÓN'!K66:N66),IF('SEGUIMIENTO Y EVALUACIÓN'!$H66=Lists!$S$5,OFFSET(J66,0,COUNTA(K66:N66)),IF($H66=Lists!$S$6,COUNTIF(K66:N66,"&lt;"&amp;FORMULACIÓN!Q66)/COUNT('SEGUIMIENTO Y EVALUACIÓN'!K66:N66),""))))),"")</f>
        <v>0.93200000000000005</v>
      </c>
      <c r="P66" s="51" t="str">
        <f ca="1">IF($G66=Lists!$R$3,TEXT('SEGUIMIENTO Y EVALUACIÓN'!O66,"00,00%"),IF('SEGUIMIENTO Y EVALUACIÓN'!O66=0,0,TEXT('SEGUIMIENTO Y EVALUACIÓN'!O66,"##.###")))</f>
        <v>93,20%</v>
      </c>
      <c r="Q66" s="209" t="str">
        <f>IF(FORMULACIÓN!R66&lt;&gt;"",FORMULACIÓN!R66,"")</f>
        <v xml:space="preserve">P3 - Gestión y mejoramiento curricular </v>
      </c>
      <c r="R66" s="209">
        <f>IF(FORMULACIÓN!S66&lt;&gt;"",FORMULACIÓN!S66,"")</f>
        <v>3.8461538461538464E-3</v>
      </c>
      <c r="S66" s="209" t="str">
        <f>IF(FORMULACIÓN!T66&lt;&gt;"",FORMULACIÓN!T66,"")</f>
        <v>Vicerrector de Docencia</v>
      </c>
      <c r="T66" s="42"/>
      <c r="U66" s="42"/>
      <c r="V66" s="42"/>
      <c r="W66" s="43" t="str">
        <f t="shared" si="0"/>
        <v/>
      </c>
      <c r="X66" s="42"/>
      <c r="Y66" s="42"/>
      <c r="Z66" s="42"/>
      <c r="AA66" s="43" t="str">
        <f t="shared" si="1"/>
        <v/>
      </c>
      <c r="AB66" s="42"/>
      <c r="AC66" s="42"/>
      <c r="AD66" s="42"/>
      <c r="AE66" s="43" t="str">
        <f t="shared" si="2"/>
        <v/>
      </c>
      <c r="AF66" s="42"/>
      <c r="AG66" s="42"/>
      <c r="AH66" s="42"/>
      <c r="AI66" s="46" t="str">
        <f t="shared" si="3"/>
        <v/>
      </c>
      <c r="AJ66" s="46" t="str">
        <f>IF(SUM(AA66,AE66,W66,AI66)=0,"",SUM((AA66,AE66,W66,AI66)))</f>
        <v/>
      </c>
      <c r="AK66"/>
      <c r="AL66" s="1" t="str">
        <f t="shared" si="7"/>
        <v>L1M5P3</v>
      </c>
      <c r="AM66" s="56" t="str">
        <f t="shared" si="8"/>
        <v>Tasa de graduación acumulada</v>
      </c>
      <c r="AN66" s="112" t="str">
        <f>IF($G66=Lists!$R$3,"T1: "&amp;TEXT(FORMULACIÓN!L66,"00,00%")&amp;CHAR(10)&amp;"T2: "&amp;TEXT(FORMULACIÓN!M66,"00,00%")&amp;CHAR(10)&amp;"T3: "&amp;TEXT(FORMULACIÓN!N66,"00,00%")&amp;CHAR(10)&amp;"Tn: "&amp;TEXT(FORMULACIÓN!O66,"00,00%"),IF(FORMULACIÓN!Q66=0,0,"T1: "&amp;TEXT(FORMULACIÓN!L66,"##.###")&amp;CHAR(10)&amp;"T2: "&amp;TEXT(FORMULACIÓN!M66,"##.###")&amp;CHAR(10)&amp;"T3: "&amp;TEXT(FORMULACIÓN!N66,"##.###")&amp;CHAR(10)&amp;"Tn: "&amp;TEXT(FORMULACIÓN!O66,"##.###")))</f>
        <v>T1: 50,00%
T2: 60,00%
T3: 65,00%
Tn: 65,00%</v>
      </c>
      <c r="AO66" s="117">
        <f>IFERROR(IF($H66=Lists!$S$6,IF(AND(FORMULACIÓN!L66&gt;K66,K66&gt;0),1,0),IF((K66/FORMULACIÓN!L66)&lt;&gt;0,K66/FORMULACIÓN!L66,0)),"")</f>
        <v>1.8640000000000001</v>
      </c>
      <c r="AP66" s="117">
        <f>IFERROR(IF($H66=Lists!$S$6,IF(AND(FORMULACIÓN!M66&gt;L66,L66&gt;0),1,0),IF((L66/FORMULACIÓN!M66)&lt;&gt;0,L66/FORMULACIÓN!M66,0)),"")</f>
        <v>0</v>
      </c>
      <c r="AQ66" s="117">
        <f>IFERROR(IF($H66=Lists!$S$6,IF(AND(FORMULACIÓN!N66&gt;M66,M66&gt;0),1,0),IF((M66/FORMULACIÓN!N66)&lt;&gt;0,M66/FORMULACIÓN!N66,0)),"")</f>
        <v>0</v>
      </c>
      <c r="AR66" s="117">
        <f>IFERROR(IF($H66=Lists!$S$6,IF(AND(FORMULACIÓN!O66&gt;N66,N66&gt;0),1,0),IF((N66/FORMULACIÓN!O66)&lt;&gt;0,N66/FORMULACIÓN!O66,0)),"")</f>
        <v>0</v>
      </c>
      <c r="AS66" s="110"/>
      <c r="AT66" s="118" t="str">
        <f ca="1">IF($H66=Lists!$S$6,TEXT(COUNTIF('SEGUIMIENTO Y EVALUACIÓN'!K66:N66,"&lt;"&amp;FORMULACIÓN!Q66),"##.###")&amp;" / "&amp;TEXT(COUNTIF('SEGUIMIENTO Y EVALUACIÓN'!K66:N66,"&gt;"&amp;0),"##.###"),IF($G66=Lists!$R$3,TEXT('SEGUIMIENTO Y EVALUACIÓN'!O66,"00,00%")&amp;" / "&amp;TEXT(FORMULACIÓN!P66,"00,00%"),IF('SEGUIMIENTO Y EVALUACIÓN'!O66=0,0,TEXT('SEGUIMIENTO Y EVALUACIÓN'!O66,"##.###")&amp;" / "&amp;TEXT(FORMULACIÓN!P66,"##.###"))))</f>
        <v>93,20% / 60,00%</v>
      </c>
      <c r="AU66" s="57">
        <f ca="1">IFERROR(IF((P66/FORMULACIÓN!Q66)&lt;&gt;0,IF($H66=Lists!$S$6,COUNTIF('SEGUIMIENTO Y EVALUACIÓN'!K66:N66,"&lt;"&amp;FORMULACIÓN!Q66),'SEGUIMIENTO Y EVALUACIÓN'!P66)/IF($H66=Lists!$S$6,COUNTIF('SEGUIMIENTO Y EVALUACIÓN'!K66:N66,"&gt;"&amp;0),FORMULACIÓN!P66),0),0)</f>
        <v>1.5533333333333335</v>
      </c>
      <c r="AV66" s="93">
        <f t="shared" ca="1" si="6"/>
        <v>3.8461538461538464E-3</v>
      </c>
      <c r="AW66" s="93" cm="1">
        <f t="array" ref="AW66">IF(INDEX(AO66:AU66,1,$AV$3)&gt;1,IF($AU$2=1,1,INDEX(AO66:AU66,1,$AV$3)),INDEX(AO66:AU66,1,$AV$3))</f>
        <v>1</v>
      </c>
      <c r="AX66"/>
      <c r="AY66" s="119" t="str">
        <f>IFERROR(IF((W66/FORMULACIÓN!X66)&lt;&gt;0,W66/FORMULACIÓN!X66,0),"")</f>
        <v/>
      </c>
      <c r="AZ66" s="119" t="str">
        <f>IFERROR(IF((AA66/FORMULACIÓN!AB66)&lt;&gt;0,AA66/FORMULACIÓN!AB66,0),"")</f>
        <v/>
      </c>
      <c r="BA66" s="119" t="str">
        <f>IFERROR(IF((AE66/FORMULACIÓN!AF66)&lt;&gt;0,(AE66/FORMULACIÓN!AF66),0),"")</f>
        <v/>
      </c>
      <c r="BB66" s="119" t="str">
        <f>IFERROR(IF((AI66/FORMULACIÓN!AJ66)&lt;&gt;0,AI66/FORMULACIÓN!AJ66,0),"")</f>
        <v/>
      </c>
      <c r="BC66" s="120" t="str">
        <f>IF('SEGUIMIENTO Y EVALUACIÓN'!AI66=0,0,TEXT('SEGUIMIENTO Y EVALUACIÓN'!AI66,"$ ##.###")&amp;" / "&amp;TEXT(FORMULACIÓN!AK66,"$ ##.###"))</f>
        <v xml:space="preserve"> / $ 4.069.474.638</v>
      </c>
      <c r="BD66" s="57">
        <f>IFERROR(IF((AJ66/FORMULACIÓN!AK66)&lt;&gt;0,AJ66/FORMULACIÓN!AK66,0),0)</f>
        <v>0</v>
      </c>
      <c r="BJ66"/>
      <c r="BK66"/>
      <c r="CL66" s="7"/>
    </row>
    <row r="67" spans="1:90" s="1" customFormat="1" ht="90">
      <c r="A67" s="45">
        <f>IF(FORMULACIÓN!A67="","",FORMULACIÓN!A67)</f>
        <v>56</v>
      </c>
      <c r="B67" s="45" t="str">
        <f>IF(FORMULACIÓN!B67="","",FORMULACIÓN!B67)</f>
        <v>L1 - Formación Académica Integral</v>
      </c>
      <c r="C67" s="45" t="str">
        <f>IF(FORMULACIÓN!E67="","",FORMULACIÓN!E67)</f>
        <v>M5 - Autoevaluación y acreditación Institucional y de programas académicos en el contexto nacional e internacional</v>
      </c>
      <c r="D67" s="45" t="str">
        <f>IF(FORMULACIÓN!F67="","",FORMULACIÓN!F67)</f>
        <v>Diseñar la política de meritocracia para acceder a la carrera profesoral y realizar al menos 3 concursos públicos de mérito con resultados de 80% de efectividad.</v>
      </c>
      <c r="E67" s="45" t="str">
        <f>IF(FORMULACIÓN!G67="","",FORMULACIÓN!G67)</f>
        <v xml:space="preserve">Política de meritocracia para acceder a la carrera profesoral </v>
      </c>
      <c r="F67" s="45" t="str">
        <f>IF(FORMULACIÓN!H67="","",FORMULACIÓN!H67)</f>
        <v>Acto administrativo de la política de meritocracia para acceder a la carrera profesoral aprobado por el Consejo Académico</v>
      </c>
      <c r="G67" s="45" t="str">
        <f>IF(FORMULACIÓN!I67="","",FORMULACIÓN!I67)</f>
        <v>Unidad</v>
      </c>
      <c r="H67" s="45" t="str">
        <f>IF(FORMULACIÓN!J67="","",FORMULACIÓN!J67)</f>
        <v>Nuevo gestionado durante la vigencia</v>
      </c>
      <c r="I67" s="188" t="str">
        <f ca="1">IF($G67=Lists!$R$3,"PDI: "&amp;TEXT(FORMULACIÓN!Q67,"00,00%")&amp;CHAR(10)&amp;CHAR(10)&amp;"T1: "&amp;TEXT(FORMULACIÓN!L67,"00,00%")&amp;CHAR(10)&amp;"T2: "&amp;TEXT(FORMULACIÓN!M67,"00,00%")&amp;CHAR(10)&amp;"T3: "&amp;TEXT(FORMULACIÓN!N67,"00,00%")&amp;CHAR(10)&amp;"Tn: "&amp;TEXT(FORMULACIÓN!O67,"00,00%"),IF(FORMULACIÓN!Q67=0,0,"PDI: "&amp;TEXT(FORMULACIÓN!Q67,"##.###")&amp;CHAR(10)&amp;CHAR(10)&amp;"T1: "&amp;TEXT(FORMULACIÓN!L67,"##.###")&amp;CHAR(10)&amp;"T2: "&amp;TEXT(FORMULACIÓN!M67,"##.###")&amp;CHAR(10)&amp;"T3: "&amp;TEXT(FORMULACIÓN!N67,"##.###")&amp;CHAR(10)&amp;"Tn: "&amp;TEXT(FORMULACIÓN!O67,"##.###")))</f>
        <v xml:space="preserve">PDI: 1
T1: 1
T2: 
T3: 
Tn: </v>
      </c>
      <c r="J67" s="122">
        <f>IF(FORMULACIÓN!K67&lt;&gt;"",FORMULACIÓN!K67,"")</f>
        <v>0</v>
      </c>
      <c r="K67" s="310">
        <v>0</v>
      </c>
      <c r="L67" s="58"/>
      <c r="M67" s="58"/>
      <c r="N67" s="58"/>
      <c r="O67" s="47">
        <f ca="1">IFERROR(IF($H67=Lists!$S$2,SUM('SEGUIMIENTO Y EVALUACIÓN'!J67:N67),IF('SEGUIMIENTO Y EVALUACIÓN'!$H67=Lists!$S$3,SUM('SEGUIMIENTO Y EVALUACIÓN'!K67:N67),IF('SEGUIMIENTO Y EVALUACIÓN'!$H67=Lists!$S$4,AVERAGE('SEGUIMIENTO Y EVALUACIÓN'!K67:N67),IF('SEGUIMIENTO Y EVALUACIÓN'!$H67=Lists!$S$5,OFFSET(J67,0,COUNTA(K67:N67)),IF($H67=Lists!$S$6,COUNTIF(K67:N67,"&lt;"&amp;FORMULACIÓN!Q67)/COUNT('SEGUIMIENTO Y EVALUACIÓN'!K67:N67),""))))),"")</f>
        <v>0</v>
      </c>
      <c r="P67" s="51">
        <f ca="1">IF($G67=Lists!$R$3,TEXT('SEGUIMIENTO Y EVALUACIÓN'!O67,"00,00%"),IF('SEGUIMIENTO Y EVALUACIÓN'!O67=0,0,TEXT('SEGUIMIENTO Y EVALUACIÓN'!O67,"##.###")))</f>
        <v>0</v>
      </c>
      <c r="Q67" s="209" t="str">
        <f>IF(FORMULACIÓN!R67&lt;&gt;"",FORMULACIÓN!R67,"")</f>
        <v>P4 - Fortalecimiento de las capacidades del capital humano docente</v>
      </c>
      <c r="R67" s="209">
        <f>IF(FORMULACIÓN!S67&lt;&gt;"",FORMULACIÓN!S67,"")</f>
        <v>8.5714285714285719E-3</v>
      </c>
      <c r="S67" s="209" t="str">
        <f>IF(FORMULACIÓN!T67&lt;&gt;"",FORMULACIÓN!T67,"")</f>
        <v>Vicerrector de Docencia</v>
      </c>
      <c r="T67" s="42"/>
      <c r="U67" s="42"/>
      <c r="V67" s="42"/>
      <c r="W67" s="43" t="str">
        <f t="shared" si="0"/>
        <v/>
      </c>
      <c r="X67" s="42"/>
      <c r="Y67" s="42"/>
      <c r="Z67" s="42"/>
      <c r="AA67" s="43" t="str">
        <f t="shared" si="1"/>
        <v/>
      </c>
      <c r="AB67" s="42"/>
      <c r="AC67" s="42"/>
      <c r="AD67" s="42"/>
      <c r="AE67" s="43" t="str">
        <f t="shared" si="2"/>
        <v/>
      </c>
      <c r="AF67" s="42"/>
      <c r="AG67" s="42"/>
      <c r="AH67" s="42"/>
      <c r="AI67" s="46" t="str">
        <f t="shared" si="3"/>
        <v/>
      </c>
      <c r="AJ67" s="46" t="str">
        <f>IF(SUM(AA67,AE67,W67,AI67)=0,"",SUM((AA67,AE67,W67,AI67)))</f>
        <v/>
      </c>
      <c r="AK67"/>
      <c r="AL67" s="1" t="str">
        <f t="shared" si="7"/>
        <v>L1M5P4</v>
      </c>
      <c r="AM67" s="56" t="str">
        <f t="shared" si="8"/>
        <v xml:space="preserve">Política de meritocracia para acceder a la carrera profesoral </v>
      </c>
      <c r="AN67" s="112" t="str">
        <f ca="1">IF($G67=Lists!$R$3,"T1: "&amp;TEXT(FORMULACIÓN!L67,"00,00%")&amp;CHAR(10)&amp;"T2: "&amp;TEXT(FORMULACIÓN!M67,"00,00%")&amp;CHAR(10)&amp;"T3: "&amp;TEXT(FORMULACIÓN!N67,"00,00%")&amp;CHAR(10)&amp;"Tn: "&amp;TEXT(FORMULACIÓN!O67,"00,00%"),IF(FORMULACIÓN!Q67=0,0,"T1: "&amp;TEXT(FORMULACIÓN!L67,"##.###")&amp;CHAR(10)&amp;"T2: "&amp;TEXT(FORMULACIÓN!M67,"##.###")&amp;CHAR(10)&amp;"T3: "&amp;TEXT(FORMULACIÓN!N67,"##.###")&amp;CHAR(10)&amp;"Tn: "&amp;TEXT(FORMULACIÓN!O67,"##.###")))</f>
        <v xml:space="preserve">T1: 1
T2: 
T3: 
Tn: </v>
      </c>
      <c r="AO67" s="117">
        <f>IFERROR(IF($H67=Lists!$S$6,IF(AND(FORMULACIÓN!L67&gt;K67,K67&gt;0),1,0),IF((K67/FORMULACIÓN!L67)&lt;&gt;0,K67/FORMULACIÓN!L67,0)),"")</f>
        <v>0</v>
      </c>
      <c r="AP67" s="117" t="str">
        <f>IFERROR(IF($H67=Lists!$S$6,IF(AND(FORMULACIÓN!M67&gt;L67,L67&gt;0),1,0),IF((L67/FORMULACIÓN!M67)&lt;&gt;0,L67/FORMULACIÓN!M67,0)),"")</f>
        <v/>
      </c>
      <c r="AQ67" s="117" t="str">
        <f>IFERROR(IF($H67=Lists!$S$6,IF(AND(FORMULACIÓN!N67&gt;M67,M67&gt;0),1,0),IF((M67/FORMULACIÓN!N67)&lt;&gt;0,M67/FORMULACIÓN!N67,0)),"")</f>
        <v/>
      </c>
      <c r="AR67" s="117" t="str">
        <f>IFERROR(IF($H67=Lists!$S$6,IF(AND(FORMULACIÓN!O67&gt;N67,N67&gt;0),1,0),IF((N67/FORMULACIÓN!O67)&lt;&gt;0,N67/FORMULACIÓN!O67,0)),"")</f>
        <v/>
      </c>
      <c r="AS67" s="110"/>
      <c r="AT67" s="118">
        <f ca="1">IF($H67=Lists!$S$6,TEXT(COUNTIF('SEGUIMIENTO Y EVALUACIÓN'!K67:N67,"&lt;"&amp;FORMULACIÓN!Q67),"##.###")&amp;" / "&amp;TEXT(COUNTIF('SEGUIMIENTO Y EVALUACIÓN'!K67:N67,"&gt;"&amp;0),"##.###"),IF($G67=Lists!$R$3,TEXT('SEGUIMIENTO Y EVALUACIÓN'!O67,"00,00%")&amp;" / "&amp;TEXT(FORMULACIÓN!P67,"00,00%"),IF('SEGUIMIENTO Y EVALUACIÓN'!O67=0,0,TEXT('SEGUIMIENTO Y EVALUACIÓN'!O67,"##.###")&amp;" / "&amp;TEXT(FORMULACIÓN!P67,"##.###"))))</f>
        <v>0</v>
      </c>
      <c r="AU67" s="57">
        <f ca="1">IFERROR(IF((P67/FORMULACIÓN!Q67)&lt;&gt;0,IF($H67=Lists!$S$6,COUNTIF('SEGUIMIENTO Y EVALUACIÓN'!K67:N67,"&lt;"&amp;FORMULACIÓN!Q67),'SEGUIMIENTO Y EVALUACIÓN'!P67)/IF($H67=Lists!$S$6,COUNTIF('SEGUIMIENTO Y EVALUACIÓN'!K67:N67,"&gt;"&amp;0),FORMULACIÓN!P67),0),0)</f>
        <v>0</v>
      </c>
      <c r="AV67" s="93">
        <f t="shared" ca="1" si="6"/>
        <v>0</v>
      </c>
      <c r="AW67" s="93" cm="1">
        <f t="array" ref="AW67">IF(INDEX(AO67:AU67,1,$AV$3)&gt;1,IF($AU$2=1,1,INDEX(AO67:AU67,1,$AV$3)),INDEX(AO67:AU67,1,$AV$3))</f>
        <v>0</v>
      </c>
      <c r="AX67"/>
      <c r="AY67" s="119" t="str">
        <f>IFERROR(IF((W67/FORMULACIÓN!X67)&lt;&gt;0,W67/FORMULACIÓN!X67,0),"")</f>
        <v/>
      </c>
      <c r="AZ67" s="119" t="str">
        <f>IFERROR(IF((AA67/FORMULACIÓN!AB67)&lt;&gt;0,AA67/FORMULACIÓN!AB67,0),"")</f>
        <v/>
      </c>
      <c r="BA67" s="119" t="str">
        <f>IFERROR(IF((AE67/FORMULACIÓN!AF67)&lt;&gt;0,(AE67/FORMULACIÓN!AF67),0),"")</f>
        <v/>
      </c>
      <c r="BB67" s="119" t="str">
        <f>IFERROR(IF((AI67/FORMULACIÓN!AJ67)&lt;&gt;0,AI67/FORMULACIÓN!AJ67,0),"")</f>
        <v/>
      </c>
      <c r="BC67" s="120" t="str">
        <f>IF('SEGUIMIENTO Y EVALUACIÓN'!AI67=0,0,TEXT('SEGUIMIENTO Y EVALUACIÓN'!AI67,"$ ##.###")&amp;" / "&amp;TEXT(FORMULACIÓN!AK67,"$ ##.###"))</f>
        <v xml:space="preserve"> / $ 8.789.063.252</v>
      </c>
      <c r="BD67" s="57">
        <f>IFERROR(IF((AJ67/FORMULACIÓN!AK67)&lt;&gt;0,AJ67/FORMULACIÓN!AK67,0),0)</f>
        <v>0</v>
      </c>
      <c r="BJ67"/>
      <c r="BK67"/>
      <c r="CL67" s="7"/>
    </row>
    <row r="68" spans="1:90" s="1" customFormat="1" ht="90">
      <c r="A68" s="45">
        <f>IF(FORMULACIÓN!A68="","",FORMULACIÓN!A68)</f>
        <v>57</v>
      </c>
      <c r="B68" s="45" t="str">
        <f>IF(FORMULACIÓN!B68="","",FORMULACIÓN!B68)</f>
        <v>L1 - Formación Académica Integral</v>
      </c>
      <c r="C68" s="45" t="str">
        <f>IF(FORMULACIÓN!E68="","",FORMULACIÓN!E68)</f>
        <v>M5 - Autoevaluación y acreditación Institucional y de programas académicos en el contexto nacional e internacional</v>
      </c>
      <c r="D68" s="45" t="str">
        <f>IF(FORMULACIÓN!F68="","",FORMULACIÓN!F68)</f>
        <v>Diseñar la política de meritocracia para acceder a la carrera profesoral y realizar al menos 3 concursos públicos de mérito con resultados de 80% de efectividad.</v>
      </c>
      <c r="E68" s="45" t="str">
        <f>IF(FORMULACIÓN!G68="","",FORMULACIÓN!G68)</f>
        <v>Concurso docente público de méritos</v>
      </c>
      <c r="F68" s="45" t="str">
        <f>IF(FORMULACIÓN!H68="","",FORMULACIÓN!H68)</f>
        <v>N° de concursos docente público de méritos</v>
      </c>
      <c r="G68" s="45" t="str">
        <f>IF(FORMULACIÓN!I68="","",FORMULACIÓN!I68)</f>
        <v>Unidad</v>
      </c>
      <c r="H68" s="45" t="str">
        <f>IF(FORMULACIÓN!J68="","",FORMULACIÓN!J68)</f>
        <v>Acumulado</v>
      </c>
      <c r="I68" s="188" t="str">
        <f ca="1">IF($G68=Lists!$R$3,"PDI: "&amp;TEXT(FORMULACIÓN!Q68,"00,00%")&amp;CHAR(10)&amp;CHAR(10)&amp;"T1: "&amp;TEXT(FORMULACIÓN!L68,"00,00%")&amp;CHAR(10)&amp;"T2: "&amp;TEXT(FORMULACIÓN!M68,"00,00%")&amp;CHAR(10)&amp;"T3: "&amp;TEXT(FORMULACIÓN!N68,"00,00%")&amp;CHAR(10)&amp;"Tn: "&amp;TEXT(FORMULACIÓN!O68,"00,00%"),IF(FORMULACIÓN!Q68=0,0,"PDI: "&amp;TEXT(FORMULACIÓN!Q68,"##.###")&amp;CHAR(10)&amp;CHAR(10)&amp;"T1: "&amp;TEXT(FORMULACIÓN!L68,"##.###")&amp;CHAR(10)&amp;"T2: "&amp;TEXT(FORMULACIÓN!M68,"##.###")&amp;CHAR(10)&amp;"T3: "&amp;TEXT(FORMULACIÓN!N68,"##.###")&amp;CHAR(10)&amp;"Tn: "&amp;TEXT(FORMULACIÓN!O68,"##.###")))</f>
        <v xml:space="preserve">PDI: 3
T1: 1
T2: 1
T3: 1
Tn: </v>
      </c>
      <c r="J68" s="122">
        <f>IF(FORMULACIÓN!K68&lt;&gt;"",FORMULACIÓN!K68,"")</f>
        <v>0</v>
      </c>
      <c r="K68" s="310">
        <v>0</v>
      </c>
      <c r="L68" s="58"/>
      <c r="M68" s="58"/>
      <c r="N68" s="58"/>
      <c r="O68" s="47">
        <f ca="1">IFERROR(IF($H68=Lists!$S$2,SUM('SEGUIMIENTO Y EVALUACIÓN'!J68:N68),IF('SEGUIMIENTO Y EVALUACIÓN'!$H68=Lists!$S$3,SUM('SEGUIMIENTO Y EVALUACIÓN'!K68:N68),IF('SEGUIMIENTO Y EVALUACIÓN'!$H68=Lists!$S$4,AVERAGE('SEGUIMIENTO Y EVALUACIÓN'!K68:N68),IF('SEGUIMIENTO Y EVALUACIÓN'!$H68=Lists!$S$5,OFFSET(J68,0,COUNTA(K68:N68)),IF($H68=Lists!$S$6,COUNTIF(K68:N68,"&lt;"&amp;FORMULACIÓN!Q68)/COUNT('SEGUIMIENTO Y EVALUACIÓN'!K68:N68),""))))),"")</f>
        <v>0</v>
      </c>
      <c r="P68" s="51">
        <f ca="1">IF($G68=Lists!$R$3,TEXT('SEGUIMIENTO Y EVALUACIÓN'!O68,"00,00%"),IF('SEGUIMIENTO Y EVALUACIÓN'!O68=0,0,TEXT('SEGUIMIENTO Y EVALUACIÓN'!O68,"##.###")))</f>
        <v>0</v>
      </c>
      <c r="Q68" s="209" t="str">
        <f>IF(FORMULACIÓN!R68&lt;&gt;"",FORMULACIÓN!R68,"")</f>
        <v>P4 - Fortalecimiento de las capacidades del capital humano docente</v>
      </c>
      <c r="R68" s="209">
        <f>IF(FORMULACIÓN!S68&lt;&gt;"",FORMULACIÓN!S68,"")</f>
        <v>8.5714285714285719E-3</v>
      </c>
      <c r="S68" s="209" t="str">
        <f>IF(FORMULACIÓN!T68&lt;&gt;"",FORMULACIÓN!T68,"")</f>
        <v>Vicerrector de Docencia</v>
      </c>
      <c r="T68" s="42"/>
      <c r="U68" s="42"/>
      <c r="V68" s="42"/>
      <c r="W68" s="43" t="str">
        <f t="shared" si="0"/>
        <v/>
      </c>
      <c r="X68" s="42"/>
      <c r="Y68" s="42"/>
      <c r="Z68" s="42"/>
      <c r="AA68" s="43" t="str">
        <f t="shared" si="1"/>
        <v/>
      </c>
      <c r="AB68" s="42"/>
      <c r="AC68" s="42"/>
      <c r="AD68" s="42"/>
      <c r="AE68" s="43" t="str">
        <f t="shared" si="2"/>
        <v/>
      </c>
      <c r="AF68" s="42"/>
      <c r="AG68" s="42"/>
      <c r="AH68" s="42"/>
      <c r="AI68" s="46" t="str">
        <f t="shared" si="3"/>
        <v/>
      </c>
      <c r="AJ68" s="46" t="str">
        <f>IF(SUM(AA68,AE68,W68,AI68)=0,"",SUM((AA68,AE68,W68,AI68)))</f>
        <v/>
      </c>
      <c r="AK68"/>
      <c r="AL68" s="1" t="str">
        <f t="shared" si="7"/>
        <v>L1M5P4</v>
      </c>
      <c r="AM68" s="56" t="str">
        <f t="shared" si="8"/>
        <v>Concurso docente público de méritos</v>
      </c>
      <c r="AN68" s="112" t="str">
        <f ca="1">IF($G68=Lists!$R$3,"T1: "&amp;TEXT(FORMULACIÓN!L68,"00,00%")&amp;CHAR(10)&amp;"T2: "&amp;TEXT(FORMULACIÓN!M68,"00,00%")&amp;CHAR(10)&amp;"T3: "&amp;TEXT(FORMULACIÓN!N68,"00,00%")&amp;CHAR(10)&amp;"Tn: "&amp;TEXT(FORMULACIÓN!O68,"00,00%"),IF(FORMULACIÓN!Q68=0,0,"T1: "&amp;TEXT(FORMULACIÓN!L68,"##.###")&amp;CHAR(10)&amp;"T2: "&amp;TEXT(FORMULACIÓN!M68,"##.###")&amp;CHAR(10)&amp;"T3: "&amp;TEXT(FORMULACIÓN!N68,"##.###")&amp;CHAR(10)&amp;"Tn: "&amp;TEXT(FORMULACIÓN!O68,"##.###")))</f>
        <v xml:space="preserve">T1: 1
T2: 1
T3: 1
Tn: </v>
      </c>
      <c r="AO68" s="117">
        <f>IFERROR(IF($H68=Lists!$S$6,IF(AND(FORMULACIÓN!L68&gt;K68,K68&gt;0),1,0),IF((K68/FORMULACIÓN!L68)&lt;&gt;0,K68/FORMULACIÓN!L68,0)),"")</f>
        <v>0</v>
      </c>
      <c r="AP68" s="117">
        <f>IFERROR(IF($H68=Lists!$S$6,IF(AND(FORMULACIÓN!M68&gt;L68,L68&gt;0),1,0),IF((L68/FORMULACIÓN!M68)&lt;&gt;0,L68/FORMULACIÓN!M68,0)),"")</f>
        <v>0</v>
      </c>
      <c r="AQ68" s="117">
        <f>IFERROR(IF($H68=Lists!$S$6,IF(AND(FORMULACIÓN!N68&gt;M68,M68&gt;0),1,0),IF((M68/FORMULACIÓN!N68)&lt;&gt;0,M68/FORMULACIÓN!N68,0)),"")</f>
        <v>0</v>
      </c>
      <c r="AR68" s="117" t="str">
        <f>IFERROR(IF($H68=Lists!$S$6,IF(AND(FORMULACIÓN!O68&gt;N68,N68&gt;0),1,0),IF((N68/FORMULACIÓN!O68)&lt;&gt;0,N68/FORMULACIÓN!O68,0)),"")</f>
        <v/>
      </c>
      <c r="AS68" s="110"/>
      <c r="AT68" s="118">
        <f ca="1">IF($H68=Lists!$S$6,TEXT(COUNTIF('SEGUIMIENTO Y EVALUACIÓN'!K68:N68,"&lt;"&amp;FORMULACIÓN!Q68),"##.###")&amp;" / "&amp;TEXT(COUNTIF('SEGUIMIENTO Y EVALUACIÓN'!K68:N68,"&gt;"&amp;0),"##.###"),IF($G68=Lists!$R$3,TEXT('SEGUIMIENTO Y EVALUACIÓN'!O68,"00,00%")&amp;" / "&amp;TEXT(FORMULACIÓN!P68,"00,00%"),IF('SEGUIMIENTO Y EVALUACIÓN'!O68=0,0,TEXT('SEGUIMIENTO Y EVALUACIÓN'!O68,"##.###")&amp;" / "&amp;TEXT(FORMULACIÓN!P68,"##.###"))))</f>
        <v>0</v>
      </c>
      <c r="AU68" s="57">
        <f ca="1">IFERROR(IF((P68/FORMULACIÓN!Q68)&lt;&gt;0,IF($H68=Lists!$S$6,COUNTIF('SEGUIMIENTO Y EVALUACIÓN'!K68:N68,"&lt;"&amp;FORMULACIÓN!Q68),'SEGUIMIENTO Y EVALUACIÓN'!P68)/IF($H68=Lists!$S$6,COUNTIF('SEGUIMIENTO Y EVALUACIÓN'!K68:N68,"&gt;"&amp;0),FORMULACIÓN!P68),0),0)</f>
        <v>0</v>
      </c>
      <c r="AV68" s="93">
        <f t="shared" ca="1" si="6"/>
        <v>0</v>
      </c>
      <c r="AW68" s="93" cm="1">
        <f t="array" ref="AW68">IF(INDEX(AO68:AU68,1,$AV$3)&gt;1,IF($AU$2=1,1,INDEX(AO68:AU68,1,$AV$3)),INDEX(AO68:AU68,1,$AV$3))</f>
        <v>0</v>
      </c>
      <c r="AX68"/>
      <c r="AY68" s="119" t="str">
        <f>IFERROR(IF((W68/FORMULACIÓN!X68)&lt;&gt;0,W68/FORMULACIÓN!X68,0),"")</f>
        <v/>
      </c>
      <c r="AZ68" s="119" t="str">
        <f>IFERROR(IF((AA68/FORMULACIÓN!AB68)&lt;&gt;0,AA68/FORMULACIÓN!AB68,0),"")</f>
        <v/>
      </c>
      <c r="BA68" s="119" t="str">
        <f>IFERROR(IF((AE68/FORMULACIÓN!AF68)&lt;&gt;0,(AE68/FORMULACIÓN!AF68),0),"")</f>
        <v/>
      </c>
      <c r="BB68" s="119" t="str">
        <f>IFERROR(IF((AI68/FORMULACIÓN!AJ68)&lt;&gt;0,AI68/FORMULACIÓN!AJ68,0),"")</f>
        <v/>
      </c>
      <c r="BC68" s="120" t="str">
        <f>IF('SEGUIMIENTO Y EVALUACIÓN'!AI68=0,0,TEXT('SEGUIMIENTO Y EVALUACIÓN'!AI68,"$ ##.###")&amp;" / "&amp;TEXT(FORMULACIÓN!AK68,"$ ##.###"))</f>
        <v xml:space="preserve"> / $ 16.021.629.584</v>
      </c>
      <c r="BD68" s="57">
        <f>IFERROR(IF((AJ68/FORMULACIÓN!AK68)&lt;&gt;0,AJ68/FORMULACIÓN!AK68,0),0)</f>
        <v>0</v>
      </c>
      <c r="BJ68"/>
      <c r="BK68"/>
      <c r="CL68" s="7"/>
    </row>
    <row r="69" spans="1:90" s="1" customFormat="1" ht="90">
      <c r="A69" s="45">
        <f>IF(FORMULACIÓN!A69="","",FORMULACIÓN!A69)</f>
        <v>58</v>
      </c>
      <c r="B69" s="45" t="str">
        <f>IF(FORMULACIÓN!B69="","",FORMULACIÓN!B69)</f>
        <v>L1 - Formación Académica Integral</v>
      </c>
      <c r="C69" s="45" t="str">
        <f>IF(FORMULACIÓN!E69="","",FORMULACIÓN!E69)</f>
        <v>M5 - Autoevaluación y acreditación Institucional y de programas académicos en el contexto nacional e internacional</v>
      </c>
      <c r="D69" s="45" t="str">
        <f>IF(FORMULACIÓN!F69="","",FORMULACIÓN!F69)</f>
        <v>Diseñar la política de meritocracia para acceder a la carrera profesoral y realizar al menos 3 concursos públicos de mérito con resultados de 80% de efectividad.</v>
      </c>
      <c r="E69" s="45" t="str">
        <f>IF(FORMULACIÓN!G69="","",FORMULACIÓN!G69)</f>
        <v>Efectividad del concurso docente</v>
      </c>
      <c r="F69" s="45" t="str">
        <f>IF(FORMULACIÓN!H69="","",FORMULACIÓN!H69)</f>
        <v>N° de plazas cubiertas / total de plazas ofertadas* 100</v>
      </c>
      <c r="G69" s="45" t="str">
        <f>IF(FORMULACIÓN!I69="","",FORMULACIÓN!I69)</f>
        <v>Porcentaje</v>
      </c>
      <c r="H69" s="45" t="str">
        <f>IF(FORMULACIÓN!J69="","",FORMULACIÓN!J69)</f>
        <v>Último valor reportado</v>
      </c>
      <c r="I69" s="188" t="str">
        <f ca="1">IF($G69=Lists!$R$3,"PDI: "&amp;TEXT(FORMULACIÓN!Q69,"00,00%")&amp;CHAR(10)&amp;CHAR(10)&amp;"T1: "&amp;TEXT(FORMULACIÓN!L69,"00,00%")&amp;CHAR(10)&amp;"T2: "&amp;TEXT(FORMULACIÓN!M69,"00,00%")&amp;CHAR(10)&amp;"T3: "&amp;TEXT(FORMULACIÓN!N69,"00,00%")&amp;CHAR(10)&amp;"Tn: "&amp;TEXT(FORMULACIÓN!O69,"00,00%"),IF(FORMULACIÓN!Q69=0,0,"PDI: "&amp;TEXT(FORMULACIÓN!Q69,"##.###")&amp;CHAR(10)&amp;CHAR(10)&amp;"T1: "&amp;TEXT(FORMULACIÓN!L69,"##.###")&amp;CHAR(10)&amp;"T2: "&amp;TEXT(FORMULACIÓN!M69,"##.###")&amp;CHAR(10)&amp;"T3: "&amp;TEXT(FORMULACIÓN!N69,"##.###")&amp;CHAR(10)&amp;"Tn: "&amp;TEXT(FORMULACIÓN!O69,"##.###")))</f>
        <v>PDI: 80,00%
T1: 80,00%
T2: 80,00%
T3: 80,00%
Tn: 80,00%</v>
      </c>
      <c r="J69" s="122">
        <f>IF(FORMULACIÓN!K69&lt;&gt;"",FORMULACIÓN!K69,"")</f>
        <v>0</v>
      </c>
      <c r="K69" s="309">
        <v>0</v>
      </c>
      <c r="L69" s="59"/>
      <c r="M69" s="59"/>
      <c r="N69" s="59"/>
      <c r="O69" s="47">
        <f ca="1">IFERROR(IF($H69=Lists!$S$2,SUM('SEGUIMIENTO Y EVALUACIÓN'!J69:N69),IF('SEGUIMIENTO Y EVALUACIÓN'!$H69=Lists!$S$3,SUM('SEGUIMIENTO Y EVALUACIÓN'!K69:N69),IF('SEGUIMIENTO Y EVALUACIÓN'!$H69=Lists!$S$4,AVERAGE('SEGUIMIENTO Y EVALUACIÓN'!K69:N69),IF('SEGUIMIENTO Y EVALUACIÓN'!$H69=Lists!$S$5,OFFSET(J69,0,COUNTA(K69:N69)),IF($H69=Lists!$S$6,COUNTIF(K69:N69,"&lt;"&amp;FORMULACIÓN!Q69)/COUNT('SEGUIMIENTO Y EVALUACIÓN'!K69:N69),""))))),"")</f>
        <v>0</v>
      </c>
      <c r="P69" s="51" t="str">
        <f ca="1">IF($G69=Lists!$R$3,TEXT('SEGUIMIENTO Y EVALUACIÓN'!O69,"00,00%"),IF('SEGUIMIENTO Y EVALUACIÓN'!O69=0,0,TEXT('SEGUIMIENTO Y EVALUACIÓN'!O69,"##.###")))</f>
        <v>00,00%</v>
      </c>
      <c r="Q69" s="209" t="str">
        <f>IF(FORMULACIÓN!R69&lt;&gt;"",FORMULACIÓN!R69,"")</f>
        <v>P4 - Fortalecimiento de las capacidades del capital humano docente</v>
      </c>
      <c r="R69" s="209">
        <f>IF(FORMULACIÓN!S69&lt;&gt;"",FORMULACIÓN!S69,"")</f>
        <v>8.5714285714285719E-3</v>
      </c>
      <c r="S69" s="209" t="str">
        <f>IF(FORMULACIÓN!T69&lt;&gt;"",FORMULACIÓN!T69,"")</f>
        <v>Vicerrector de Docencia</v>
      </c>
      <c r="T69" s="42"/>
      <c r="U69" s="42"/>
      <c r="V69" s="42"/>
      <c r="W69" s="43" t="str">
        <f t="shared" si="0"/>
        <v/>
      </c>
      <c r="X69" s="42"/>
      <c r="Y69" s="42"/>
      <c r="Z69" s="42"/>
      <c r="AA69" s="43" t="str">
        <f t="shared" si="1"/>
        <v/>
      </c>
      <c r="AB69" s="42"/>
      <c r="AC69" s="42"/>
      <c r="AD69" s="42"/>
      <c r="AE69" s="43" t="str">
        <f t="shared" si="2"/>
        <v/>
      </c>
      <c r="AF69" s="42"/>
      <c r="AG69" s="42"/>
      <c r="AH69" s="42"/>
      <c r="AI69" s="46" t="str">
        <f t="shared" si="3"/>
        <v/>
      </c>
      <c r="AJ69" s="46" t="str">
        <f>IF(SUM(AA69,AE69,W69,AI69)=0,"",SUM((AA69,AE69,W69,AI69)))</f>
        <v/>
      </c>
      <c r="AK69"/>
      <c r="AL69" s="1" t="str">
        <f t="shared" si="7"/>
        <v>L1M5P4</v>
      </c>
      <c r="AM69" s="56" t="str">
        <f t="shared" si="8"/>
        <v>Efectividad del concurso docente</v>
      </c>
      <c r="AN69" s="112" t="str">
        <f>IF($G69=Lists!$R$3,"T1: "&amp;TEXT(FORMULACIÓN!L69,"00,00%")&amp;CHAR(10)&amp;"T2: "&amp;TEXT(FORMULACIÓN!M69,"00,00%")&amp;CHAR(10)&amp;"T3: "&amp;TEXT(FORMULACIÓN!N69,"00,00%")&amp;CHAR(10)&amp;"Tn: "&amp;TEXT(FORMULACIÓN!O69,"00,00%"),IF(FORMULACIÓN!Q69=0,0,"T1: "&amp;TEXT(FORMULACIÓN!L69,"##.###")&amp;CHAR(10)&amp;"T2: "&amp;TEXT(FORMULACIÓN!M69,"##.###")&amp;CHAR(10)&amp;"T3: "&amp;TEXT(FORMULACIÓN!N69,"##.###")&amp;CHAR(10)&amp;"Tn: "&amp;TEXT(FORMULACIÓN!O69,"##.###")))</f>
        <v>T1: 80,00%
T2: 80,00%
T3: 80,00%
Tn: 80,00%</v>
      </c>
      <c r="AO69" s="117">
        <f>IFERROR(IF($H69=Lists!$S$6,IF(AND(FORMULACIÓN!L69&gt;K69,K69&gt;0),1,0),IF((K69/FORMULACIÓN!L69)&lt;&gt;0,K69/FORMULACIÓN!L69,0)),"")</f>
        <v>0</v>
      </c>
      <c r="AP69" s="117">
        <f>IFERROR(IF($H69=Lists!$S$6,IF(AND(FORMULACIÓN!M69&gt;L69,L69&gt;0),1,0),IF((L69/FORMULACIÓN!M69)&lt;&gt;0,L69/FORMULACIÓN!M69,0)),"")</f>
        <v>0</v>
      </c>
      <c r="AQ69" s="117">
        <f>IFERROR(IF($H69=Lists!$S$6,IF(AND(FORMULACIÓN!N69&gt;M69,M69&gt;0),1,0),IF((M69/FORMULACIÓN!N69)&lt;&gt;0,M69/FORMULACIÓN!N69,0)),"")</f>
        <v>0</v>
      </c>
      <c r="AR69" s="117">
        <f>IFERROR(IF($H69=Lists!$S$6,IF(AND(FORMULACIÓN!O69&gt;N69,N69&gt;0),1,0),IF((N69/FORMULACIÓN!O69)&lt;&gt;0,N69/FORMULACIÓN!O69,0)),"")</f>
        <v>0</v>
      </c>
      <c r="AS69" s="110"/>
      <c r="AT69" s="118" t="str">
        <f ca="1">IF($H69=Lists!$S$6,TEXT(COUNTIF('SEGUIMIENTO Y EVALUACIÓN'!K69:N69,"&lt;"&amp;FORMULACIÓN!Q69),"##.###")&amp;" / "&amp;TEXT(COUNTIF('SEGUIMIENTO Y EVALUACIÓN'!K69:N69,"&gt;"&amp;0),"##.###"),IF($G69=Lists!$R$3,TEXT('SEGUIMIENTO Y EVALUACIÓN'!O69,"00,00%")&amp;" / "&amp;TEXT(FORMULACIÓN!P69,"00,00%"),IF('SEGUIMIENTO Y EVALUACIÓN'!O69=0,0,TEXT('SEGUIMIENTO Y EVALUACIÓN'!O69,"##.###")&amp;" / "&amp;TEXT(FORMULACIÓN!P69,"##.###"))))</f>
        <v>00,00% / 80,00%</v>
      </c>
      <c r="AU69" s="57">
        <f ca="1">IFERROR(IF((P69/FORMULACIÓN!Q69)&lt;&gt;0,IF($H69=Lists!$S$6,COUNTIF('SEGUIMIENTO Y EVALUACIÓN'!K69:N69,"&lt;"&amp;FORMULACIÓN!Q69),'SEGUIMIENTO Y EVALUACIÓN'!P69)/IF($H69=Lists!$S$6,COUNTIF('SEGUIMIENTO Y EVALUACIÓN'!K69:N69,"&gt;"&amp;0),FORMULACIÓN!P69),0),0)</f>
        <v>0</v>
      </c>
      <c r="AV69" s="93">
        <f t="shared" ca="1" si="6"/>
        <v>0</v>
      </c>
      <c r="AW69" s="93" cm="1">
        <f t="array" ref="AW69">IF(INDEX(AO69:AU69,1,$AV$3)&gt;1,IF($AU$2=1,1,INDEX(AO69:AU69,1,$AV$3)),INDEX(AO69:AU69,1,$AV$3))</f>
        <v>0</v>
      </c>
      <c r="AX69"/>
      <c r="AY69" s="119" t="str">
        <f>IFERROR(IF((W69/FORMULACIÓN!X69)&lt;&gt;0,W69/FORMULACIÓN!X69,0),"")</f>
        <v/>
      </c>
      <c r="AZ69" s="119" t="str">
        <f>IFERROR(IF((AA69/FORMULACIÓN!AB69)&lt;&gt;0,AA69/FORMULACIÓN!AB69,0),"")</f>
        <v/>
      </c>
      <c r="BA69" s="119" t="str">
        <f>IFERROR(IF((AE69/FORMULACIÓN!AF69)&lt;&gt;0,(AE69/FORMULACIÓN!AF69),0),"")</f>
        <v/>
      </c>
      <c r="BB69" s="119" t="str">
        <f>IFERROR(IF((AI69/FORMULACIÓN!AJ69)&lt;&gt;0,AI69/FORMULACIÓN!AJ69,0),"")</f>
        <v/>
      </c>
      <c r="BC69" s="120" t="str">
        <f>IF('SEGUIMIENTO Y EVALUACIÓN'!AI69=0,0,TEXT('SEGUIMIENTO Y EVALUACIÓN'!AI69,"$ ##.###")&amp;" / "&amp;TEXT(FORMULACIÓN!AK69,"$ ##.###"))</f>
        <v xml:space="preserve"> / $ 11.739.188.993</v>
      </c>
      <c r="BD69" s="57">
        <f>IFERROR(IF((AJ69/FORMULACIÓN!AK69)&lt;&gt;0,AJ69/FORMULACIÓN!AK69,0),0)</f>
        <v>0</v>
      </c>
      <c r="BJ69"/>
      <c r="BK69"/>
      <c r="CL69" s="7"/>
    </row>
    <row r="70" spans="1:90" s="1" customFormat="1" ht="90">
      <c r="A70" s="45">
        <f>IF(FORMULACIÓN!A70="","",FORMULACIÓN!A70)</f>
        <v>59</v>
      </c>
      <c r="B70" s="45" t="str">
        <f>IF(FORMULACIÓN!B70="","",FORMULACIÓN!B70)</f>
        <v>L1 - Formación Académica Integral</v>
      </c>
      <c r="C70" s="45" t="str">
        <f>IF(FORMULACIÓN!E70="","",FORMULACIÓN!E70)</f>
        <v>M5 - Autoevaluación y acreditación Institucional y de programas académicos en el contexto nacional e internacional</v>
      </c>
      <c r="D70" s="45" t="str">
        <f>IF(FORMULACIÓN!F70="","",FORMULACIÓN!F70)</f>
        <v>Alcanzar el 60% de nivel de formación doctoral y un 40% de maestría de la planta docente (carrera profesoral).</v>
      </c>
      <c r="E70" s="45" t="str">
        <f>IF(FORMULACIÓN!G70="","",FORMULACIÓN!G70)</f>
        <v>Porcentaje de docentes de carrera profesoral con nivel de formación de doctorado</v>
      </c>
      <c r="F70" s="45" t="str">
        <f>IF(FORMULACIÓN!H70="","",FORMULACIÓN!H70)</f>
        <v>N° de docentes de carrera profesoral con nivel de formación de doctorado / total de docentes de carrera profesoral * 100</v>
      </c>
      <c r="G70" s="45" t="str">
        <f>IF(FORMULACIÓN!I70="","",FORMULACIÓN!I70)</f>
        <v>Porcentaje</v>
      </c>
      <c r="H70" s="45" t="str">
        <f>IF(FORMULACIÓN!J70="","",FORMULACIÓN!J70)</f>
        <v>Acumulado</v>
      </c>
      <c r="I70" s="188" t="str">
        <f ca="1">IF($G70=Lists!$R$3,"PDI: "&amp;TEXT(FORMULACIÓN!Q70,"00,00%")&amp;CHAR(10)&amp;CHAR(10)&amp;"T1: "&amp;TEXT(FORMULACIÓN!L70,"00,00%")&amp;CHAR(10)&amp;"T2: "&amp;TEXT(FORMULACIÓN!M70,"00,00%")&amp;CHAR(10)&amp;"T3: "&amp;TEXT(FORMULACIÓN!N70,"00,00%")&amp;CHAR(10)&amp;"Tn: "&amp;TEXT(FORMULACIÓN!O70,"00,00%"),IF(FORMULACIÓN!Q70=0,0,"PDI: "&amp;TEXT(FORMULACIÓN!Q70,"##.###")&amp;CHAR(10)&amp;CHAR(10)&amp;"T1: "&amp;TEXT(FORMULACIÓN!L70,"##.###")&amp;CHAR(10)&amp;"T2: "&amp;TEXT(FORMULACIÓN!M70,"##.###")&amp;CHAR(10)&amp;"T3: "&amp;TEXT(FORMULACIÓN!N70,"##.###")&amp;CHAR(10)&amp;"Tn: "&amp;TEXT(FORMULACIÓN!O70,"##.###")))</f>
        <v>PDI: 60,00%
T1: 05,00%
T2: 10,00%
T3: 10,00%
Tn: 00,00%</v>
      </c>
      <c r="J70" s="209">
        <f>IF(FORMULACIÓN!K70&lt;&gt;"",FORMULACIÓN!K70,"")</f>
        <v>0.35</v>
      </c>
      <c r="K70" s="309">
        <v>0.40369999999999995</v>
      </c>
      <c r="L70" s="59"/>
      <c r="M70" s="59"/>
      <c r="N70" s="59"/>
      <c r="O70" s="47">
        <f ca="1">IFERROR(IF($H70=Lists!$S$2,SUM('SEGUIMIENTO Y EVALUACIÓN'!J70:N70),IF('SEGUIMIENTO Y EVALUACIÓN'!$H70=Lists!$S$3,SUM('SEGUIMIENTO Y EVALUACIÓN'!K70:N70),IF('SEGUIMIENTO Y EVALUACIÓN'!$H70=Lists!$S$4,AVERAGE('SEGUIMIENTO Y EVALUACIÓN'!K70:N70),IF('SEGUIMIENTO Y EVALUACIÓN'!$H70=Lists!$S$5,OFFSET(J70,0,COUNTA(K70:N70)),IF($H70=Lists!$S$6,COUNTIF(K70:N70,"&lt;"&amp;FORMULACIÓN!Q70)/COUNT('SEGUIMIENTO Y EVALUACIÓN'!K70:N70),""))))),"")</f>
        <v>0.75369999999999993</v>
      </c>
      <c r="P70" s="51" t="str">
        <f ca="1">IF($G70=Lists!$R$3,TEXT('SEGUIMIENTO Y EVALUACIÓN'!O70,"00,00%"),IF('SEGUIMIENTO Y EVALUACIÓN'!O70=0,0,TEXT('SEGUIMIENTO Y EVALUACIÓN'!O70,"##.###")))</f>
        <v>75,37%</v>
      </c>
      <c r="Q70" s="209" t="str">
        <f>IF(FORMULACIÓN!R70&lt;&gt;"",FORMULACIÓN!R70,"")</f>
        <v>P4 - Fortalecimiento de las capacidades del capital humano docente</v>
      </c>
      <c r="R70" s="209">
        <f>IF(FORMULACIÓN!S70&lt;&gt;"",FORMULACIÓN!S70,"")</f>
        <v>8.5714285714285719E-3</v>
      </c>
      <c r="S70" s="209" t="str">
        <f>IF(FORMULACIÓN!T70&lt;&gt;"",FORMULACIÓN!T70,"")</f>
        <v>Vicerrector de Docencia</v>
      </c>
      <c r="T70" s="42"/>
      <c r="U70" s="42"/>
      <c r="V70" s="42"/>
      <c r="W70" s="43" t="str">
        <f t="shared" si="0"/>
        <v/>
      </c>
      <c r="X70" s="42"/>
      <c r="Y70" s="42"/>
      <c r="Z70" s="42"/>
      <c r="AA70" s="43" t="str">
        <f t="shared" si="1"/>
        <v/>
      </c>
      <c r="AB70" s="42"/>
      <c r="AC70" s="42"/>
      <c r="AD70" s="42"/>
      <c r="AE70" s="43" t="str">
        <f t="shared" si="2"/>
        <v/>
      </c>
      <c r="AF70" s="42"/>
      <c r="AG70" s="42"/>
      <c r="AH70" s="42"/>
      <c r="AI70" s="46" t="str">
        <f t="shared" si="3"/>
        <v/>
      </c>
      <c r="AJ70" s="46" t="str">
        <f>IF(SUM(AA70,AE70,W70,AI70)=0,"",SUM((AA70,AE70,W70,AI70)))</f>
        <v/>
      </c>
      <c r="AK70"/>
      <c r="AL70" s="1" t="str">
        <f t="shared" si="7"/>
        <v>L1M5P4</v>
      </c>
      <c r="AM70" s="56" t="str">
        <f t="shared" si="8"/>
        <v>Porcentaje de docentes de carrera profesoral con nivel de formación de doctorado</v>
      </c>
      <c r="AN70" s="112" t="str">
        <f>IF($G70=Lists!$R$3,"T1: "&amp;TEXT(FORMULACIÓN!L70,"00,00%")&amp;CHAR(10)&amp;"T2: "&amp;TEXT(FORMULACIÓN!M70,"00,00%")&amp;CHAR(10)&amp;"T3: "&amp;TEXT(FORMULACIÓN!N70,"00,00%")&amp;CHAR(10)&amp;"Tn: "&amp;TEXT(FORMULACIÓN!O70,"00,00%"),IF(FORMULACIÓN!Q70=0,0,"T1: "&amp;TEXT(FORMULACIÓN!L70,"##.###")&amp;CHAR(10)&amp;"T2: "&amp;TEXT(FORMULACIÓN!M70,"##.###")&amp;CHAR(10)&amp;"T3: "&amp;TEXT(FORMULACIÓN!N70,"##.###")&amp;CHAR(10)&amp;"Tn: "&amp;TEXT(FORMULACIÓN!O70,"##.###")))</f>
        <v>T1: 05,00%
T2: 10,00%
T3: 10,00%
Tn: 00,00%</v>
      </c>
      <c r="AO70" s="117">
        <f>IFERROR(IF($H70=Lists!$S$6,IF(AND(FORMULACIÓN!L70&gt;K70,K70&gt;0),1,0),IF((K70/FORMULACIÓN!L70)&lt;&gt;0,K70/FORMULACIÓN!L70,0)),"")</f>
        <v>8.0739999999999981</v>
      </c>
      <c r="AP70" s="117">
        <f>IFERROR(IF($H70=Lists!$S$6,IF(AND(FORMULACIÓN!M70&gt;L70,L70&gt;0),1,0),IF((L70/FORMULACIÓN!M70)&lt;&gt;0,L70/FORMULACIÓN!M70,0)),"")</f>
        <v>0</v>
      </c>
      <c r="AQ70" s="117">
        <f>IFERROR(IF($H70=Lists!$S$6,IF(AND(FORMULACIÓN!N70&gt;M70,M70&gt;0),1,0),IF((M70/FORMULACIÓN!N70)&lt;&gt;0,M70/FORMULACIÓN!N70,0)),"")</f>
        <v>0</v>
      </c>
      <c r="AR70" s="117" t="str">
        <f>IFERROR(IF($H70=Lists!$S$6,IF(AND(FORMULACIÓN!O70&gt;N70,N70&gt;0),1,0),IF((N70/FORMULACIÓN!O70)&lt;&gt;0,N70/FORMULACIÓN!O70,0)),"")</f>
        <v/>
      </c>
      <c r="AS70" s="110"/>
      <c r="AT70" s="118" t="str">
        <f ca="1">IF($H70=Lists!$S$6,TEXT(COUNTIF('SEGUIMIENTO Y EVALUACIÓN'!K70:N70,"&lt;"&amp;FORMULACIÓN!Q70),"##.###")&amp;" / "&amp;TEXT(COUNTIF('SEGUIMIENTO Y EVALUACIÓN'!K70:N70,"&gt;"&amp;0),"##.###"),IF($G70=Lists!$R$3,TEXT('SEGUIMIENTO Y EVALUACIÓN'!O70,"00,00%")&amp;" / "&amp;TEXT(FORMULACIÓN!P70,"00,00%"),IF('SEGUIMIENTO Y EVALUACIÓN'!O70=0,0,TEXT('SEGUIMIENTO Y EVALUACIÓN'!O70,"##.###")&amp;" / "&amp;TEXT(FORMULACIÓN!P70,"##.###"))))</f>
        <v>75,37% / 60,00%</v>
      </c>
      <c r="AU70" s="57">
        <f ca="1">IFERROR(IF((P70/FORMULACIÓN!Q70)&lt;&gt;0,IF($H70=Lists!$S$6,COUNTIF('SEGUIMIENTO Y EVALUACIÓN'!K70:N70,"&lt;"&amp;FORMULACIÓN!Q70),'SEGUIMIENTO Y EVALUACIÓN'!P70)/IF($H70=Lists!$S$6,COUNTIF('SEGUIMIENTO Y EVALUACIÓN'!K70:N70,"&gt;"&amp;0),FORMULACIÓN!P70),0),0)</f>
        <v>1.2561666666666669</v>
      </c>
      <c r="AV70" s="93">
        <f t="shared" ca="1" si="6"/>
        <v>8.5714285714285719E-3</v>
      </c>
      <c r="AW70" s="93" cm="1">
        <f t="array" ref="AW70">IF(INDEX(AO70:AU70,1,$AV$3)&gt;1,IF($AU$2=1,1,INDEX(AO70:AU70,1,$AV$3)),INDEX(AO70:AU70,1,$AV$3))</f>
        <v>1</v>
      </c>
      <c r="AX70"/>
      <c r="AY70" s="119" t="str">
        <f>IFERROR(IF((W70/FORMULACIÓN!X70)&lt;&gt;0,W70/FORMULACIÓN!X70,0),"")</f>
        <v/>
      </c>
      <c r="AZ70" s="119" t="str">
        <f>IFERROR(IF((AA70/FORMULACIÓN!AB70)&lt;&gt;0,AA70/FORMULACIÓN!AB70,0),"")</f>
        <v/>
      </c>
      <c r="BA70" s="119" t="str">
        <f>IFERROR(IF((AE70/FORMULACIÓN!AF70)&lt;&gt;0,(AE70/FORMULACIÓN!AF70),0),"")</f>
        <v/>
      </c>
      <c r="BB70" s="119" t="str">
        <f>IFERROR(IF((AI70/FORMULACIÓN!AJ70)&lt;&gt;0,AI70/FORMULACIÓN!AJ70,0),"")</f>
        <v/>
      </c>
      <c r="BC70" s="120" t="str">
        <f>IF('SEGUIMIENTO Y EVALUACIÓN'!AI70=0,0,TEXT('SEGUIMIENTO Y EVALUACIÓN'!AI70,"$ ##.###")&amp;" / "&amp;TEXT(FORMULACIÓN!AK70,"$ ##.###"))</f>
        <v xml:space="preserve"> / $ 9.835.882.063</v>
      </c>
      <c r="BD70" s="57">
        <f>IFERROR(IF((AJ70/FORMULACIÓN!AK70)&lt;&gt;0,AJ70/FORMULACIÓN!AK70,0),0)</f>
        <v>0</v>
      </c>
      <c r="BJ70"/>
      <c r="BK70"/>
      <c r="CL70" s="7"/>
    </row>
    <row r="71" spans="1:90" s="1" customFormat="1" ht="90">
      <c r="A71" s="45">
        <f>IF(FORMULACIÓN!A71="","",FORMULACIÓN!A71)</f>
        <v>60</v>
      </c>
      <c r="B71" s="45" t="str">
        <f>IF(FORMULACIÓN!B71="","",FORMULACIÓN!B71)</f>
        <v>L1 - Formación Académica Integral</v>
      </c>
      <c r="C71" s="45" t="str">
        <f>IF(FORMULACIÓN!E71="","",FORMULACIÓN!E71)</f>
        <v>M5 - Autoevaluación y acreditación Institucional y de programas académicos en el contexto nacional e internacional</v>
      </c>
      <c r="D71" s="45" t="str">
        <f>IF(FORMULACIÓN!F71="","",FORMULACIÓN!F71)</f>
        <v>Alcanzar el 60% de nivel de formación doctoral y un 40% de maestría de la planta docente (carrera profesoral).</v>
      </c>
      <c r="E71" s="45" t="str">
        <f>IF(FORMULACIÓN!G71="","",FORMULACIÓN!G71)</f>
        <v>Porcentaje de docentes de carrera profesoral con nivel de formación de maestría</v>
      </c>
      <c r="F71" s="45" t="str">
        <f>IF(FORMULACIÓN!H71="","",FORMULACIÓN!H71)</f>
        <v>N° de docentes de carrera profesoral con nivel de formación de maestría / total de docentes de carrera profesoral * 100</v>
      </c>
      <c r="G71" s="45" t="str">
        <f>IF(FORMULACIÓN!I71="","",FORMULACIÓN!I71)</f>
        <v>Porcentaje</v>
      </c>
      <c r="H71" s="45" t="str">
        <f>IF(FORMULACIÓN!J71="","",FORMULACIÓN!J71)</f>
        <v>Límite</v>
      </c>
      <c r="I71" s="188" t="str">
        <f ca="1">IF($G71=Lists!$R$3,"PDI: "&amp;TEXT(FORMULACIÓN!Q71,"00,00%")&amp;CHAR(10)&amp;CHAR(10)&amp;"T1: "&amp;TEXT(FORMULACIÓN!L71,"00,00%")&amp;CHAR(10)&amp;"T2: "&amp;TEXT(FORMULACIÓN!M71,"00,00%")&amp;CHAR(10)&amp;"T3: "&amp;TEXT(FORMULACIÓN!N71,"00,00%")&amp;CHAR(10)&amp;"Tn: "&amp;TEXT(FORMULACIÓN!O71,"00,00%"),IF(FORMULACIÓN!Q71=0,0,"PDI: "&amp;TEXT(FORMULACIÓN!Q71,"##.###")&amp;CHAR(10)&amp;CHAR(10)&amp;"T1: "&amp;TEXT(FORMULACIÓN!L71,"##.###")&amp;CHAR(10)&amp;"T2: "&amp;TEXT(FORMULACIÓN!M71,"##.###")&amp;CHAR(10)&amp;"T3: "&amp;TEXT(FORMULACIÓN!N71,"##.###")&amp;CHAR(10)&amp;"Tn: "&amp;TEXT(FORMULACIÓN!O71,"##.###")))</f>
        <v>PDI: 40,00%
T1: 40,00%
T2: 40,00%
T3: 40,00%
Tn: 40,00%</v>
      </c>
      <c r="J71" s="122">
        <f>IF(FORMULACIÓN!K71&lt;&gt;"",FORMULACIÓN!K71,"")</f>
        <v>0.42</v>
      </c>
      <c r="K71" s="309">
        <v>0.40100000000000002</v>
      </c>
      <c r="L71" s="59"/>
      <c r="M71" s="59"/>
      <c r="N71" s="59"/>
      <c r="O71" s="47">
        <f ca="1">IFERROR(IF($H71=Lists!$S$2,SUM('SEGUIMIENTO Y EVALUACIÓN'!J71:N71),IF('SEGUIMIENTO Y EVALUACIÓN'!$H71=Lists!$S$3,SUM('SEGUIMIENTO Y EVALUACIÓN'!K71:N71),IF('SEGUIMIENTO Y EVALUACIÓN'!$H71=Lists!$S$4,AVERAGE('SEGUIMIENTO Y EVALUACIÓN'!K71:N71),IF('SEGUIMIENTO Y EVALUACIÓN'!$H71=Lists!$S$5,OFFSET(J71,0,COUNTA(K71:N71)),IF($H71=Lists!$S$6,COUNTIF(K71:N71,"&lt;"&amp;FORMULACIÓN!Q71)/COUNT('SEGUIMIENTO Y EVALUACIÓN'!K71:N71),""))))),"")</f>
        <v>0</v>
      </c>
      <c r="P71" s="51" t="str">
        <f ca="1">IF($G71=Lists!$R$3,TEXT('SEGUIMIENTO Y EVALUACIÓN'!O71,"00,00%"),IF('SEGUIMIENTO Y EVALUACIÓN'!O71=0,0,TEXT('SEGUIMIENTO Y EVALUACIÓN'!O71,"##.###")))</f>
        <v>00,00%</v>
      </c>
      <c r="Q71" s="209" t="str">
        <f>IF(FORMULACIÓN!R71&lt;&gt;"",FORMULACIÓN!R71,"")</f>
        <v>P4 - Fortalecimiento de las capacidades del capital humano docente</v>
      </c>
      <c r="R71" s="209">
        <f>IF(FORMULACIÓN!S71&lt;&gt;"",FORMULACIÓN!S71,"")</f>
        <v>8.5714285714285719E-3</v>
      </c>
      <c r="S71" s="209" t="str">
        <f>IF(FORMULACIÓN!T71&lt;&gt;"",FORMULACIÓN!T71,"")</f>
        <v>Vicerrector de Docencia</v>
      </c>
      <c r="T71" s="42"/>
      <c r="U71" s="42"/>
      <c r="V71" s="42"/>
      <c r="W71" s="43" t="str">
        <f t="shared" si="0"/>
        <v/>
      </c>
      <c r="X71" s="42"/>
      <c r="Y71" s="42"/>
      <c r="Z71" s="42"/>
      <c r="AA71" s="43" t="str">
        <f t="shared" si="1"/>
        <v/>
      </c>
      <c r="AB71" s="42"/>
      <c r="AC71" s="42"/>
      <c r="AD71" s="42"/>
      <c r="AE71" s="43" t="str">
        <f t="shared" si="2"/>
        <v/>
      </c>
      <c r="AF71" s="42"/>
      <c r="AG71" s="42"/>
      <c r="AH71" s="42"/>
      <c r="AI71" s="46" t="str">
        <f t="shared" si="3"/>
        <v/>
      </c>
      <c r="AJ71" s="46" t="str">
        <f>IF(SUM(AA71,AE71,W71,AI71)=0,"",SUM((AA71,AE71,W71,AI71)))</f>
        <v/>
      </c>
      <c r="AK71"/>
      <c r="AL71" s="1" t="str">
        <f t="shared" si="7"/>
        <v>L1M5P4</v>
      </c>
      <c r="AM71" s="56" t="str">
        <f t="shared" si="8"/>
        <v>Porcentaje de docentes de carrera profesoral con nivel de formación de maestría</v>
      </c>
      <c r="AN71" s="112" t="str">
        <f>IF($G71=Lists!$R$3,"T1: "&amp;TEXT(FORMULACIÓN!L71,"00,00%")&amp;CHAR(10)&amp;"T2: "&amp;TEXT(FORMULACIÓN!M71,"00,00%")&amp;CHAR(10)&amp;"T3: "&amp;TEXT(FORMULACIÓN!N71,"00,00%")&amp;CHAR(10)&amp;"Tn: "&amp;TEXT(FORMULACIÓN!O71,"00,00%"),IF(FORMULACIÓN!Q71=0,0,"T1: "&amp;TEXT(FORMULACIÓN!L71,"##.###")&amp;CHAR(10)&amp;"T2: "&amp;TEXT(FORMULACIÓN!M71,"##.###")&amp;CHAR(10)&amp;"T3: "&amp;TEXT(FORMULACIÓN!N71,"##.###")&amp;CHAR(10)&amp;"Tn: "&amp;TEXT(FORMULACIÓN!O71,"##.###")))</f>
        <v>T1: 40,00%
T2: 40,00%
T3: 40,00%
Tn: 40,00%</v>
      </c>
      <c r="AO71" s="117">
        <f>IFERROR(IF($H71=Lists!$S$6,IF(AND(FORMULACIÓN!L71&gt;K71,K71&gt;0),1,0),IF((K71/FORMULACIÓN!L71)&lt;&gt;0,K71/FORMULACIÓN!L71,0)),"")</f>
        <v>0</v>
      </c>
      <c r="AP71" s="117">
        <f>IFERROR(IF($H71=Lists!$S$6,IF(AND(FORMULACIÓN!M71&gt;L71,L71&gt;0),1,0),IF((L71/FORMULACIÓN!M71)&lt;&gt;0,L71/FORMULACIÓN!M71,0)),"")</f>
        <v>0</v>
      </c>
      <c r="AQ71" s="117">
        <f>IFERROR(IF($H71=Lists!$S$6,IF(AND(FORMULACIÓN!N71&gt;M71,M71&gt;0),1,0),IF((M71/FORMULACIÓN!N71)&lt;&gt;0,M71/FORMULACIÓN!N71,0)),"")</f>
        <v>0</v>
      </c>
      <c r="AR71" s="117">
        <f>IFERROR(IF($H71=Lists!$S$6,IF(AND(FORMULACIÓN!O71&gt;N71,N71&gt;0),1,0),IF((N71/FORMULACIÓN!O71)&lt;&gt;0,N71/FORMULACIÓN!O71,0)),"")</f>
        <v>0</v>
      </c>
      <c r="AS71" s="110"/>
      <c r="AT71" s="118" t="str">
        <f ca="1">IF($H71=Lists!$S$6,TEXT(COUNTIF('SEGUIMIENTO Y EVALUACIÓN'!K71:N71,"&lt;"&amp;FORMULACIÓN!Q71),"##.###")&amp;" / "&amp;TEXT(COUNTIF('SEGUIMIENTO Y EVALUACIÓN'!K71:N71,"&gt;"&amp;0),"##.###"),IF($G71=Lists!$R$3,TEXT('SEGUIMIENTO Y EVALUACIÓN'!O71,"00,00%")&amp;" / "&amp;TEXT(FORMULACIÓN!P71,"00,00%"),IF('SEGUIMIENTO Y EVALUACIÓN'!O71=0,0,TEXT('SEGUIMIENTO Y EVALUACIÓN'!O71,"##.###")&amp;" / "&amp;TEXT(FORMULACIÓN!P71,"##.###"))))</f>
        <v xml:space="preserve"> / 1</v>
      </c>
      <c r="AU71" s="57">
        <f ca="1">IFERROR(IF((P71/FORMULACIÓN!Q71)&lt;&gt;0,IF($H71=Lists!$S$6,COUNTIF('SEGUIMIENTO Y EVALUACIÓN'!K71:N71,"&lt;"&amp;FORMULACIÓN!Q71),'SEGUIMIENTO Y EVALUACIÓN'!P71)/IF($H71=Lists!$S$6,COUNTIF('SEGUIMIENTO Y EVALUACIÓN'!K71:N71,"&gt;"&amp;0),FORMULACIÓN!P71),0),0)</f>
        <v>0</v>
      </c>
      <c r="AV71" s="93">
        <f t="shared" ca="1" si="6"/>
        <v>0</v>
      </c>
      <c r="AW71" s="93" cm="1">
        <f t="array" ref="AW71">IF(INDEX(AO71:AU71,1,$AV$3)&gt;1,IF($AU$2=1,1,INDEX(AO71:AU71,1,$AV$3)),INDEX(AO71:AU71,1,$AV$3))</f>
        <v>0</v>
      </c>
      <c r="AX71"/>
      <c r="AY71" s="119" t="str">
        <f>IFERROR(IF((W71/FORMULACIÓN!X71)&lt;&gt;0,W71/FORMULACIÓN!X71,0),"")</f>
        <v/>
      </c>
      <c r="AZ71" s="119" t="str">
        <f>IFERROR(IF((AA71/FORMULACIÓN!AB71)&lt;&gt;0,AA71/FORMULACIÓN!AB71,0),"")</f>
        <v/>
      </c>
      <c r="BA71" s="119" t="str">
        <f>IFERROR(IF((AE71/FORMULACIÓN!AF71)&lt;&gt;0,(AE71/FORMULACIÓN!AF71),0),"")</f>
        <v/>
      </c>
      <c r="BB71" s="119" t="str">
        <f>IFERROR(IF((AI71/FORMULACIÓN!AJ71)&lt;&gt;0,AI71/FORMULACIÓN!AJ71,0),"")</f>
        <v/>
      </c>
      <c r="BC71" s="120" t="str">
        <f>IF('SEGUIMIENTO Y EVALUACIÓN'!AI71=0,0,TEXT('SEGUIMIENTO Y EVALUACIÓN'!AI71,"$ ##.###")&amp;" / "&amp;TEXT(FORMULACIÓN!AK71,"$ ##.###"))</f>
        <v xml:space="preserve"> / $ 11.166.425.112</v>
      </c>
      <c r="BD71" s="57">
        <f>IFERROR(IF((AJ71/FORMULACIÓN!AK71)&lt;&gt;0,AJ71/FORMULACIÓN!AK71,0),0)</f>
        <v>0</v>
      </c>
      <c r="BJ71"/>
      <c r="BK71"/>
      <c r="CL71" s="7"/>
    </row>
    <row r="72" spans="1:90" s="1" customFormat="1" ht="90">
      <c r="A72" s="45">
        <f>IF(FORMULACIÓN!A72="","",FORMULACIÓN!A72)</f>
        <v>61</v>
      </c>
      <c r="B72" s="45" t="str">
        <f>IF(FORMULACIÓN!B72="","",FORMULACIÓN!B72)</f>
        <v>L1 - Formación Académica Integral</v>
      </c>
      <c r="C72" s="45" t="str">
        <f>IF(FORMULACIÓN!E72="","",FORMULACIÓN!E72)</f>
        <v>M5 - Autoevaluación y acreditación Institucional y de programas académicos en el contexto nacional e internacional</v>
      </c>
      <c r="D72" s="45" t="str">
        <f>IF(FORMULACIÓN!F72="","",FORMULACIÓN!F72)</f>
        <v xml:space="preserve">Diseño de la política docente de formación avanzada, científica y de relevo generacional.  </v>
      </c>
      <c r="E72" s="45" t="str">
        <f>IF(FORMULACIÓN!G72="","",FORMULACIÓN!G72)</f>
        <v>Política de formación avanzada y relevo generacional aprobada e implementada</v>
      </c>
      <c r="F72" s="45" t="str">
        <f>IF(FORMULACIÓN!H72="","",FORMULACIÓN!H72)</f>
        <v>Documento adoptado e implementado por el Consejo Superior</v>
      </c>
      <c r="G72" s="45" t="str">
        <f>IF(FORMULACIÓN!I72="","",FORMULACIÓN!I72)</f>
        <v>Unidad</v>
      </c>
      <c r="H72" s="45" t="str">
        <f>IF(FORMULACIÓN!J72="","",FORMULACIÓN!J72)</f>
        <v>Nuevo gestionado durante la vigencia</v>
      </c>
      <c r="I72" s="188" t="str">
        <f ca="1">IF($G72=Lists!$R$3,"PDI: "&amp;TEXT(FORMULACIÓN!Q72,"00,00%")&amp;CHAR(10)&amp;CHAR(10)&amp;"T1: "&amp;TEXT(FORMULACIÓN!L72,"00,00%")&amp;CHAR(10)&amp;"T2: "&amp;TEXT(FORMULACIÓN!M72,"00,00%")&amp;CHAR(10)&amp;"T3: "&amp;TEXT(FORMULACIÓN!N72,"00,00%")&amp;CHAR(10)&amp;"Tn: "&amp;TEXT(FORMULACIÓN!O72,"00,00%"),IF(FORMULACIÓN!Q72=0,0,"PDI: "&amp;TEXT(FORMULACIÓN!Q72,"##.###")&amp;CHAR(10)&amp;CHAR(10)&amp;"T1: "&amp;TEXT(FORMULACIÓN!L72,"##.###")&amp;CHAR(10)&amp;"T2: "&amp;TEXT(FORMULACIÓN!M72,"##.###")&amp;CHAR(10)&amp;"T3: "&amp;TEXT(FORMULACIÓN!N72,"##.###")&amp;CHAR(10)&amp;"Tn: "&amp;TEXT(FORMULACIÓN!O72,"##.###")))</f>
        <v xml:space="preserve">PDI: 1
T1: 
T2: 1
T3: 
Tn: </v>
      </c>
      <c r="J72" s="122">
        <f>IF(FORMULACIÓN!K72&lt;&gt;"",FORMULACIÓN!K72,"")</f>
        <v>0</v>
      </c>
      <c r="K72" s="310">
        <v>0</v>
      </c>
      <c r="L72" s="58"/>
      <c r="M72" s="58"/>
      <c r="N72" s="58"/>
      <c r="O72" s="47">
        <f ca="1">IFERROR(IF($H72=Lists!$S$2,SUM('SEGUIMIENTO Y EVALUACIÓN'!J72:N72),IF('SEGUIMIENTO Y EVALUACIÓN'!$H72=Lists!$S$3,SUM('SEGUIMIENTO Y EVALUACIÓN'!K72:N72),IF('SEGUIMIENTO Y EVALUACIÓN'!$H72=Lists!$S$4,AVERAGE('SEGUIMIENTO Y EVALUACIÓN'!K72:N72),IF('SEGUIMIENTO Y EVALUACIÓN'!$H72=Lists!$S$5,OFFSET(J72,0,COUNTA(K72:N72)),IF($H72=Lists!$S$6,COUNTIF(K72:N72,"&lt;"&amp;FORMULACIÓN!Q72)/COUNT('SEGUIMIENTO Y EVALUACIÓN'!K72:N72),""))))),"")</f>
        <v>0</v>
      </c>
      <c r="P72" s="51">
        <f ca="1">IF($G72=Lists!$R$3,TEXT('SEGUIMIENTO Y EVALUACIÓN'!O72,"00,00%"),IF('SEGUIMIENTO Y EVALUACIÓN'!O72=0,0,TEXT('SEGUIMIENTO Y EVALUACIÓN'!O72,"##.###")))</f>
        <v>0</v>
      </c>
      <c r="Q72" s="209" t="str">
        <f>IF(FORMULACIÓN!R72&lt;&gt;"",FORMULACIÓN!R72,"")</f>
        <v>P4 - Fortalecimiento de las capacidades del capital humano docente</v>
      </c>
      <c r="R72" s="209">
        <f>IF(FORMULACIÓN!S72&lt;&gt;"",FORMULACIÓN!S72,"")</f>
        <v>8.5714285714285719E-3</v>
      </c>
      <c r="S72" s="209" t="str">
        <f>IF(FORMULACIÓN!T72&lt;&gt;"",FORMULACIÓN!T72,"")</f>
        <v>Vicerrector de Docencia</v>
      </c>
      <c r="T72" s="42"/>
      <c r="U72" s="42"/>
      <c r="V72" s="42"/>
      <c r="W72" s="43" t="str">
        <f t="shared" si="0"/>
        <v/>
      </c>
      <c r="X72" s="42"/>
      <c r="Y72" s="42"/>
      <c r="Z72" s="42"/>
      <c r="AA72" s="43" t="str">
        <f t="shared" si="1"/>
        <v/>
      </c>
      <c r="AB72" s="42"/>
      <c r="AC72" s="42"/>
      <c r="AD72" s="42"/>
      <c r="AE72" s="43" t="str">
        <f t="shared" si="2"/>
        <v/>
      </c>
      <c r="AF72" s="42"/>
      <c r="AG72" s="42"/>
      <c r="AH72" s="42"/>
      <c r="AI72" s="46" t="str">
        <f t="shared" si="3"/>
        <v/>
      </c>
      <c r="AJ72" s="46" t="str">
        <f>IF(SUM(AA72,AE72,W72,AI72)=0,"",SUM((AA72,AE72,W72,AI72)))</f>
        <v/>
      </c>
      <c r="AK72"/>
      <c r="AL72" s="1" t="str">
        <f t="shared" si="7"/>
        <v>L1M5P4</v>
      </c>
      <c r="AM72" s="56" t="str">
        <f t="shared" si="8"/>
        <v>Política de formación avanzada y relevo generacional aprobada e implementada</v>
      </c>
      <c r="AN72" s="112" t="str">
        <f ca="1">IF($G72=Lists!$R$3,"T1: "&amp;TEXT(FORMULACIÓN!L72,"00,00%")&amp;CHAR(10)&amp;"T2: "&amp;TEXT(FORMULACIÓN!M72,"00,00%")&amp;CHAR(10)&amp;"T3: "&amp;TEXT(FORMULACIÓN!N72,"00,00%")&amp;CHAR(10)&amp;"Tn: "&amp;TEXT(FORMULACIÓN!O72,"00,00%"),IF(FORMULACIÓN!Q72=0,0,"T1: "&amp;TEXT(FORMULACIÓN!L72,"##.###")&amp;CHAR(10)&amp;"T2: "&amp;TEXT(FORMULACIÓN!M72,"##.###")&amp;CHAR(10)&amp;"T3: "&amp;TEXT(FORMULACIÓN!N72,"##.###")&amp;CHAR(10)&amp;"Tn: "&amp;TEXT(FORMULACIÓN!O72,"##.###")))</f>
        <v xml:space="preserve">T1: 
T2: 1
T3: 
Tn: </v>
      </c>
      <c r="AO72" s="117" t="str">
        <f>IFERROR(IF($H72=Lists!$S$6,IF(AND(FORMULACIÓN!L72&gt;K72,K72&gt;0),1,0),IF((K72/FORMULACIÓN!L72)&lt;&gt;0,K72/FORMULACIÓN!L72,0)),"")</f>
        <v/>
      </c>
      <c r="AP72" s="117">
        <f>IFERROR(IF($H72=Lists!$S$6,IF(AND(FORMULACIÓN!M72&gt;L72,L72&gt;0),1,0),IF((L72/FORMULACIÓN!M72)&lt;&gt;0,L72/FORMULACIÓN!M72,0)),"")</f>
        <v>0</v>
      </c>
      <c r="AQ72" s="117" t="str">
        <f>IFERROR(IF($H72=Lists!$S$6,IF(AND(FORMULACIÓN!N72&gt;M72,M72&gt;0),1,0),IF((M72/FORMULACIÓN!N72)&lt;&gt;0,M72/FORMULACIÓN!N72,0)),"")</f>
        <v/>
      </c>
      <c r="AR72" s="117" t="str">
        <f>IFERROR(IF($H72=Lists!$S$6,IF(AND(FORMULACIÓN!O72&gt;N72,N72&gt;0),1,0),IF((N72/FORMULACIÓN!O72)&lt;&gt;0,N72/FORMULACIÓN!O72,0)),"")</f>
        <v/>
      </c>
      <c r="AS72" s="110"/>
      <c r="AT72" s="118">
        <f ca="1">IF($H72=Lists!$S$6,TEXT(COUNTIF('SEGUIMIENTO Y EVALUACIÓN'!K72:N72,"&lt;"&amp;FORMULACIÓN!Q72),"##.###")&amp;" / "&amp;TEXT(COUNTIF('SEGUIMIENTO Y EVALUACIÓN'!K72:N72,"&gt;"&amp;0),"##.###"),IF($G72=Lists!$R$3,TEXT('SEGUIMIENTO Y EVALUACIÓN'!O72,"00,00%")&amp;" / "&amp;TEXT(FORMULACIÓN!P72,"00,00%"),IF('SEGUIMIENTO Y EVALUACIÓN'!O72=0,0,TEXT('SEGUIMIENTO Y EVALUACIÓN'!O72,"##.###")&amp;" / "&amp;TEXT(FORMULACIÓN!P72,"##.###"))))</f>
        <v>0</v>
      </c>
      <c r="AU72" s="57">
        <f ca="1">IFERROR(IF((P72/FORMULACIÓN!Q72)&lt;&gt;0,IF($H72=Lists!$S$6,COUNTIF('SEGUIMIENTO Y EVALUACIÓN'!K72:N72,"&lt;"&amp;FORMULACIÓN!Q72),'SEGUIMIENTO Y EVALUACIÓN'!P72)/IF($H72=Lists!$S$6,COUNTIF('SEGUIMIENTO Y EVALUACIÓN'!K72:N72,"&gt;"&amp;0),FORMULACIÓN!P72),0),0)</f>
        <v>0</v>
      </c>
      <c r="AV72" s="93">
        <f t="shared" ca="1" si="6"/>
        <v>0</v>
      </c>
      <c r="AW72" s="93" cm="1">
        <f t="array" ref="AW72">IF(INDEX(AO72:AU72,1,$AV$3)&gt;1,IF($AU$2=1,1,INDEX(AO72:AU72,1,$AV$3)),INDEX(AO72:AU72,1,$AV$3))</f>
        <v>1</v>
      </c>
      <c r="AX72"/>
      <c r="AY72" s="119" t="str">
        <f>IFERROR(IF((W72/FORMULACIÓN!X72)&lt;&gt;0,W72/FORMULACIÓN!X72,0),"")</f>
        <v/>
      </c>
      <c r="AZ72" s="119" t="str">
        <f>IFERROR(IF((AA72/FORMULACIÓN!AB72)&lt;&gt;0,AA72/FORMULACIÓN!AB72,0),"")</f>
        <v/>
      </c>
      <c r="BA72" s="119" t="str">
        <f>IFERROR(IF((AE72/FORMULACIÓN!AF72)&lt;&gt;0,(AE72/FORMULACIÓN!AF72),0),"")</f>
        <v/>
      </c>
      <c r="BB72" s="119" t="str">
        <f>IFERROR(IF((AI72/FORMULACIÓN!AJ72)&lt;&gt;0,AI72/FORMULACIÓN!AJ72,0),"")</f>
        <v/>
      </c>
      <c r="BC72" s="120" t="str">
        <f>IF('SEGUIMIENTO Y EVALUACIÓN'!AI72=0,0,TEXT('SEGUIMIENTO Y EVALUACIÓN'!AI72,"$ ##.###")&amp;" / "&amp;TEXT(FORMULACIÓN!AK72,"$ ##.###"))</f>
        <v xml:space="preserve"> / $ 7.551.913.748</v>
      </c>
      <c r="BD72" s="57">
        <f>IFERROR(IF((AJ72/FORMULACIÓN!AK72)&lt;&gt;0,AJ72/FORMULACIÓN!AK72,0),0)</f>
        <v>0</v>
      </c>
      <c r="BJ72"/>
      <c r="BK72"/>
      <c r="CL72" s="7"/>
    </row>
    <row r="73" spans="1:90" s="1" customFormat="1" ht="90">
      <c r="A73" s="45">
        <f>IF(FORMULACIÓN!A73="","",FORMULACIÓN!A73)</f>
        <v>62</v>
      </c>
      <c r="B73" s="45" t="str">
        <f>IF(FORMULACIÓN!B73="","",FORMULACIÓN!B73)</f>
        <v>L1 - Formación Académica Integral</v>
      </c>
      <c r="C73" s="45" t="str">
        <f>IF(FORMULACIÓN!E73="","",FORMULACIÓN!E73)</f>
        <v>M5 - Autoevaluación y acreditación Institucional y de programas académicos en el contexto nacional e internacional</v>
      </c>
      <c r="D73" s="45" t="str">
        <f>IF(FORMULACIÓN!F73="","",FORMULACIÓN!F73)</f>
        <v xml:space="preserve">Diseño de la política docente de formación avanzada, científica y de relevo generacional.  </v>
      </c>
      <c r="E73" s="45" t="str">
        <f>IF(FORMULACIÓN!G73="","",FORMULACIÓN!G73)</f>
        <v>Docentes de carrera profesoral beneficiados con nueva reglamentación</v>
      </c>
      <c r="F73" s="45" t="str">
        <f>IF(FORMULACIÓN!H73="","",FORMULACIÓN!H73)</f>
        <v>N° de docentes de carrera profesoral beneficiados por la política de formación avanzada y relevo generacional</v>
      </c>
      <c r="G73" s="45" t="str">
        <f>IF(FORMULACIÓN!I73="","",FORMULACIÓN!I73)</f>
        <v>Unidad</v>
      </c>
      <c r="H73" s="45" t="str">
        <f>IF(FORMULACIÓN!J73="","",FORMULACIÓN!J73)</f>
        <v>Acumulado</v>
      </c>
      <c r="I73" s="188" t="str">
        <f ca="1">IF($G73=Lists!$R$3,"PDI: "&amp;TEXT(FORMULACIÓN!Q73,"00,00%")&amp;CHAR(10)&amp;CHAR(10)&amp;"T1: "&amp;TEXT(FORMULACIÓN!L73,"00,00%")&amp;CHAR(10)&amp;"T2: "&amp;TEXT(FORMULACIÓN!M73,"00,00%")&amp;CHAR(10)&amp;"T3: "&amp;TEXT(FORMULACIÓN!N73,"00,00%")&amp;CHAR(10)&amp;"Tn: "&amp;TEXT(FORMULACIÓN!O73,"00,00%"),IF(FORMULACIÓN!Q73=0,0,"PDI: "&amp;TEXT(FORMULACIÓN!Q73,"##.###")&amp;CHAR(10)&amp;CHAR(10)&amp;"T1: "&amp;TEXT(FORMULACIÓN!L73,"##.###")&amp;CHAR(10)&amp;"T2: "&amp;TEXT(FORMULACIÓN!M73,"##.###")&amp;CHAR(10)&amp;"T3: "&amp;TEXT(FORMULACIÓN!N73,"##.###")&amp;CHAR(10)&amp;"Tn: "&amp;TEXT(FORMULACIÓN!O73,"##.###")))</f>
        <v xml:space="preserve">PDI: 15
T1: 5
T2: 5
T3: 5
Tn: </v>
      </c>
      <c r="J73" s="122">
        <f>IF(FORMULACIÓN!K73&lt;&gt;"",FORMULACIÓN!K73,"")</f>
        <v>0</v>
      </c>
      <c r="K73" s="310">
        <v>0</v>
      </c>
      <c r="L73" s="58"/>
      <c r="M73" s="58"/>
      <c r="N73" s="58"/>
      <c r="O73" s="47">
        <f ca="1">IFERROR(IF($H73=Lists!$S$2,SUM('SEGUIMIENTO Y EVALUACIÓN'!J73:N73),IF('SEGUIMIENTO Y EVALUACIÓN'!$H73=Lists!$S$3,SUM('SEGUIMIENTO Y EVALUACIÓN'!K73:N73),IF('SEGUIMIENTO Y EVALUACIÓN'!$H73=Lists!$S$4,AVERAGE('SEGUIMIENTO Y EVALUACIÓN'!K73:N73),IF('SEGUIMIENTO Y EVALUACIÓN'!$H73=Lists!$S$5,OFFSET(J73,0,COUNTA(K73:N73)),IF($H73=Lists!$S$6,COUNTIF(K73:N73,"&lt;"&amp;FORMULACIÓN!Q73)/COUNT('SEGUIMIENTO Y EVALUACIÓN'!K73:N73),""))))),"")</f>
        <v>0</v>
      </c>
      <c r="P73" s="51">
        <f ca="1">IF($G73=Lists!$R$3,TEXT('SEGUIMIENTO Y EVALUACIÓN'!O73,"00,00%"),IF('SEGUIMIENTO Y EVALUACIÓN'!O73=0,0,TEXT('SEGUIMIENTO Y EVALUACIÓN'!O73,"##.###")))</f>
        <v>0</v>
      </c>
      <c r="Q73" s="209" t="str">
        <f>IF(FORMULACIÓN!R73&lt;&gt;"",FORMULACIÓN!R73,"")</f>
        <v>P4 - Fortalecimiento de las capacidades del capital humano docente</v>
      </c>
      <c r="R73" s="209">
        <f>IF(FORMULACIÓN!S73&lt;&gt;"",FORMULACIÓN!S73,"")</f>
        <v>8.5714285714285719E-3</v>
      </c>
      <c r="S73" s="209" t="str">
        <f>IF(FORMULACIÓN!T73&lt;&gt;"",FORMULACIÓN!T73,"")</f>
        <v>Vicerrector de Docencia</v>
      </c>
      <c r="T73" s="42"/>
      <c r="U73" s="42"/>
      <c r="V73" s="42"/>
      <c r="W73" s="43" t="str">
        <f t="shared" si="0"/>
        <v/>
      </c>
      <c r="X73" s="42"/>
      <c r="Y73" s="42"/>
      <c r="Z73" s="42"/>
      <c r="AA73" s="43" t="str">
        <f t="shared" si="1"/>
        <v/>
      </c>
      <c r="AB73" s="42"/>
      <c r="AC73" s="42"/>
      <c r="AD73" s="42"/>
      <c r="AE73" s="43" t="str">
        <f t="shared" si="2"/>
        <v/>
      </c>
      <c r="AF73" s="42"/>
      <c r="AG73" s="42"/>
      <c r="AH73" s="42"/>
      <c r="AI73" s="46" t="str">
        <f t="shared" si="3"/>
        <v/>
      </c>
      <c r="AJ73" s="46" t="str">
        <f>IF(SUM(AA73,AE73,W73,AI73)=0,"",SUM((AA73,AE73,W73,AI73)))</f>
        <v/>
      </c>
      <c r="AK73"/>
      <c r="AL73" s="1" t="str">
        <f t="shared" si="7"/>
        <v>L1M5P4</v>
      </c>
      <c r="AM73" s="56" t="str">
        <f t="shared" si="8"/>
        <v>Docentes de carrera profesoral beneficiados con nueva reglamentación</v>
      </c>
      <c r="AN73" s="112" t="str">
        <f ca="1">IF($G73=Lists!$R$3,"T1: "&amp;TEXT(FORMULACIÓN!L73,"00,00%")&amp;CHAR(10)&amp;"T2: "&amp;TEXT(FORMULACIÓN!M73,"00,00%")&amp;CHAR(10)&amp;"T3: "&amp;TEXT(FORMULACIÓN!N73,"00,00%")&amp;CHAR(10)&amp;"Tn: "&amp;TEXT(FORMULACIÓN!O73,"00,00%"),IF(FORMULACIÓN!Q73=0,0,"T1: "&amp;TEXT(FORMULACIÓN!L73,"##.###")&amp;CHAR(10)&amp;"T2: "&amp;TEXT(FORMULACIÓN!M73,"##.###")&amp;CHAR(10)&amp;"T3: "&amp;TEXT(FORMULACIÓN!N73,"##.###")&amp;CHAR(10)&amp;"Tn: "&amp;TEXT(FORMULACIÓN!O73,"##.###")))</f>
        <v xml:space="preserve">T1: 5
T2: 5
T3: 5
Tn: </v>
      </c>
      <c r="AO73" s="117">
        <f>IFERROR(IF($H73=Lists!$S$6,IF(AND(FORMULACIÓN!L73&gt;K73,K73&gt;0),1,0),IF((K73/FORMULACIÓN!L73)&lt;&gt;0,K73/FORMULACIÓN!L73,0)),"")</f>
        <v>0</v>
      </c>
      <c r="AP73" s="117">
        <f>IFERROR(IF($H73=Lists!$S$6,IF(AND(FORMULACIÓN!M73&gt;L73,L73&gt;0),1,0),IF((L73/FORMULACIÓN!M73)&lt;&gt;0,L73/FORMULACIÓN!M73,0)),"")</f>
        <v>0</v>
      </c>
      <c r="AQ73" s="117">
        <f>IFERROR(IF($H73=Lists!$S$6,IF(AND(FORMULACIÓN!N73&gt;M73,M73&gt;0),1,0),IF((M73/FORMULACIÓN!N73)&lt;&gt;0,M73/FORMULACIÓN!N73,0)),"")</f>
        <v>0</v>
      </c>
      <c r="AR73" s="117" t="str">
        <f>IFERROR(IF($H73=Lists!$S$6,IF(AND(FORMULACIÓN!O73&gt;N73,N73&gt;0),1,0),IF((N73/FORMULACIÓN!O73)&lt;&gt;0,N73/FORMULACIÓN!O73,0)),"")</f>
        <v/>
      </c>
      <c r="AS73" s="110"/>
      <c r="AT73" s="118">
        <f ca="1">IF($H73=Lists!$S$6,TEXT(COUNTIF('SEGUIMIENTO Y EVALUACIÓN'!K73:N73,"&lt;"&amp;FORMULACIÓN!Q73),"##.###")&amp;" / "&amp;TEXT(COUNTIF('SEGUIMIENTO Y EVALUACIÓN'!K73:N73,"&gt;"&amp;0),"##.###"),IF($G73=Lists!$R$3,TEXT('SEGUIMIENTO Y EVALUACIÓN'!O73,"00,00%")&amp;" / "&amp;TEXT(FORMULACIÓN!P73,"00,00%"),IF('SEGUIMIENTO Y EVALUACIÓN'!O73=0,0,TEXT('SEGUIMIENTO Y EVALUACIÓN'!O73,"##.###")&amp;" / "&amp;TEXT(FORMULACIÓN!P73,"##.###"))))</f>
        <v>0</v>
      </c>
      <c r="AU73" s="57">
        <f ca="1">IFERROR(IF((P73/FORMULACIÓN!Q73)&lt;&gt;0,IF($H73=Lists!$S$6,COUNTIF('SEGUIMIENTO Y EVALUACIÓN'!K73:N73,"&lt;"&amp;FORMULACIÓN!Q73),'SEGUIMIENTO Y EVALUACIÓN'!P73)/IF($H73=Lists!$S$6,COUNTIF('SEGUIMIENTO Y EVALUACIÓN'!K73:N73,"&gt;"&amp;0),FORMULACIÓN!P73),0),0)</f>
        <v>0</v>
      </c>
      <c r="AV73" s="93">
        <f t="shared" ca="1" si="6"/>
        <v>0</v>
      </c>
      <c r="AW73" s="93" cm="1">
        <f t="array" ref="AW73">IF(INDEX(AO73:AU73,1,$AV$3)&gt;1,IF($AU$2=1,1,INDEX(AO73:AU73,1,$AV$3)),INDEX(AO73:AU73,1,$AV$3))</f>
        <v>0</v>
      </c>
      <c r="AX73"/>
      <c r="AY73" s="119" t="str">
        <f>IFERROR(IF((W73/FORMULACIÓN!X73)&lt;&gt;0,W73/FORMULACIÓN!X73,0),"")</f>
        <v/>
      </c>
      <c r="AZ73" s="119" t="str">
        <f>IFERROR(IF((AA73/FORMULACIÓN!AB73)&lt;&gt;0,AA73/FORMULACIÓN!AB73,0),"")</f>
        <v/>
      </c>
      <c r="BA73" s="119" t="str">
        <f>IFERROR(IF((AE73/FORMULACIÓN!AF73)&lt;&gt;0,(AE73/FORMULACIÓN!AF73),0),"")</f>
        <v/>
      </c>
      <c r="BB73" s="119" t="str">
        <f>IFERROR(IF((AI73/FORMULACIÓN!AJ73)&lt;&gt;0,AI73/FORMULACIÓN!AJ73,0),"")</f>
        <v/>
      </c>
      <c r="BC73" s="120" t="str">
        <f>IF('SEGUIMIENTO Y EVALUACIÓN'!AI73=0,0,TEXT('SEGUIMIENTO Y EVALUACIÓN'!AI73,"$ ##.###")&amp;" / "&amp;TEXT(FORMULACIÓN!AK73,"$ ##.###"))</f>
        <v xml:space="preserve"> / $ 9.360.055.331</v>
      </c>
      <c r="BD73" s="57">
        <f>IFERROR(IF((AJ73/FORMULACIÓN!AK73)&lt;&gt;0,AJ73/FORMULACIÓN!AK73,0),0)</f>
        <v>0</v>
      </c>
      <c r="BJ73"/>
      <c r="BK73"/>
      <c r="CL73" s="7"/>
    </row>
    <row r="74" spans="1:90" s="1" customFormat="1" ht="67.5">
      <c r="A74" s="45">
        <f>IF(FORMULACIÓN!A74="","",FORMULACIÓN!A74)</f>
        <v>63</v>
      </c>
      <c r="B74" s="45" t="str">
        <f>IF(FORMULACIÓN!B74="","",FORMULACIÓN!B74)</f>
        <v>L2 - Investigación y Redes de conocimiento para el desarrollo de la sociedad</v>
      </c>
      <c r="C74" s="45" t="str">
        <f>IF(FORMULACIÓN!E74="","",FORMULACIÓN!E74)</f>
        <v>M1 - Creación o investigación creación.</v>
      </c>
      <c r="D74" s="45" t="str">
        <f>IF(FORMULACIÓN!F74="","",FORMULACIÓN!F74)</f>
        <v xml:space="preserve">Fortalecer y visibilizar el impacto de la creación e investigación para las industrias creativas y culturales con miras a disminuir la brecha en la generación de conocimiento en el sector de las artes y el patrimonio cultural, con 28 proyectos que aprobados en convocatorias internas y/o externas, asimismo categorizar 3 grupo en A1, 2 grupos en A, 3 grupos en B </v>
      </c>
      <c r="E74" s="45" t="str">
        <f>IF(FORMULACIÓN!G74="","",FORMULACIÓN!G74)</f>
        <v>Participación de proyectos de creación o investigación creación en convocatorias internas y externas</v>
      </c>
      <c r="F74" s="45" t="str">
        <f>IF(FORMULACIÓN!H74="","",FORMULACIÓN!H74)</f>
        <v xml:space="preserve">N° de proyectos de creación o investigación creación aprobados mediante convocatorias internas </v>
      </c>
      <c r="G74" s="45" t="str">
        <f>IF(FORMULACIÓN!I74="","",FORMULACIÓN!I74)</f>
        <v>Unidad</v>
      </c>
      <c r="H74" s="45" t="str">
        <f>IF(FORMULACIÓN!J74="","",FORMULACIÓN!J74)</f>
        <v>Nuevo gestionado durante la vigencia</v>
      </c>
      <c r="I74" s="188" t="str">
        <f ca="1">IF($G74=Lists!$R$3,"PDI: "&amp;TEXT(FORMULACIÓN!Q74,"00,00%")&amp;CHAR(10)&amp;CHAR(10)&amp;"T1: "&amp;TEXT(FORMULACIÓN!L74,"00,00%")&amp;CHAR(10)&amp;"T2: "&amp;TEXT(FORMULACIÓN!M74,"00,00%")&amp;CHAR(10)&amp;"T3: "&amp;TEXT(FORMULACIÓN!N74,"00,00%")&amp;CHAR(10)&amp;"Tn: "&amp;TEXT(FORMULACIÓN!O74,"00,00%"),IF(FORMULACIÓN!Q74=0,0,"PDI: "&amp;TEXT(FORMULACIÓN!Q74,"##.###")&amp;CHAR(10)&amp;CHAR(10)&amp;"T1: "&amp;TEXT(FORMULACIÓN!L74,"##.###")&amp;CHAR(10)&amp;"T2: "&amp;TEXT(FORMULACIÓN!M74,"##.###")&amp;CHAR(10)&amp;"T3: "&amp;TEXT(FORMULACIÓN!N74,"##.###")&amp;CHAR(10)&amp;"Tn: "&amp;TEXT(FORMULACIÓN!O74,"##.###")))</f>
        <v>PDI: 20
T1: 6
T2: 6
T3: 6
Tn: 2</v>
      </c>
      <c r="J74" s="122">
        <f>IF(FORMULACIÓN!K74&lt;&gt;"",FORMULACIÓN!K74,"")</f>
        <v>3</v>
      </c>
      <c r="K74" s="310">
        <v>40</v>
      </c>
      <c r="L74" s="58"/>
      <c r="M74" s="58"/>
      <c r="N74" s="58"/>
      <c r="O74" s="47">
        <f ca="1">IFERROR(IF($H74=Lists!$S$2,SUM('SEGUIMIENTO Y EVALUACIÓN'!J74:N74),IF('SEGUIMIENTO Y EVALUACIÓN'!$H74=Lists!$S$3,SUM('SEGUIMIENTO Y EVALUACIÓN'!K74:N74),IF('SEGUIMIENTO Y EVALUACIÓN'!$H74=Lists!$S$4,AVERAGE('SEGUIMIENTO Y EVALUACIÓN'!K74:N74),IF('SEGUIMIENTO Y EVALUACIÓN'!$H74=Lists!$S$5,OFFSET(J74,0,COUNTA(K74:N74)),IF($H74=Lists!$S$6,COUNTIF(K74:N74,"&lt;"&amp;FORMULACIÓN!Q74)/COUNT('SEGUIMIENTO Y EVALUACIÓN'!K74:N74),""))))),"")</f>
        <v>40</v>
      </c>
      <c r="P74" s="51" t="str">
        <f ca="1">IF($G74=Lists!$R$3,TEXT('SEGUIMIENTO Y EVALUACIÓN'!O74,"00,00%"),IF('SEGUIMIENTO Y EVALUACIÓN'!O74=0,0,TEXT('SEGUIMIENTO Y EVALUACIÓN'!O74,"##.###")))</f>
        <v>40</v>
      </c>
      <c r="Q74" s="209" t="str">
        <f>IF(FORMULACIÓN!R74&lt;&gt;"",FORMULACIÓN!R74,"")</f>
        <v>P1 - Desarrollo de las artes, la creación y la investigación creación</v>
      </c>
      <c r="R74" s="209">
        <f>IF(FORMULACIÓN!S74&lt;&gt;"",FORMULACIÓN!S74,"")</f>
        <v>0.05</v>
      </c>
      <c r="S74" s="209" t="str">
        <f>IF(FORMULACIÓN!T74&lt;&gt;"",FORMULACIÓN!T74,"")</f>
        <v>Vicerrector de Investigación, Extensión y Proyección Social</v>
      </c>
      <c r="T74" s="42"/>
      <c r="U74" s="42"/>
      <c r="V74" s="42"/>
      <c r="W74" s="43" t="str">
        <f t="shared" si="0"/>
        <v/>
      </c>
      <c r="X74" s="42"/>
      <c r="Y74" s="42"/>
      <c r="Z74" s="42"/>
      <c r="AA74" s="43" t="str">
        <f t="shared" si="1"/>
        <v/>
      </c>
      <c r="AB74" s="42"/>
      <c r="AC74" s="42"/>
      <c r="AD74" s="42"/>
      <c r="AE74" s="43" t="str">
        <f t="shared" si="2"/>
        <v/>
      </c>
      <c r="AF74" s="42"/>
      <c r="AG74" s="42"/>
      <c r="AH74" s="42"/>
      <c r="AI74" s="46" t="str">
        <f t="shared" si="3"/>
        <v/>
      </c>
      <c r="AJ74" s="46" t="str">
        <f>IF(SUM(AA74,AE74,W74,AI74)=0,"",SUM((AA74,AE74,W74,AI74)))</f>
        <v/>
      </c>
      <c r="AK74"/>
      <c r="AL74" s="1" t="str">
        <f t="shared" si="7"/>
        <v>L2M1P1</v>
      </c>
      <c r="AM74" s="56" t="str">
        <f t="shared" si="8"/>
        <v>Participación de proyectos de creación o investigación creación en convocatorias internas y externas</v>
      </c>
      <c r="AN74" s="112" t="str">
        <f ca="1">IF($G74=Lists!$R$3,"T1: "&amp;TEXT(FORMULACIÓN!L74,"00,00%")&amp;CHAR(10)&amp;"T2: "&amp;TEXT(FORMULACIÓN!M74,"00,00%")&amp;CHAR(10)&amp;"T3: "&amp;TEXT(FORMULACIÓN!N74,"00,00%")&amp;CHAR(10)&amp;"Tn: "&amp;TEXT(FORMULACIÓN!O74,"00,00%"),IF(FORMULACIÓN!Q74=0,0,"T1: "&amp;TEXT(FORMULACIÓN!L74,"##.###")&amp;CHAR(10)&amp;"T2: "&amp;TEXT(FORMULACIÓN!M74,"##.###")&amp;CHAR(10)&amp;"T3: "&amp;TEXT(FORMULACIÓN!N74,"##.###")&amp;CHAR(10)&amp;"Tn: "&amp;TEXT(FORMULACIÓN!O74,"##.###")))</f>
        <v>T1: 6
T2: 6
T3: 6
Tn: 2</v>
      </c>
      <c r="AO74" s="117">
        <f>IFERROR(IF($H74=Lists!$S$6,IF(AND(FORMULACIÓN!L74&gt;K74,K74&gt;0),1,0),IF((K74/FORMULACIÓN!L74)&lt;&gt;0,K74/FORMULACIÓN!L74,0)),"")</f>
        <v>6.666666666666667</v>
      </c>
      <c r="AP74" s="117">
        <f>IFERROR(IF($H74=Lists!$S$6,IF(AND(FORMULACIÓN!M74&gt;L74,L74&gt;0),1,0),IF((L74/FORMULACIÓN!M74)&lt;&gt;0,L74/FORMULACIÓN!M74,0)),"")</f>
        <v>0</v>
      </c>
      <c r="AQ74" s="117">
        <f>IFERROR(IF($H74=Lists!$S$6,IF(AND(FORMULACIÓN!N74&gt;M74,M74&gt;0),1,0),IF((M74/FORMULACIÓN!N74)&lt;&gt;0,M74/FORMULACIÓN!N74,0)),"")</f>
        <v>0</v>
      </c>
      <c r="AR74" s="117">
        <f>IFERROR(IF($H74=Lists!$S$6,IF(AND(FORMULACIÓN!O74&gt;N74,N74&gt;0),1,0),IF((N74/FORMULACIÓN!O74)&lt;&gt;0,N74/FORMULACIÓN!O74,0)),"")</f>
        <v>0</v>
      </c>
      <c r="AS74" s="110"/>
      <c r="AT74" s="118" t="str">
        <f ca="1">IF($H74=Lists!$S$6,TEXT(COUNTIF('SEGUIMIENTO Y EVALUACIÓN'!K74:N74,"&lt;"&amp;FORMULACIÓN!Q74),"##.###")&amp;" / "&amp;TEXT(COUNTIF('SEGUIMIENTO Y EVALUACIÓN'!K74:N74,"&gt;"&amp;0),"##.###"),IF($G74=Lists!$R$3,TEXT('SEGUIMIENTO Y EVALUACIÓN'!O74,"00,00%")&amp;" / "&amp;TEXT(FORMULACIÓN!P74,"00,00%"),IF('SEGUIMIENTO Y EVALUACIÓN'!O74=0,0,TEXT('SEGUIMIENTO Y EVALUACIÓN'!O74,"##.###")&amp;" / "&amp;TEXT(FORMULACIÓN!P74,"##.###"))))</f>
        <v>40 / 20</v>
      </c>
      <c r="AU74" s="57">
        <f ca="1">IFERROR(IF((P74/FORMULACIÓN!Q74)&lt;&gt;0,IF($H74=Lists!$S$6,COUNTIF('SEGUIMIENTO Y EVALUACIÓN'!K74:N74,"&lt;"&amp;FORMULACIÓN!Q74),'SEGUIMIENTO Y EVALUACIÓN'!P74)/IF($H74=Lists!$S$6,COUNTIF('SEGUIMIENTO Y EVALUACIÓN'!K74:N74,"&gt;"&amp;0),FORMULACIÓN!P74),0),0)</f>
        <v>2</v>
      </c>
      <c r="AV74" s="93">
        <f t="shared" ca="1" si="6"/>
        <v>0.05</v>
      </c>
      <c r="AW74" s="93" cm="1">
        <f t="array" ref="AW74">IF(INDEX(AO74:AU74,1,$AV$3)&gt;1,IF($AU$2=1,1,INDEX(AO74:AU74,1,$AV$3)),INDEX(AO74:AU74,1,$AV$3))</f>
        <v>1</v>
      </c>
      <c r="AX74"/>
      <c r="AY74" s="119" t="str">
        <f>IFERROR(IF((W74/FORMULACIÓN!X74)&lt;&gt;0,W74/FORMULACIÓN!X74,0),"")</f>
        <v/>
      </c>
      <c r="AZ74" s="119" t="str">
        <f>IFERROR(IF((AA74/FORMULACIÓN!AB74)&lt;&gt;0,AA74/FORMULACIÓN!AB74,0),"")</f>
        <v/>
      </c>
      <c r="BA74" s="119" t="str">
        <f>IFERROR(IF((AE74/FORMULACIÓN!AF74)&lt;&gt;0,(AE74/FORMULACIÓN!AF74),0),"")</f>
        <v/>
      </c>
      <c r="BB74" s="119" t="str">
        <f>IFERROR(IF((AI74/FORMULACIÓN!AJ74)&lt;&gt;0,AI74/FORMULACIÓN!AJ74,0),"")</f>
        <v/>
      </c>
      <c r="BC74" s="120" t="str">
        <f>IF('SEGUIMIENTO Y EVALUACIÓN'!AI74=0,0,TEXT('SEGUIMIENTO Y EVALUACIÓN'!AI74,"$ ##.###")&amp;" / "&amp;TEXT(FORMULACIÓN!AK74,"$ ##.###"))</f>
        <v xml:space="preserve"> / $ 2.221.792.061</v>
      </c>
      <c r="BD74" s="57">
        <f>IFERROR(IF((AJ74/FORMULACIÓN!AK74)&lt;&gt;0,AJ74/FORMULACIÓN!AK74,0),0)</f>
        <v>0</v>
      </c>
      <c r="BJ74"/>
      <c r="BK74"/>
      <c r="CL74" s="7"/>
    </row>
    <row r="75" spans="1:90" s="1" customFormat="1" ht="67.5">
      <c r="A75" s="45">
        <f>IF(FORMULACIÓN!A75="","",FORMULACIÓN!A75)</f>
        <v>64</v>
      </c>
      <c r="B75" s="45" t="str">
        <f>IF(FORMULACIÓN!B75="","",FORMULACIÓN!B75)</f>
        <v>L2 - Investigación y Redes de conocimiento para el desarrollo de la sociedad</v>
      </c>
      <c r="C75" s="45" t="str">
        <f>IF(FORMULACIÓN!E75="","",FORMULACIÓN!E75)</f>
        <v>M1 - Creación o investigación creación.</v>
      </c>
      <c r="D75" s="45" t="str">
        <f>IF(FORMULACIÓN!F75="","",FORMULACIÓN!F75)</f>
        <v xml:space="preserve">Fortalecer y visibilizar el impacto de la creación e investigación para las industrias creativas y culturales con miras a disminuir la brecha en la generación de conocimiento en el sector de las artes y el patrimonio cultural, con 28 proyectos que aprobados en convocatorias internas y/o externas, asimismo categorizar 3 grupo en A1, 2 grupos en A, 3 grupos en B </v>
      </c>
      <c r="E75" s="45" t="str">
        <f>IF(FORMULACIÓN!G75="","",FORMULACIÓN!G75)</f>
        <v>Participación de proyectos de creación o investigación creación en convocatorias internas y externas</v>
      </c>
      <c r="F75" s="45" t="str">
        <f>IF(FORMULACIÓN!H75="","",FORMULACIÓN!H75)</f>
        <v xml:space="preserve">N° de proyectos de creación o investigación creación aprobados mediante convocatorias externas </v>
      </c>
      <c r="G75" s="45" t="str">
        <f>IF(FORMULACIÓN!I75="","",FORMULACIÓN!I75)</f>
        <v>Unidad</v>
      </c>
      <c r="H75" s="45" t="str">
        <f>IF(FORMULACIÓN!J75="","",FORMULACIÓN!J75)</f>
        <v>Nuevo gestionado durante la vigencia</v>
      </c>
      <c r="I75" s="188" t="str">
        <f ca="1">IF($G75=Lists!$R$3,"PDI: "&amp;TEXT(FORMULACIÓN!Q75,"00,00%")&amp;CHAR(10)&amp;CHAR(10)&amp;"T1: "&amp;TEXT(FORMULACIÓN!L75,"00,00%")&amp;CHAR(10)&amp;"T2: "&amp;TEXT(FORMULACIÓN!M75,"00,00%")&amp;CHAR(10)&amp;"T3: "&amp;TEXT(FORMULACIÓN!N75,"00,00%")&amp;CHAR(10)&amp;"Tn: "&amp;TEXT(FORMULACIÓN!O75,"00,00%"),IF(FORMULACIÓN!Q75=0,0,"PDI: "&amp;TEXT(FORMULACIÓN!Q75,"##.###")&amp;CHAR(10)&amp;CHAR(10)&amp;"T1: "&amp;TEXT(FORMULACIÓN!L75,"##.###")&amp;CHAR(10)&amp;"T2: "&amp;TEXT(FORMULACIÓN!M75,"##.###")&amp;CHAR(10)&amp;"T3: "&amp;TEXT(FORMULACIÓN!N75,"##.###")&amp;CHAR(10)&amp;"Tn: "&amp;TEXT(FORMULACIÓN!O75,"##.###")))</f>
        <v>PDI: 8
T1: 2
T2: 3
T3: 2
Tn: 1</v>
      </c>
      <c r="J75" s="122">
        <f>IF(FORMULACIÓN!K75&lt;&gt;"",FORMULACIÓN!K75,"")</f>
        <v>3</v>
      </c>
      <c r="K75" s="310">
        <v>16</v>
      </c>
      <c r="L75" s="58"/>
      <c r="M75" s="58"/>
      <c r="N75" s="58"/>
      <c r="O75" s="47">
        <f ca="1">IFERROR(IF($H75=Lists!$S$2,SUM('SEGUIMIENTO Y EVALUACIÓN'!J75:N75),IF('SEGUIMIENTO Y EVALUACIÓN'!$H75=Lists!$S$3,SUM('SEGUIMIENTO Y EVALUACIÓN'!K75:N75),IF('SEGUIMIENTO Y EVALUACIÓN'!$H75=Lists!$S$4,AVERAGE('SEGUIMIENTO Y EVALUACIÓN'!K75:N75),IF('SEGUIMIENTO Y EVALUACIÓN'!$H75=Lists!$S$5,OFFSET(J75,0,COUNTA(K75:N75)),IF($H75=Lists!$S$6,COUNTIF(K75:N75,"&lt;"&amp;FORMULACIÓN!Q75)/COUNT('SEGUIMIENTO Y EVALUACIÓN'!K75:N75),""))))),"")</f>
        <v>16</v>
      </c>
      <c r="P75" s="51" t="str">
        <f ca="1">IF($G75=Lists!$R$3,TEXT('SEGUIMIENTO Y EVALUACIÓN'!O75,"00,00%"),IF('SEGUIMIENTO Y EVALUACIÓN'!O75=0,0,TEXT('SEGUIMIENTO Y EVALUACIÓN'!O75,"##.###")))</f>
        <v>16</v>
      </c>
      <c r="Q75" s="209" t="str">
        <f>IF(FORMULACIÓN!R75&lt;&gt;"",FORMULACIÓN!R75,"")</f>
        <v>P1 - Desarrollo de las artes, la creación y la investigación creación</v>
      </c>
      <c r="R75" s="209">
        <f>IF(FORMULACIÓN!S75&lt;&gt;"",FORMULACIÓN!S75,"")</f>
        <v>0.05</v>
      </c>
      <c r="S75" s="209" t="str">
        <f>IF(FORMULACIÓN!T75&lt;&gt;"",FORMULACIÓN!T75,"")</f>
        <v>Vicerrector de Investigación, Extensión y Proyección Social</v>
      </c>
      <c r="T75" s="42"/>
      <c r="U75" s="42"/>
      <c r="V75" s="42"/>
      <c r="W75" s="43" t="str">
        <f t="shared" si="0"/>
        <v/>
      </c>
      <c r="X75" s="42"/>
      <c r="Y75" s="42"/>
      <c r="Z75" s="42"/>
      <c r="AA75" s="43" t="str">
        <f t="shared" si="1"/>
        <v/>
      </c>
      <c r="AB75" s="42"/>
      <c r="AC75" s="42"/>
      <c r="AD75" s="42"/>
      <c r="AE75" s="43" t="str">
        <f t="shared" si="2"/>
        <v/>
      </c>
      <c r="AF75" s="42"/>
      <c r="AG75" s="42"/>
      <c r="AH75" s="42"/>
      <c r="AI75" s="46" t="str">
        <f t="shared" si="3"/>
        <v/>
      </c>
      <c r="AJ75" s="46" t="str">
        <f>IF(SUM(AA75,AE75,W75,AI75)=0,"",SUM((AA75,AE75,W75,AI75)))</f>
        <v/>
      </c>
      <c r="AK75"/>
      <c r="AL75" s="1" t="str">
        <f t="shared" si="7"/>
        <v>L2M1P1</v>
      </c>
      <c r="AM75" s="56" t="str">
        <f t="shared" si="8"/>
        <v>Participación de proyectos de creación o investigación creación en convocatorias internas y externas</v>
      </c>
      <c r="AN75" s="112" t="str">
        <f ca="1">IF($G75=Lists!$R$3,"T1: "&amp;TEXT(FORMULACIÓN!L75,"00,00%")&amp;CHAR(10)&amp;"T2: "&amp;TEXT(FORMULACIÓN!M75,"00,00%")&amp;CHAR(10)&amp;"T3: "&amp;TEXT(FORMULACIÓN!N75,"00,00%")&amp;CHAR(10)&amp;"Tn: "&amp;TEXT(FORMULACIÓN!O75,"00,00%"),IF(FORMULACIÓN!Q75=0,0,"T1: "&amp;TEXT(FORMULACIÓN!L75,"##.###")&amp;CHAR(10)&amp;"T2: "&amp;TEXT(FORMULACIÓN!M75,"##.###")&amp;CHAR(10)&amp;"T3: "&amp;TEXT(FORMULACIÓN!N75,"##.###")&amp;CHAR(10)&amp;"Tn: "&amp;TEXT(FORMULACIÓN!O75,"##.###")))</f>
        <v>T1: 2
T2: 3
T3: 2
Tn: 1</v>
      </c>
      <c r="AO75" s="117">
        <f>IFERROR(IF($H75=Lists!$S$6,IF(AND(FORMULACIÓN!L75&gt;K75,K75&gt;0),1,0),IF((K75/FORMULACIÓN!L75)&lt;&gt;0,K75/FORMULACIÓN!L75,0)),"")</f>
        <v>8</v>
      </c>
      <c r="AP75" s="117">
        <f>IFERROR(IF($H75=Lists!$S$6,IF(AND(FORMULACIÓN!M75&gt;L75,L75&gt;0),1,0),IF((L75/FORMULACIÓN!M75)&lt;&gt;0,L75/FORMULACIÓN!M75,0)),"")</f>
        <v>0</v>
      </c>
      <c r="AQ75" s="117">
        <f>IFERROR(IF($H75=Lists!$S$6,IF(AND(FORMULACIÓN!N75&gt;M75,M75&gt;0),1,0),IF((M75/FORMULACIÓN!N75)&lt;&gt;0,M75/FORMULACIÓN!N75,0)),"")</f>
        <v>0</v>
      </c>
      <c r="AR75" s="117">
        <f>IFERROR(IF($H75=Lists!$S$6,IF(AND(FORMULACIÓN!O75&gt;N75,N75&gt;0),1,0),IF((N75/FORMULACIÓN!O75)&lt;&gt;0,N75/FORMULACIÓN!O75,0)),"")</f>
        <v>0</v>
      </c>
      <c r="AS75" s="110"/>
      <c r="AT75" s="118" t="str">
        <f ca="1">IF($H75=Lists!$S$6,TEXT(COUNTIF('SEGUIMIENTO Y EVALUACIÓN'!K75:N75,"&lt;"&amp;FORMULACIÓN!Q75),"##.###")&amp;" / "&amp;TEXT(COUNTIF('SEGUIMIENTO Y EVALUACIÓN'!K75:N75,"&gt;"&amp;0),"##.###"),IF($G75=Lists!$R$3,TEXT('SEGUIMIENTO Y EVALUACIÓN'!O75,"00,00%")&amp;" / "&amp;TEXT(FORMULACIÓN!P75,"00,00%"),IF('SEGUIMIENTO Y EVALUACIÓN'!O75=0,0,TEXT('SEGUIMIENTO Y EVALUACIÓN'!O75,"##.###")&amp;" / "&amp;TEXT(FORMULACIÓN!P75,"##.###"))))</f>
        <v>16 / 8</v>
      </c>
      <c r="AU75" s="57">
        <f ca="1">IFERROR(IF((P75/FORMULACIÓN!Q75)&lt;&gt;0,IF($H75=Lists!$S$6,COUNTIF('SEGUIMIENTO Y EVALUACIÓN'!K75:N75,"&lt;"&amp;FORMULACIÓN!Q75),'SEGUIMIENTO Y EVALUACIÓN'!P75)/IF($H75=Lists!$S$6,COUNTIF('SEGUIMIENTO Y EVALUACIÓN'!K75:N75,"&gt;"&amp;0),FORMULACIÓN!P75),0),0)</f>
        <v>2</v>
      </c>
      <c r="AV75" s="93">
        <f t="shared" ca="1" si="6"/>
        <v>0.05</v>
      </c>
      <c r="AW75" s="93" cm="1">
        <f t="array" ref="AW75">IF(INDEX(AO75:AU75,1,$AV$3)&gt;1,IF($AU$2=1,1,INDEX(AO75:AU75,1,$AV$3)),INDEX(AO75:AU75,1,$AV$3))</f>
        <v>1</v>
      </c>
      <c r="AX75"/>
      <c r="AY75" s="119" t="str">
        <f>IFERROR(IF((W75/FORMULACIÓN!X75)&lt;&gt;0,W75/FORMULACIÓN!X75,0),"")</f>
        <v/>
      </c>
      <c r="AZ75" s="119" t="str">
        <f>IFERROR(IF((AA75/FORMULACIÓN!AB75)&lt;&gt;0,AA75/FORMULACIÓN!AB75,0),"")</f>
        <v/>
      </c>
      <c r="BA75" s="119" t="str">
        <f>IFERROR(IF((AE75/FORMULACIÓN!AF75)&lt;&gt;0,(AE75/FORMULACIÓN!AF75),0),"")</f>
        <v/>
      </c>
      <c r="BB75" s="119" t="str">
        <f>IFERROR(IF((AI75/FORMULACIÓN!AJ75)&lt;&gt;0,AI75/FORMULACIÓN!AJ75,0),"")</f>
        <v/>
      </c>
      <c r="BC75" s="120" t="str">
        <f>IF('SEGUIMIENTO Y EVALUACIÓN'!AI75=0,0,TEXT('SEGUIMIENTO Y EVALUACIÓN'!AI75,"$ ##.###")&amp;" / "&amp;TEXT(FORMULACIÓN!AK75,"$ ##.###"))</f>
        <v xml:space="preserve"> / $ 3.665.956.901</v>
      </c>
      <c r="BD75" s="57">
        <f>IFERROR(IF((AJ75/FORMULACIÓN!AK75)&lt;&gt;0,AJ75/FORMULACIÓN!AK75,0),0)</f>
        <v>0</v>
      </c>
      <c r="BJ75"/>
      <c r="BK75"/>
      <c r="CL75" s="7"/>
    </row>
    <row r="76" spans="1:90" s="1" customFormat="1" ht="67.5">
      <c r="A76" s="45">
        <f>IF(FORMULACIÓN!A76="","",FORMULACIÓN!A76)</f>
        <v>65</v>
      </c>
      <c r="B76" s="45" t="str">
        <f>IF(FORMULACIÓN!B76="","",FORMULACIÓN!B76)</f>
        <v>L2 - Investigación y Redes de conocimiento para el desarrollo de la sociedad</v>
      </c>
      <c r="C76" s="45" t="str">
        <f>IF(FORMULACIÓN!E76="","",FORMULACIÓN!E76)</f>
        <v>M1 - Creación o investigación creación.</v>
      </c>
      <c r="D76" s="45" t="str">
        <f>IF(FORMULACIÓN!F76="","",FORMULACIÓN!F76)</f>
        <v xml:space="preserve">Fortalecer y visibilizar el impacto de la creación e investigación para las industrias creativas y culturales con miras a disminuir la brecha en la generación de conocimiento en el sector de las artes y el patrimonio cultural, con 28 proyectos que aprobados en convocatorias internas y/o externas, asimismo categorizar 3 grupo en A1, 2 grupos en A, 3 grupos en B </v>
      </c>
      <c r="E76" s="45" t="str">
        <f>IF(FORMULACIÓN!G76="","",FORMULACIÓN!G76)</f>
        <v>Grupos de investigación en industrias creativas y culturales categorizados en A1, A y B</v>
      </c>
      <c r="F76" s="45" t="str">
        <f>IF(FORMULACIÓN!H76="","",FORMULACIÓN!H76)</f>
        <v>N° de Grupos de investigación en industrias creativas y culturales categorizados en A1, A y B</v>
      </c>
      <c r="G76" s="45" t="str">
        <f>IF(FORMULACIÓN!I76="","",FORMULACIÓN!I76)</f>
        <v>Unidad</v>
      </c>
      <c r="H76" s="45" t="str">
        <f>IF(FORMULACIÓN!J76="","",FORMULACIÓN!J76)</f>
        <v>Acumulado</v>
      </c>
      <c r="I76" s="188" t="str">
        <f ca="1">IF($G76=Lists!$R$3,"PDI: "&amp;TEXT(FORMULACIÓN!Q76,"00,00%")&amp;CHAR(10)&amp;CHAR(10)&amp;"T1: "&amp;TEXT(FORMULACIÓN!L76,"00,00%")&amp;CHAR(10)&amp;"T2: "&amp;TEXT(FORMULACIÓN!M76,"00,00%")&amp;CHAR(10)&amp;"T3: "&amp;TEXT(FORMULACIÓN!N76,"00,00%")&amp;CHAR(10)&amp;"Tn: "&amp;TEXT(FORMULACIÓN!O76,"00,00%"),IF(FORMULACIÓN!Q76=0,0,"PDI: "&amp;TEXT(FORMULACIÓN!Q76,"##.###")&amp;CHAR(10)&amp;CHAR(10)&amp;"T1: "&amp;TEXT(FORMULACIÓN!L76,"##.###")&amp;CHAR(10)&amp;"T2: "&amp;TEXT(FORMULACIÓN!M76,"##.###")&amp;CHAR(10)&amp;"T3: "&amp;TEXT(FORMULACIÓN!N76,"##.###")&amp;CHAR(10)&amp;"Tn: "&amp;TEXT(FORMULACIÓN!O76,"##.###")))</f>
        <v xml:space="preserve">PDI: 8
T1: 
T2: 2
T3: 2
Tn: </v>
      </c>
      <c r="J76" s="122">
        <f>IF(FORMULACIÓN!K76&lt;&gt;"",FORMULACIÓN!K76,"")</f>
        <v>4</v>
      </c>
      <c r="K76" s="310">
        <v>0</v>
      </c>
      <c r="L76" s="58"/>
      <c r="M76" s="58"/>
      <c r="N76" s="58"/>
      <c r="O76" s="47">
        <f ca="1">IFERROR(IF($H76=Lists!$S$2,SUM('SEGUIMIENTO Y EVALUACIÓN'!J76:N76),IF('SEGUIMIENTO Y EVALUACIÓN'!$H76=Lists!$S$3,SUM('SEGUIMIENTO Y EVALUACIÓN'!K76:N76),IF('SEGUIMIENTO Y EVALUACIÓN'!$H76=Lists!$S$4,AVERAGE('SEGUIMIENTO Y EVALUACIÓN'!K76:N76),IF('SEGUIMIENTO Y EVALUACIÓN'!$H76=Lists!$S$5,OFFSET(J76,0,COUNTA(K76:N76)),IF($H76=Lists!$S$6,COUNTIF(K76:N76,"&lt;"&amp;FORMULACIÓN!Q76)/COUNT('SEGUIMIENTO Y EVALUACIÓN'!K76:N76),""))))),"")</f>
        <v>4</v>
      </c>
      <c r="P76" s="51" t="str">
        <f ca="1">IF($G76=Lists!$R$3,TEXT('SEGUIMIENTO Y EVALUACIÓN'!O76,"00,00%"),IF('SEGUIMIENTO Y EVALUACIÓN'!O76=0,0,TEXT('SEGUIMIENTO Y EVALUACIÓN'!O76,"##.###")))</f>
        <v>4</v>
      </c>
      <c r="Q76" s="209" t="str">
        <f>IF(FORMULACIÓN!R76&lt;&gt;"",FORMULACIÓN!R76,"")</f>
        <v>P1 - Desarrollo de las artes, la creación y la investigación creación</v>
      </c>
      <c r="R76" s="209">
        <f>IF(FORMULACIÓN!S76&lt;&gt;"",FORMULACIÓN!S76,"")</f>
        <v>0.05</v>
      </c>
      <c r="S76" s="209" t="str">
        <f>IF(FORMULACIÓN!T76&lt;&gt;"",FORMULACIÓN!T76,"")</f>
        <v>Vicerrector de Investigación, Extensión y Proyección Social</v>
      </c>
      <c r="T76" s="42"/>
      <c r="U76" s="42"/>
      <c r="V76" s="42"/>
      <c r="W76" s="43" t="str">
        <f t="shared" ref="W76:W139" si="9">IF(SUM(T76:V76)=0,"",SUM(T76:V76))</f>
        <v/>
      </c>
      <c r="X76" s="42"/>
      <c r="Y76" s="42"/>
      <c r="Z76" s="42"/>
      <c r="AA76" s="43" t="str">
        <f t="shared" ref="AA76:AA139" si="10">IF(SUM(X76:Z76)=0,"",SUM(X76:Z76))</f>
        <v/>
      </c>
      <c r="AB76" s="42"/>
      <c r="AC76" s="42"/>
      <c r="AD76" s="42"/>
      <c r="AE76" s="43" t="str">
        <f t="shared" ref="AE76:AE139" si="11">IF(SUM(AB76:AD76)=0,"",SUM(AB76:AD76))</f>
        <v/>
      </c>
      <c r="AF76" s="42"/>
      <c r="AG76" s="42"/>
      <c r="AH76" s="42"/>
      <c r="AI76" s="46" t="str">
        <f t="shared" ref="AI76:AI139" si="12">IF(SUM(AF76:AH76)=0,"",SUM(AF76:AH76))</f>
        <v/>
      </c>
      <c r="AJ76" s="46" t="str">
        <f>IF(SUM(AA76,AE76,W76,AI76)=0,"",SUM((AA76,AE76,W76,AI76)))</f>
        <v/>
      </c>
      <c r="AK76"/>
      <c r="AL76" s="1" t="str">
        <f t="shared" ref="AL76:AL107" si="13">LEFT($B76,2)&amp;LEFT($C76,2)&amp;LEFT($Q76,2)</f>
        <v>L2M1P1</v>
      </c>
      <c r="AM76" s="56" t="str">
        <f t="shared" ref="AM76:AM107" si="14">E76</f>
        <v>Grupos de investigación en industrias creativas y culturales categorizados en A1, A y B</v>
      </c>
      <c r="AN76" s="112" t="str">
        <f ca="1">IF($G76=Lists!$R$3,"T1: "&amp;TEXT(FORMULACIÓN!L76,"00,00%")&amp;CHAR(10)&amp;"T2: "&amp;TEXT(FORMULACIÓN!M76,"00,00%")&amp;CHAR(10)&amp;"T3: "&amp;TEXT(FORMULACIÓN!N76,"00,00%")&amp;CHAR(10)&amp;"Tn: "&amp;TEXT(FORMULACIÓN!O76,"00,00%"),IF(FORMULACIÓN!Q76=0,0,"T1: "&amp;TEXT(FORMULACIÓN!L76,"##.###")&amp;CHAR(10)&amp;"T2: "&amp;TEXT(FORMULACIÓN!M76,"##.###")&amp;CHAR(10)&amp;"T3: "&amp;TEXT(FORMULACIÓN!N76,"##.###")&amp;CHAR(10)&amp;"Tn: "&amp;TEXT(FORMULACIÓN!O76,"##.###")))</f>
        <v xml:space="preserve">T1: 
T2: 2
T3: 2
Tn: </v>
      </c>
      <c r="AO76" s="117" t="str">
        <f>IFERROR(IF($H76=Lists!$S$6,IF(AND(FORMULACIÓN!L76&gt;K76,K76&gt;0),1,0),IF((K76/FORMULACIÓN!L76)&lt;&gt;0,K76/FORMULACIÓN!L76,0)),"")</f>
        <v/>
      </c>
      <c r="AP76" s="117">
        <f>IFERROR(IF($H76=Lists!$S$6,IF(AND(FORMULACIÓN!M76&gt;L76,L76&gt;0),1,0),IF((L76/FORMULACIÓN!M76)&lt;&gt;0,L76/FORMULACIÓN!M76,0)),"")</f>
        <v>0</v>
      </c>
      <c r="AQ76" s="117">
        <f>IFERROR(IF($H76=Lists!$S$6,IF(AND(FORMULACIÓN!N76&gt;M76,M76&gt;0),1,0),IF((M76/FORMULACIÓN!N76)&lt;&gt;0,M76/FORMULACIÓN!N76,0)),"")</f>
        <v>0</v>
      </c>
      <c r="AR76" s="117" t="str">
        <f>IFERROR(IF($H76=Lists!$S$6,IF(AND(FORMULACIÓN!O76&gt;N76,N76&gt;0),1,0),IF((N76/FORMULACIÓN!O76)&lt;&gt;0,N76/FORMULACIÓN!O76,0)),"")</f>
        <v/>
      </c>
      <c r="AS76" s="110"/>
      <c r="AT76" s="118" t="str">
        <f ca="1">IF($H76=Lists!$S$6,TEXT(COUNTIF('SEGUIMIENTO Y EVALUACIÓN'!K76:N76,"&lt;"&amp;FORMULACIÓN!Q76),"##.###")&amp;" / "&amp;TEXT(COUNTIF('SEGUIMIENTO Y EVALUACIÓN'!K76:N76,"&gt;"&amp;0),"##.###"),IF($G76=Lists!$R$3,TEXT('SEGUIMIENTO Y EVALUACIÓN'!O76,"00,00%")&amp;" / "&amp;TEXT(FORMULACIÓN!P76,"00,00%"),IF('SEGUIMIENTO Y EVALUACIÓN'!O76=0,0,TEXT('SEGUIMIENTO Y EVALUACIÓN'!O76,"##.###")&amp;" / "&amp;TEXT(FORMULACIÓN!P76,"##.###"))))</f>
        <v>4 / 8</v>
      </c>
      <c r="AU76" s="57">
        <f ca="1">IFERROR(IF((P76/FORMULACIÓN!Q76)&lt;&gt;0,IF($H76=Lists!$S$6,COUNTIF('SEGUIMIENTO Y EVALUACIÓN'!K76:N76,"&lt;"&amp;FORMULACIÓN!Q76),'SEGUIMIENTO Y EVALUACIÓN'!P76)/IF($H76=Lists!$S$6,COUNTIF('SEGUIMIENTO Y EVALUACIÓN'!K76:N76,"&gt;"&amp;0),FORMULACIÓN!P76),0),0)</f>
        <v>0.5</v>
      </c>
      <c r="AV76" s="93">
        <f t="shared" ca="1" si="6"/>
        <v>2.5000000000000001E-2</v>
      </c>
      <c r="AW76" s="93" cm="1">
        <f t="array" ref="AW76">IF(INDEX(AO76:AU76,1,$AV$3)&gt;1,IF($AU$2=1,1,INDEX(AO76:AU76,1,$AV$3)),INDEX(AO76:AU76,1,$AV$3))</f>
        <v>1</v>
      </c>
      <c r="AX76"/>
      <c r="AY76" s="119" t="str">
        <f>IFERROR(IF((W76/FORMULACIÓN!X76)&lt;&gt;0,W76/FORMULACIÓN!X76,0),"")</f>
        <v/>
      </c>
      <c r="AZ76" s="119" t="str">
        <f>IFERROR(IF((AA76/FORMULACIÓN!AB76)&lt;&gt;0,AA76/FORMULACIÓN!AB76,0),"")</f>
        <v/>
      </c>
      <c r="BA76" s="119" t="str">
        <f>IFERROR(IF((AE76/FORMULACIÓN!AF76)&lt;&gt;0,(AE76/FORMULACIÓN!AF76),0),"")</f>
        <v/>
      </c>
      <c r="BB76" s="119" t="str">
        <f>IFERROR(IF((AI76/FORMULACIÓN!AJ76)&lt;&gt;0,AI76/FORMULACIÓN!AJ76,0),"")</f>
        <v/>
      </c>
      <c r="BC76" s="120" t="str">
        <f>IF('SEGUIMIENTO Y EVALUACIÓN'!AI76=0,0,TEXT('SEGUIMIENTO Y EVALUACIÓN'!AI76,"$ ##.###")&amp;" / "&amp;TEXT(FORMULACIÓN!AK76,"$ ##.###"))</f>
        <v xml:space="preserve"> / $ 666.537.618</v>
      </c>
      <c r="BD76" s="57">
        <f>IFERROR(IF((AJ76/FORMULACIÓN!AK76)&lt;&gt;0,AJ76/FORMULACIÓN!AK76,0),0)</f>
        <v>0</v>
      </c>
      <c r="BJ76"/>
      <c r="BK76"/>
      <c r="CL76" s="7"/>
    </row>
    <row r="77" spans="1:90" s="1" customFormat="1" ht="67.5">
      <c r="A77" s="45">
        <f>IF(FORMULACIÓN!A77="","",FORMULACIÓN!A77)</f>
        <v>66</v>
      </c>
      <c r="B77" s="45" t="str">
        <f>IF(FORMULACIÓN!B77="","",FORMULACIÓN!B77)</f>
        <v>L2 - Investigación y Redes de conocimiento para el desarrollo de la sociedad</v>
      </c>
      <c r="C77" s="45" t="str">
        <f>IF(FORMULACIÓN!E77="","",FORMULACIÓN!E77)</f>
        <v>M1 - Creación o investigación creación.</v>
      </c>
      <c r="D77" s="45" t="str">
        <f>IF(FORMULACIÓN!F77="","",FORMULACIÓN!F77)</f>
        <v>Consolidar e implementar el laboratorio de investigación creación para las áreas artísticas logrando 10 convenios interinstitucionales y 20 productos articulados en redes</v>
      </c>
      <c r="E77" s="45" t="str">
        <f>IF(FORMULACIÓN!G77="","",FORMULACIÓN!G77)</f>
        <v>Convenios interinstitucionales y productos derivados del trabajo en redes</v>
      </c>
      <c r="F77" s="45" t="str">
        <f>IF(FORMULACIÓN!H77="","",FORMULACIÓN!H77)</f>
        <v>N° de convenios interinstitucionales gestionados</v>
      </c>
      <c r="G77" s="45" t="str">
        <f>IF(FORMULACIÓN!I77="","",FORMULACIÓN!I77)</f>
        <v>Unidad</v>
      </c>
      <c r="H77" s="45" t="str">
        <f>IF(FORMULACIÓN!J77="","",FORMULACIÓN!J77)</f>
        <v>Nuevo gestionado durante la vigencia</v>
      </c>
      <c r="I77" s="188" t="str">
        <f ca="1">IF($G77=Lists!$R$3,"PDI: "&amp;TEXT(FORMULACIÓN!Q77,"00,00%")&amp;CHAR(10)&amp;CHAR(10)&amp;"T1: "&amp;TEXT(FORMULACIÓN!L77,"00,00%")&amp;CHAR(10)&amp;"T2: "&amp;TEXT(FORMULACIÓN!M77,"00,00%")&amp;CHAR(10)&amp;"T3: "&amp;TEXT(FORMULACIÓN!N77,"00,00%")&amp;CHAR(10)&amp;"Tn: "&amp;TEXT(FORMULACIÓN!O77,"00,00%"),IF(FORMULACIÓN!Q77=0,0,"PDI: "&amp;TEXT(FORMULACIÓN!Q77,"##.###")&amp;CHAR(10)&amp;CHAR(10)&amp;"T1: "&amp;TEXT(FORMULACIÓN!L77,"##.###")&amp;CHAR(10)&amp;"T2: "&amp;TEXT(FORMULACIÓN!M77,"##.###")&amp;CHAR(10)&amp;"T3: "&amp;TEXT(FORMULACIÓN!N77,"##.###")&amp;CHAR(10)&amp;"Tn: "&amp;TEXT(FORMULACIÓN!O77,"##.###")))</f>
        <v>PDI: 10
T1: 3
T2: 3
T3: 3
Tn: 1</v>
      </c>
      <c r="J77" s="122">
        <f>IF(FORMULACIÓN!K77&lt;&gt;"",FORMULACIÓN!K77,"")</f>
        <v>1</v>
      </c>
      <c r="K77" s="310">
        <v>1</v>
      </c>
      <c r="L77" s="58"/>
      <c r="M77" s="58"/>
      <c r="N77" s="58"/>
      <c r="O77" s="47">
        <f ca="1">IFERROR(IF($H77=Lists!$S$2,SUM('SEGUIMIENTO Y EVALUACIÓN'!J77:N77),IF('SEGUIMIENTO Y EVALUACIÓN'!$H77=Lists!$S$3,SUM('SEGUIMIENTO Y EVALUACIÓN'!K77:N77),IF('SEGUIMIENTO Y EVALUACIÓN'!$H77=Lists!$S$4,AVERAGE('SEGUIMIENTO Y EVALUACIÓN'!K77:N77),IF('SEGUIMIENTO Y EVALUACIÓN'!$H77=Lists!$S$5,OFFSET(J77,0,COUNTA(K77:N77)),IF($H77=Lists!$S$6,COUNTIF(K77:N77,"&lt;"&amp;FORMULACIÓN!Q77)/COUNT('SEGUIMIENTO Y EVALUACIÓN'!K77:N77),""))))),"")</f>
        <v>1</v>
      </c>
      <c r="P77" s="51" t="str">
        <f ca="1">IF($G77=Lists!$R$3,TEXT('SEGUIMIENTO Y EVALUACIÓN'!O77,"00,00%"),IF('SEGUIMIENTO Y EVALUACIÓN'!O77=0,0,TEXT('SEGUIMIENTO Y EVALUACIÓN'!O77,"##.###")))</f>
        <v>1</v>
      </c>
      <c r="Q77" s="209" t="str">
        <f>IF(FORMULACIÓN!R77&lt;&gt;"",FORMULACIÓN!R77,"")</f>
        <v xml:space="preserve">P2 - Laboratorio de investigación creación </v>
      </c>
      <c r="R77" s="209">
        <f>IF(FORMULACIÓN!S77&lt;&gt;"",FORMULACIÓN!S77,"")</f>
        <v>7.4999999999999997E-2</v>
      </c>
      <c r="S77" s="209" t="str">
        <f>IF(FORMULACIÓN!T77&lt;&gt;"",FORMULACIÓN!T77,"")</f>
        <v>Vicerrector de Investigación, Extensión y Proyección Social</v>
      </c>
      <c r="T77" s="42"/>
      <c r="U77" s="42"/>
      <c r="V77" s="42"/>
      <c r="W77" s="43" t="str">
        <f t="shared" si="9"/>
        <v/>
      </c>
      <c r="X77" s="42"/>
      <c r="Y77" s="42"/>
      <c r="Z77" s="42"/>
      <c r="AA77" s="43" t="str">
        <f t="shared" si="10"/>
        <v/>
      </c>
      <c r="AB77" s="42"/>
      <c r="AC77" s="42"/>
      <c r="AD77" s="42"/>
      <c r="AE77" s="43" t="str">
        <f t="shared" si="11"/>
        <v/>
      </c>
      <c r="AF77" s="42"/>
      <c r="AG77" s="42"/>
      <c r="AH77" s="42"/>
      <c r="AI77" s="46" t="str">
        <f t="shared" si="12"/>
        <v/>
      </c>
      <c r="AJ77" s="46" t="str">
        <f>IF(SUM(AA77,AE77,W77,AI77)=0,"",SUM((AA77,AE77,W77,AI77)))</f>
        <v/>
      </c>
      <c r="AK77"/>
      <c r="AL77" s="1" t="str">
        <f t="shared" si="13"/>
        <v>L2M1P2</v>
      </c>
      <c r="AM77" s="56" t="str">
        <f t="shared" si="14"/>
        <v>Convenios interinstitucionales y productos derivados del trabajo en redes</v>
      </c>
      <c r="AN77" s="112" t="str">
        <f ca="1">IF($G77=Lists!$R$3,"T1: "&amp;TEXT(FORMULACIÓN!L77,"00,00%")&amp;CHAR(10)&amp;"T2: "&amp;TEXT(FORMULACIÓN!M77,"00,00%")&amp;CHAR(10)&amp;"T3: "&amp;TEXT(FORMULACIÓN!N77,"00,00%")&amp;CHAR(10)&amp;"Tn: "&amp;TEXT(FORMULACIÓN!O77,"00,00%"),IF(FORMULACIÓN!Q77=0,0,"T1: "&amp;TEXT(FORMULACIÓN!L77,"##.###")&amp;CHAR(10)&amp;"T2: "&amp;TEXT(FORMULACIÓN!M77,"##.###")&amp;CHAR(10)&amp;"T3: "&amp;TEXT(FORMULACIÓN!N77,"##.###")&amp;CHAR(10)&amp;"Tn: "&amp;TEXT(FORMULACIÓN!O77,"##.###")))</f>
        <v>T1: 3
T2: 3
T3: 3
Tn: 1</v>
      </c>
      <c r="AO77" s="117">
        <f>IFERROR(IF($H77=Lists!$S$6,IF(AND(FORMULACIÓN!L77&gt;K77,K77&gt;0),1,0),IF((K77/FORMULACIÓN!L77)&lt;&gt;0,K77/FORMULACIÓN!L77,0)),"")</f>
        <v>0.33333333333333331</v>
      </c>
      <c r="AP77" s="117">
        <f>IFERROR(IF($H77=Lists!$S$6,IF(AND(FORMULACIÓN!M77&gt;L77,L77&gt;0),1,0),IF((L77/FORMULACIÓN!M77)&lt;&gt;0,L77/FORMULACIÓN!M77,0)),"")</f>
        <v>0</v>
      </c>
      <c r="AQ77" s="117">
        <f>IFERROR(IF($H77=Lists!$S$6,IF(AND(FORMULACIÓN!N77&gt;M77,M77&gt;0),1,0),IF((M77/FORMULACIÓN!N77)&lt;&gt;0,M77/FORMULACIÓN!N77,0)),"")</f>
        <v>0</v>
      </c>
      <c r="AR77" s="117">
        <f>IFERROR(IF($H77=Lists!$S$6,IF(AND(FORMULACIÓN!O77&gt;N77,N77&gt;0),1,0),IF((N77/FORMULACIÓN!O77)&lt;&gt;0,N77/FORMULACIÓN!O77,0)),"")</f>
        <v>0</v>
      </c>
      <c r="AS77" s="110"/>
      <c r="AT77" s="118" t="str">
        <f ca="1">IF($H77=Lists!$S$6,TEXT(COUNTIF('SEGUIMIENTO Y EVALUACIÓN'!K77:N77,"&lt;"&amp;FORMULACIÓN!Q77),"##.###")&amp;" / "&amp;TEXT(COUNTIF('SEGUIMIENTO Y EVALUACIÓN'!K77:N77,"&gt;"&amp;0),"##.###"),IF($G77=Lists!$R$3,TEXT('SEGUIMIENTO Y EVALUACIÓN'!O77,"00,00%")&amp;" / "&amp;TEXT(FORMULACIÓN!P77,"00,00%"),IF('SEGUIMIENTO Y EVALUACIÓN'!O77=0,0,TEXT('SEGUIMIENTO Y EVALUACIÓN'!O77,"##.###")&amp;" / "&amp;TEXT(FORMULACIÓN!P77,"##.###"))))</f>
        <v>1 / 10</v>
      </c>
      <c r="AU77" s="57">
        <f ca="1">IFERROR(IF((P77/FORMULACIÓN!Q77)&lt;&gt;0,IF($H77=Lists!$S$6,COUNTIF('SEGUIMIENTO Y EVALUACIÓN'!K77:N77,"&lt;"&amp;FORMULACIÓN!Q77),'SEGUIMIENTO Y EVALUACIÓN'!P77)/IF($H77=Lists!$S$6,COUNTIF('SEGUIMIENTO Y EVALUACIÓN'!K77:N77,"&gt;"&amp;0),FORMULACIÓN!P77),0),0)</f>
        <v>0.1</v>
      </c>
      <c r="AV77" s="93">
        <f t="shared" ref="AV77:AV140" ca="1" si="15">IFERROR(IF(AU77&gt;1,IF($AU$2=1,1,AU77),AU77)*R77,"")</f>
        <v>7.4999999999999997E-3</v>
      </c>
      <c r="AW77" s="93" cm="1">
        <f t="array" ref="AW77">IF(INDEX(AO77:AU77,1,$AV$3)&gt;1,IF($AU$2=1,1,INDEX(AO77:AU77,1,$AV$3)),INDEX(AO77:AU77,1,$AV$3))</f>
        <v>0.33333333333333331</v>
      </c>
      <c r="AX77"/>
      <c r="AY77" s="119" t="str">
        <f>IFERROR(IF((W77/FORMULACIÓN!X77)&lt;&gt;0,W77/FORMULACIÓN!X77,0),"")</f>
        <v/>
      </c>
      <c r="AZ77" s="119" t="str">
        <f>IFERROR(IF((AA77/FORMULACIÓN!AB77)&lt;&gt;0,AA77/FORMULACIÓN!AB77,0),"")</f>
        <v/>
      </c>
      <c r="BA77" s="119" t="str">
        <f>IFERROR(IF((AE77/FORMULACIÓN!AF77)&lt;&gt;0,(AE77/FORMULACIÓN!AF77),0),"")</f>
        <v/>
      </c>
      <c r="BB77" s="119" t="str">
        <f>IFERROR(IF((AI77/FORMULACIÓN!AJ77)&lt;&gt;0,AI77/FORMULACIÓN!AJ77,0),"")</f>
        <v/>
      </c>
      <c r="BC77" s="120" t="str">
        <f>IF('SEGUIMIENTO Y EVALUACIÓN'!AI77=0,0,TEXT('SEGUIMIENTO Y EVALUACIÓN'!AI77,"$ ##.###")&amp;" / "&amp;TEXT(FORMULACIÓN!AK77,"$ ##.###"))</f>
        <v xml:space="preserve"> / $ 1.110.896.031</v>
      </c>
      <c r="BD77" s="57">
        <f>IFERROR(IF((AJ77/FORMULACIÓN!AK77)&lt;&gt;0,AJ77/FORMULACIÓN!AK77,0),0)</f>
        <v>0</v>
      </c>
      <c r="BJ77"/>
      <c r="BK77"/>
      <c r="CL77" s="7"/>
    </row>
    <row r="78" spans="1:90" s="1" customFormat="1" ht="67.5">
      <c r="A78" s="45">
        <f>IF(FORMULACIÓN!A78="","",FORMULACIÓN!A78)</f>
        <v>67</v>
      </c>
      <c r="B78" s="45" t="str">
        <f>IF(FORMULACIÓN!B78="","",FORMULACIÓN!B78)</f>
        <v>L2 - Investigación y Redes de conocimiento para el desarrollo de la sociedad</v>
      </c>
      <c r="C78" s="45" t="str">
        <f>IF(FORMULACIÓN!E78="","",FORMULACIÓN!E78)</f>
        <v>M1 - Creación o investigación creación.</v>
      </c>
      <c r="D78" s="45" t="str">
        <f>IF(FORMULACIÓN!F78="","",FORMULACIÓN!F78)</f>
        <v>Consolidar e implementar el laboratorio de investigación creación para las áreas artísticas logrando 10 convenios interinstitucionales y 20 productos articulados en redes</v>
      </c>
      <c r="E78" s="45" t="str">
        <f>IF(FORMULACIÓN!G78="","",FORMULACIÓN!G78)</f>
        <v>Convenios interinstitucionales y productos derivados del trabajo en redes</v>
      </c>
      <c r="F78" s="45" t="str">
        <f>IF(FORMULACIÓN!H78="","",FORMULACIÓN!H78)</f>
        <v>N° de productos de áreas artísticas derivados del trabajo en redes</v>
      </c>
      <c r="G78" s="45" t="str">
        <f>IF(FORMULACIÓN!I78="","",FORMULACIÓN!I78)</f>
        <v>Unidad</v>
      </c>
      <c r="H78" s="45" t="str">
        <f>IF(FORMULACIÓN!J78="","",FORMULACIÓN!J78)</f>
        <v>Nuevo gestionado durante la vigencia</v>
      </c>
      <c r="I78" s="188" t="str">
        <f ca="1">IF($G78=Lists!$R$3,"PDI: "&amp;TEXT(FORMULACIÓN!Q78,"00,00%")&amp;CHAR(10)&amp;CHAR(10)&amp;"T1: "&amp;TEXT(FORMULACIÓN!L78,"00,00%")&amp;CHAR(10)&amp;"T2: "&amp;TEXT(FORMULACIÓN!M78,"00,00%")&amp;CHAR(10)&amp;"T3: "&amp;TEXT(FORMULACIÓN!N78,"00,00%")&amp;CHAR(10)&amp;"Tn: "&amp;TEXT(FORMULACIÓN!O78,"00,00%"),IF(FORMULACIÓN!Q78=0,0,"PDI: "&amp;TEXT(FORMULACIÓN!Q78,"##.###")&amp;CHAR(10)&amp;CHAR(10)&amp;"T1: "&amp;TEXT(FORMULACIÓN!L78,"##.###")&amp;CHAR(10)&amp;"T2: "&amp;TEXT(FORMULACIÓN!M78,"##.###")&amp;CHAR(10)&amp;"T3: "&amp;TEXT(FORMULACIÓN!N78,"##.###")&amp;CHAR(10)&amp;"Tn: "&amp;TEXT(FORMULACIÓN!O78,"##.###")))</f>
        <v>PDI: 20
T1: 6
T2: 6
T3: 6
Tn: 2</v>
      </c>
      <c r="J78" s="122">
        <f>IF(FORMULACIÓN!K78&lt;&gt;"",FORMULACIÓN!K78,"")</f>
        <v>1</v>
      </c>
      <c r="K78" s="310">
        <v>17</v>
      </c>
      <c r="L78" s="58"/>
      <c r="M78" s="58"/>
      <c r="N78" s="58"/>
      <c r="O78" s="47">
        <f ca="1">IFERROR(IF($H78=Lists!$S$2,SUM('SEGUIMIENTO Y EVALUACIÓN'!J78:N78),IF('SEGUIMIENTO Y EVALUACIÓN'!$H78=Lists!$S$3,SUM('SEGUIMIENTO Y EVALUACIÓN'!K78:N78),IF('SEGUIMIENTO Y EVALUACIÓN'!$H78=Lists!$S$4,AVERAGE('SEGUIMIENTO Y EVALUACIÓN'!K78:N78),IF('SEGUIMIENTO Y EVALUACIÓN'!$H78=Lists!$S$5,OFFSET(J78,0,COUNTA(K78:N78)),IF($H78=Lists!$S$6,COUNTIF(K78:N78,"&lt;"&amp;FORMULACIÓN!Q78)/COUNT('SEGUIMIENTO Y EVALUACIÓN'!K78:N78),""))))),"")</f>
        <v>17</v>
      </c>
      <c r="P78" s="51" t="str">
        <f ca="1">IF($G78=Lists!$R$3,TEXT('SEGUIMIENTO Y EVALUACIÓN'!O78,"00,00%"),IF('SEGUIMIENTO Y EVALUACIÓN'!O78=0,0,TEXT('SEGUIMIENTO Y EVALUACIÓN'!O78,"##.###")))</f>
        <v>17</v>
      </c>
      <c r="Q78" s="209" t="str">
        <f>IF(FORMULACIÓN!R78&lt;&gt;"",FORMULACIÓN!R78,"")</f>
        <v xml:space="preserve">P2 - Laboratorio de investigación creación </v>
      </c>
      <c r="R78" s="209">
        <f>IF(FORMULACIÓN!S78&lt;&gt;"",FORMULACIÓN!S78,"")</f>
        <v>7.4999999999999997E-2</v>
      </c>
      <c r="S78" s="209" t="str">
        <f>IF(FORMULACIÓN!T78&lt;&gt;"",FORMULACIÓN!T78,"")</f>
        <v>Vicerrector de Investigación, Extensión y Proyección Social</v>
      </c>
      <c r="T78" s="42"/>
      <c r="U78" s="42"/>
      <c r="V78" s="42"/>
      <c r="W78" s="43" t="str">
        <f t="shared" si="9"/>
        <v/>
      </c>
      <c r="X78" s="42"/>
      <c r="Y78" s="42"/>
      <c r="Z78" s="42"/>
      <c r="AA78" s="43" t="str">
        <f t="shared" si="10"/>
        <v/>
      </c>
      <c r="AB78" s="42"/>
      <c r="AC78" s="42"/>
      <c r="AD78" s="42"/>
      <c r="AE78" s="43" t="str">
        <f t="shared" si="11"/>
        <v/>
      </c>
      <c r="AF78" s="42"/>
      <c r="AG78" s="42"/>
      <c r="AH78" s="42"/>
      <c r="AI78" s="46" t="str">
        <f t="shared" si="12"/>
        <v/>
      </c>
      <c r="AJ78" s="46" t="str">
        <f>IF(SUM(AA78,AE78,W78,AI78)=0,"",SUM((AA78,AE78,W78,AI78)))</f>
        <v/>
      </c>
      <c r="AK78"/>
      <c r="AL78" s="1" t="str">
        <f t="shared" si="13"/>
        <v>L2M1P2</v>
      </c>
      <c r="AM78" s="56" t="str">
        <f t="shared" si="14"/>
        <v>Convenios interinstitucionales y productos derivados del trabajo en redes</v>
      </c>
      <c r="AN78" s="112" t="str">
        <f ca="1">IF($G78=Lists!$R$3,"T1: "&amp;TEXT(FORMULACIÓN!L78,"00,00%")&amp;CHAR(10)&amp;"T2: "&amp;TEXT(FORMULACIÓN!M78,"00,00%")&amp;CHAR(10)&amp;"T3: "&amp;TEXT(FORMULACIÓN!N78,"00,00%")&amp;CHAR(10)&amp;"Tn: "&amp;TEXT(FORMULACIÓN!O78,"00,00%"),IF(FORMULACIÓN!Q78=0,0,"T1: "&amp;TEXT(FORMULACIÓN!L78,"##.###")&amp;CHAR(10)&amp;"T2: "&amp;TEXT(FORMULACIÓN!M78,"##.###")&amp;CHAR(10)&amp;"T3: "&amp;TEXT(FORMULACIÓN!N78,"##.###")&amp;CHAR(10)&amp;"Tn: "&amp;TEXT(FORMULACIÓN!O78,"##.###")))</f>
        <v>T1: 6
T2: 6
T3: 6
Tn: 2</v>
      </c>
      <c r="AO78" s="117">
        <f>IFERROR(IF($H78=Lists!$S$6,IF(AND(FORMULACIÓN!L78&gt;K78,K78&gt;0),1,0),IF((K78/FORMULACIÓN!L78)&lt;&gt;0,K78/FORMULACIÓN!L78,0)),"")</f>
        <v>2.8333333333333335</v>
      </c>
      <c r="AP78" s="117">
        <f>IFERROR(IF($H78=Lists!$S$6,IF(AND(FORMULACIÓN!M78&gt;L78,L78&gt;0),1,0),IF((L78/FORMULACIÓN!M78)&lt;&gt;0,L78/FORMULACIÓN!M78,0)),"")</f>
        <v>0</v>
      </c>
      <c r="AQ78" s="117">
        <f>IFERROR(IF($H78=Lists!$S$6,IF(AND(FORMULACIÓN!N78&gt;M78,M78&gt;0),1,0),IF((M78/FORMULACIÓN!N78)&lt;&gt;0,M78/FORMULACIÓN!N78,0)),"")</f>
        <v>0</v>
      </c>
      <c r="AR78" s="117">
        <f>IFERROR(IF($H78=Lists!$S$6,IF(AND(FORMULACIÓN!O78&gt;N78,N78&gt;0),1,0),IF((N78/FORMULACIÓN!O78)&lt;&gt;0,N78/FORMULACIÓN!O78,0)),"")</f>
        <v>0</v>
      </c>
      <c r="AS78" s="110"/>
      <c r="AT78" s="118" t="str">
        <f ca="1">IF($H78=Lists!$S$6,TEXT(COUNTIF('SEGUIMIENTO Y EVALUACIÓN'!K78:N78,"&lt;"&amp;FORMULACIÓN!Q78),"##.###")&amp;" / "&amp;TEXT(COUNTIF('SEGUIMIENTO Y EVALUACIÓN'!K78:N78,"&gt;"&amp;0),"##.###"),IF($G78=Lists!$R$3,TEXT('SEGUIMIENTO Y EVALUACIÓN'!O78,"00,00%")&amp;" / "&amp;TEXT(FORMULACIÓN!P78,"00,00%"),IF('SEGUIMIENTO Y EVALUACIÓN'!O78=0,0,TEXT('SEGUIMIENTO Y EVALUACIÓN'!O78,"##.###")&amp;" / "&amp;TEXT(FORMULACIÓN!P78,"##.###"))))</f>
        <v>17 / 20</v>
      </c>
      <c r="AU78" s="57">
        <f ca="1">IFERROR(IF((P78/FORMULACIÓN!Q78)&lt;&gt;0,IF($H78=Lists!$S$6,COUNTIF('SEGUIMIENTO Y EVALUACIÓN'!K78:N78,"&lt;"&amp;FORMULACIÓN!Q78),'SEGUIMIENTO Y EVALUACIÓN'!P78)/IF($H78=Lists!$S$6,COUNTIF('SEGUIMIENTO Y EVALUACIÓN'!K78:N78,"&gt;"&amp;0),FORMULACIÓN!P78),0),0)</f>
        <v>0.85</v>
      </c>
      <c r="AV78" s="93">
        <f t="shared" ca="1" si="15"/>
        <v>6.3750000000000001E-2</v>
      </c>
      <c r="AW78" s="93" cm="1">
        <f t="array" ref="AW78">IF(INDEX(AO78:AU78,1,$AV$3)&gt;1,IF($AU$2=1,1,INDEX(AO78:AU78,1,$AV$3)),INDEX(AO78:AU78,1,$AV$3))</f>
        <v>1</v>
      </c>
      <c r="AX78"/>
      <c r="AY78" s="119" t="str">
        <f>IFERROR(IF((W78/FORMULACIÓN!X78)&lt;&gt;0,W78/FORMULACIÓN!X78,0),"")</f>
        <v/>
      </c>
      <c r="AZ78" s="119" t="str">
        <f>IFERROR(IF((AA78/FORMULACIÓN!AB78)&lt;&gt;0,AA78/FORMULACIÓN!AB78,0),"")</f>
        <v/>
      </c>
      <c r="BA78" s="119" t="str">
        <f>IFERROR(IF((AE78/FORMULACIÓN!AF78)&lt;&gt;0,(AE78/FORMULACIÓN!AF78),0),"")</f>
        <v/>
      </c>
      <c r="BB78" s="119" t="str">
        <f>IFERROR(IF((AI78/FORMULACIÓN!AJ78)&lt;&gt;0,AI78/FORMULACIÓN!AJ78,0),"")</f>
        <v/>
      </c>
      <c r="BC78" s="120" t="str">
        <f>IF('SEGUIMIENTO Y EVALUACIÓN'!AI78=0,0,TEXT('SEGUIMIENTO Y EVALUACIÓN'!AI78,"$ ##.###")&amp;" / "&amp;TEXT(FORMULACIÓN!AK78,"$ ##.###"))</f>
        <v xml:space="preserve"> / $ 3.799.264.425</v>
      </c>
      <c r="BD78" s="57">
        <f>IFERROR(IF((AJ78/FORMULACIÓN!AK78)&lt;&gt;0,AJ78/FORMULACIÓN!AK78,0),0)</f>
        <v>0</v>
      </c>
      <c r="BJ78"/>
      <c r="BK78"/>
      <c r="CL78" s="7"/>
    </row>
    <row r="79" spans="1:90" s="1" customFormat="1" ht="101.25">
      <c r="A79" s="45">
        <f>IF(FORMULACIÓN!A79="","",FORMULACIÓN!A79)</f>
        <v>68</v>
      </c>
      <c r="B79" s="45" t="str">
        <f>IF(FORMULACIÓN!B79="","",FORMULACIÓN!B79)</f>
        <v>L2 - Investigación y Redes de conocimiento para el desarrollo de la sociedad</v>
      </c>
      <c r="C79" s="45" t="str">
        <f>IF(FORMULACIÓN!E79="","",FORMULACIÓN!E79)</f>
        <v xml:space="preserve">M2 - Investigación y desarrollo científico. </v>
      </c>
      <c r="D79" s="45" t="str">
        <f>IF(FORMULACIÓN!F79="","",FORMULACIÓN!F79)</f>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v>
      </c>
      <c r="E79" s="45" t="str">
        <f>IF(FORMULACIÓN!G79="","",FORMULACIÓN!G79)</f>
        <v>Publicación de artículos en revistas indexadas en bases de datos de alto impacto</v>
      </c>
      <c r="F79" s="45" t="str">
        <f>IF(FORMULACIÓN!H79="","",FORMULACIÓN!H79)</f>
        <v xml:space="preserve">N° de artículos publicados en revistas nacionales indexedas en Publindex </v>
      </c>
      <c r="G79" s="45" t="str">
        <f>IF(FORMULACIÓN!I79="","",FORMULACIÓN!I79)</f>
        <v>Unidad</v>
      </c>
      <c r="H79" s="45" t="str">
        <f>IF(FORMULACIÓN!J79="","",FORMULACIÓN!J79)</f>
        <v>Nuevo gestionado durante la vigencia</v>
      </c>
      <c r="I79" s="188" t="str">
        <f ca="1">IF($G79=Lists!$R$3,"PDI: "&amp;TEXT(FORMULACIÓN!Q79,"00,00%")&amp;CHAR(10)&amp;CHAR(10)&amp;"T1: "&amp;TEXT(FORMULACIÓN!L79,"00,00%")&amp;CHAR(10)&amp;"T2: "&amp;TEXT(FORMULACIÓN!M79,"00,00%")&amp;CHAR(10)&amp;"T3: "&amp;TEXT(FORMULACIÓN!N79,"00,00%")&amp;CHAR(10)&amp;"Tn: "&amp;TEXT(FORMULACIÓN!O79,"00,00%"),IF(FORMULACIÓN!Q79=0,0,"PDI: "&amp;TEXT(FORMULACIÓN!Q79,"##.###")&amp;CHAR(10)&amp;CHAR(10)&amp;"T1: "&amp;TEXT(FORMULACIÓN!L79,"##.###")&amp;CHAR(10)&amp;"T2: "&amp;TEXT(FORMULACIÓN!M79,"##.###")&amp;CHAR(10)&amp;"T3: "&amp;TEXT(FORMULACIÓN!N79,"##.###")&amp;CHAR(10)&amp;"Tn: "&amp;TEXT(FORMULACIÓN!O79,"##.###")))</f>
        <v>PDI: 500
T1: 150
T2: 150
T3: 150
Tn: 50</v>
      </c>
      <c r="J79" s="122">
        <f>IF(FORMULACIÓN!K79&lt;&gt;"",FORMULACIÓN!K79,"")</f>
        <v>80</v>
      </c>
      <c r="K79" s="310">
        <v>126</v>
      </c>
      <c r="L79" s="58"/>
      <c r="M79" s="58"/>
      <c r="N79" s="58"/>
      <c r="O79" s="47">
        <f ca="1">IFERROR(IF($H79=Lists!$S$2,SUM('SEGUIMIENTO Y EVALUACIÓN'!J79:N79),IF('SEGUIMIENTO Y EVALUACIÓN'!$H79=Lists!$S$3,SUM('SEGUIMIENTO Y EVALUACIÓN'!K79:N79),IF('SEGUIMIENTO Y EVALUACIÓN'!$H79=Lists!$S$4,AVERAGE('SEGUIMIENTO Y EVALUACIÓN'!K79:N79),IF('SEGUIMIENTO Y EVALUACIÓN'!$H79=Lists!$S$5,OFFSET(J79,0,COUNTA(K79:N79)),IF($H79=Lists!$S$6,COUNTIF(K79:N79,"&lt;"&amp;FORMULACIÓN!Q79)/COUNT('SEGUIMIENTO Y EVALUACIÓN'!K79:N79),""))))),"")</f>
        <v>126</v>
      </c>
      <c r="P79" s="51" t="str">
        <f ca="1">IF($G79=Lists!$R$3,TEXT('SEGUIMIENTO Y EVALUACIÓN'!O79,"00,00%"),IF('SEGUIMIENTO Y EVALUACIÓN'!O79=0,0,TEXT('SEGUIMIENTO Y EVALUACIÓN'!O79,"##.###")))</f>
        <v>126</v>
      </c>
      <c r="Q79" s="209" t="str">
        <f>IF(FORMULACIÓN!R79&lt;&gt;"",FORMULACIÓN!R79,"")</f>
        <v>P1 - Desarrollo de la investigación básica y aplicada con impacto en  aspectos sociales, políticos, culturales, económicos y/o tecnológicos en los contextos regional, nacional e internacional</v>
      </c>
      <c r="R79" s="209">
        <f>IF(FORMULACIÓN!S79&lt;&gt;"",FORMULACIÓN!S79,"")</f>
        <v>0.03</v>
      </c>
      <c r="S79" s="209" t="str">
        <f>IF(FORMULACIÓN!T79&lt;&gt;"",FORMULACIÓN!T79,"")</f>
        <v>Vicerrector de Investigación, Extensión y Proyección Social</v>
      </c>
      <c r="T79" s="42"/>
      <c r="U79" s="42"/>
      <c r="V79" s="42"/>
      <c r="W79" s="43" t="str">
        <f t="shared" si="9"/>
        <v/>
      </c>
      <c r="X79" s="42"/>
      <c r="Y79" s="42"/>
      <c r="Z79" s="42"/>
      <c r="AA79" s="43" t="str">
        <f t="shared" si="10"/>
        <v/>
      </c>
      <c r="AB79" s="42"/>
      <c r="AC79" s="42"/>
      <c r="AD79" s="42"/>
      <c r="AE79" s="43" t="str">
        <f t="shared" si="11"/>
        <v/>
      </c>
      <c r="AF79" s="42"/>
      <c r="AG79" s="42"/>
      <c r="AH79" s="42"/>
      <c r="AI79" s="46" t="str">
        <f t="shared" si="12"/>
        <v/>
      </c>
      <c r="AJ79" s="46" t="str">
        <f>IF(SUM(AA79,AE79,W79,AI79)=0,"",SUM((AA79,AE79,W79,AI79)))</f>
        <v/>
      </c>
      <c r="AK79"/>
      <c r="AL79" s="1" t="str">
        <f t="shared" si="13"/>
        <v>L2M2P1</v>
      </c>
      <c r="AM79" s="56" t="str">
        <f t="shared" si="14"/>
        <v>Publicación de artículos en revistas indexadas en bases de datos de alto impacto</v>
      </c>
      <c r="AN79" s="112" t="str">
        <f ca="1">IF($G79=Lists!$R$3,"T1: "&amp;TEXT(FORMULACIÓN!L79,"00,00%")&amp;CHAR(10)&amp;"T2: "&amp;TEXT(FORMULACIÓN!M79,"00,00%")&amp;CHAR(10)&amp;"T3: "&amp;TEXT(FORMULACIÓN!N79,"00,00%")&amp;CHAR(10)&amp;"Tn: "&amp;TEXT(FORMULACIÓN!O79,"00,00%"),IF(FORMULACIÓN!Q79=0,0,"T1: "&amp;TEXT(FORMULACIÓN!L79,"##.###")&amp;CHAR(10)&amp;"T2: "&amp;TEXT(FORMULACIÓN!M79,"##.###")&amp;CHAR(10)&amp;"T3: "&amp;TEXT(FORMULACIÓN!N79,"##.###")&amp;CHAR(10)&amp;"Tn: "&amp;TEXT(FORMULACIÓN!O79,"##.###")))</f>
        <v>T1: 150
T2: 150
T3: 150
Tn: 50</v>
      </c>
      <c r="AO79" s="117">
        <f>IFERROR(IF($H79=Lists!$S$6,IF(AND(FORMULACIÓN!L79&gt;K79,K79&gt;0),1,0),IF((K79/FORMULACIÓN!L79)&lt;&gt;0,K79/FORMULACIÓN!L79,0)),"")</f>
        <v>0.84</v>
      </c>
      <c r="AP79" s="117">
        <f>IFERROR(IF($H79=Lists!$S$6,IF(AND(FORMULACIÓN!M79&gt;L79,L79&gt;0),1,0),IF((L79/FORMULACIÓN!M79)&lt;&gt;0,L79/FORMULACIÓN!M79,0)),"")</f>
        <v>0</v>
      </c>
      <c r="AQ79" s="117">
        <f>IFERROR(IF($H79=Lists!$S$6,IF(AND(FORMULACIÓN!N79&gt;M79,M79&gt;0),1,0),IF((M79/FORMULACIÓN!N79)&lt;&gt;0,M79/FORMULACIÓN!N79,0)),"")</f>
        <v>0</v>
      </c>
      <c r="AR79" s="117">
        <f>IFERROR(IF($H79=Lists!$S$6,IF(AND(FORMULACIÓN!O79&gt;N79,N79&gt;0),1,0),IF((N79/FORMULACIÓN!O79)&lt;&gt;0,N79/FORMULACIÓN!O79,0)),"")</f>
        <v>0</v>
      </c>
      <c r="AS79" s="110"/>
      <c r="AT79" s="118" t="str">
        <f ca="1">IF($H79=Lists!$S$6,TEXT(COUNTIF('SEGUIMIENTO Y EVALUACIÓN'!K79:N79,"&lt;"&amp;FORMULACIÓN!Q79),"##.###")&amp;" / "&amp;TEXT(COUNTIF('SEGUIMIENTO Y EVALUACIÓN'!K79:N79,"&gt;"&amp;0),"##.###"),IF($G79=Lists!$R$3,TEXT('SEGUIMIENTO Y EVALUACIÓN'!O79,"00,00%")&amp;" / "&amp;TEXT(FORMULACIÓN!P79,"00,00%"),IF('SEGUIMIENTO Y EVALUACIÓN'!O79=0,0,TEXT('SEGUIMIENTO Y EVALUACIÓN'!O79,"##.###")&amp;" / "&amp;TEXT(FORMULACIÓN!P79,"##.###"))))</f>
        <v>126 / 500</v>
      </c>
      <c r="AU79" s="57">
        <f ca="1">IFERROR(IF((P79/FORMULACIÓN!Q79)&lt;&gt;0,IF($H79=Lists!$S$6,COUNTIF('SEGUIMIENTO Y EVALUACIÓN'!K79:N79,"&lt;"&amp;FORMULACIÓN!Q79),'SEGUIMIENTO Y EVALUACIÓN'!P79)/IF($H79=Lists!$S$6,COUNTIF('SEGUIMIENTO Y EVALUACIÓN'!K79:N79,"&gt;"&amp;0),FORMULACIÓN!P79),0),0)</f>
        <v>0.252</v>
      </c>
      <c r="AV79" s="93">
        <f t="shared" ca="1" si="15"/>
        <v>7.5599999999999999E-3</v>
      </c>
      <c r="AW79" s="93" cm="1">
        <f t="array" ref="AW79">IF(INDEX(AO79:AU79,1,$AV$3)&gt;1,IF($AU$2=1,1,INDEX(AO79:AU79,1,$AV$3)),INDEX(AO79:AU79,1,$AV$3))</f>
        <v>0.84</v>
      </c>
      <c r="AX79"/>
      <c r="AY79" s="119" t="str">
        <f>IFERROR(IF((W79/FORMULACIÓN!X79)&lt;&gt;0,W79/FORMULACIÓN!X79,0),"")</f>
        <v/>
      </c>
      <c r="AZ79" s="119" t="str">
        <f>IFERROR(IF((AA79/FORMULACIÓN!AB79)&lt;&gt;0,AA79/FORMULACIÓN!AB79,0),"")</f>
        <v/>
      </c>
      <c r="BA79" s="119" t="str">
        <f>IFERROR(IF((AE79/FORMULACIÓN!AF79)&lt;&gt;0,(AE79/FORMULACIÓN!AF79),0),"")</f>
        <v/>
      </c>
      <c r="BB79" s="119" t="str">
        <f>IFERROR(IF((AI79/FORMULACIÓN!AJ79)&lt;&gt;0,AI79/FORMULACIÓN!AJ79,0),"")</f>
        <v/>
      </c>
      <c r="BC79" s="120" t="str">
        <f>IF('SEGUIMIENTO Y EVALUACIÓN'!AI79=0,0,TEXT('SEGUIMIENTO Y EVALUACIÓN'!AI79,"$ ##.###")&amp;" / "&amp;TEXT(FORMULACIÓN!AK79,"$ ##.###"))</f>
        <v xml:space="preserve"> / $ 700.565.064</v>
      </c>
      <c r="BD79" s="57">
        <f>IFERROR(IF((AJ79/FORMULACIÓN!AK79)&lt;&gt;0,AJ79/FORMULACIÓN!AK79,0),0)</f>
        <v>0</v>
      </c>
      <c r="BJ79"/>
      <c r="BK79"/>
      <c r="CL79" s="7"/>
    </row>
    <row r="80" spans="1:90" s="1" customFormat="1" ht="101.25">
      <c r="A80" s="45">
        <f>IF(FORMULACIÓN!A80="","",FORMULACIÓN!A80)</f>
        <v>69</v>
      </c>
      <c r="B80" s="45" t="str">
        <f>IF(FORMULACIÓN!B80="","",FORMULACIÓN!B80)</f>
        <v>L2 - Investigación y Redes de conocimiento para el desarrollo de la sociedad</v>
      </c>
      <c r="C80" s="45" t="str">
        <f>IF(FORMULACIÓN!E80="","",FORMULACIÓN!E80)</f>
        <v xml:space="preserve">M2 - Investigación y desarrollo científico. </v>
      </c>
      <c r="D80" s="45" t="str">
        <f>IF(FORMULACIÓN!F80="","",FORMULACIÓN!F80)</f>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v>
      </c>
      <c r="E80" s="45" t="str">
        <f>IF(FORMULACIÓN!G80="","",FORMULACIÓN!G80)</f>
        <v>Publicación de artículos en revistas indexadas en bases de datos de alto impacto</v>
      </c>
      <c r="F80" s="45" t="str">
        <f>IF(FORMULACIÓN!H80="","",FORMULACIÓN!H80)</f>
        <v xml:space="preserve">N° de artículos publicados en revistas indexadas en Wos y/o Scopus </v>
      </c>
      <c r="G80" s="45" t="str">
        <f>IF(FORMULACIÓN!I80="","",FORMULACIÓN!I80)</f>
        <v>Unidad</v>
      </c>
      <c r="H80" s="45" t="str">
        <f>IF(FORMULACIÓN!J80="","",FORMULACIÓN!J80)</f>
        <v>Nuevo gestionado durante la vigencia</v>
      </c>
      <c r="I80" s="188" t="str">
        <f ca="1">IF($G80=Lists!$R$3,"PDI: "&amp;TEXT(FORMULACIÓN!Q80,"00,00%")&amp;CHAR(10)&amp;CHAR(10)&amp;"T1: "&amp;TEXT(FORMULACIÓN!L80,"00,00%")&amp;CHAR(10)&amp;"T2: "&amp;TEXT(FORMULACIÓN!M80,"00,00%")&amp;CHAR(10)&amp;"T3: "&amp;TEXT(FORMULACIÓN!N80,"00,00%")&amp;CHAR(10)&amp;"Tn: "&amp;TEXT(FORMULACIÓN!O80,"00,00%"),IF(FORMULACIÓN!Q80=0,0,"PDI: "&amp;TEXT(FORMULACIÓN!Q80,"##.###")&amp;CHAR(10)&amp;CHAR(10)&amp;"T1: "&amp;TEXT(FORMULACIÓN!L80,"##.###")&amp;CHAR(10)&amp;"T2: "&amp;TEXT(FORMULACIÓN!M80,"##.###")&amp;CHAR(10)&amp;"T3: "&amp;TEXT(FORMULACIÓN!N80,"##.###")&amp;CHAR(10)&amp;"Tn: "&amp;TEXT(FORMULACIÓN!O80,"##.###")))</f>
        <v>PDI: 1.400
T1: 400
T2: 400
T3: 400
Tn: 200</v>
      </c>
      <c r="J80" s="122">
        <f>IF(FORMULACIÓN!K80&lt;&gt;"",FORMULACIÓN!K80,"")</f>
        <v>130</v>
      </c>
      <c r="K80" s="310">
        <v>492</v>
      </c>
      <c r="L80" s="58"/>
      <c r="M80" s="58"/>
      <c r="N80" s="58"/>
      <c r="O80" s="47">
        <f ca="1">IFERROR(IF($H80=Lists!$S$2,SUM('SEGUIMIENTO Y EVALUACIÓN'!J80:N80),IF('SEGUIMIENTO Y EVALUACIÓN'!$H80=Lists!$S$3,SUM('SEGUIMIENTO Y EVALUACIÓN'!K80:N80),IF('SEGUIMIENTO Y EVALUACIÓN'!$H80=Lists!$S$4,AVERAGE('SEGUIMIENTO Y EVALUACIÓN'!K80:N80),IF('SEGUIMIENTO Y EVALUACIÓN'!$H80=Lists!$S$5,OFFSET(J80,0,COUNTA(K80:N80)),IF($H80=Lists!$S$6,COUNTIF(K80:N80,"&lt;"&amp;FORMULACIÓN!Q80)/COUNT('SEGUIMIENTO Y EVALUACIÓN'!K80:N80),""))))),"")</f>
        <v>492</v>
      </c>
      <c r="P80" s="51" t="str">
        <f ca="1">IF($G80=Lists!$R$3,TEXT('SEGUIMIENTO Y EVALUACIÓN'!O80,"00,00%"),IF('SEGUIMIENTO Y EVALUACIÓN'!O80=0,0,TEXT('SEGUIMIENTO Y EVALUACIÓN'!O80,"##.###")))</f>
        <v>492</v>
      </c>
      <c r="Q80" s="209" t="str">
        <f>IF(FORMULACIÓN!R80&lt;&gt;"",FORMULACIÓN!R80,"")</f>
        <v>P1 - Desarrollo de la investigación básica y aplicada con impacto en  aspectos sociales, políticos, culturales, económicos y/o tecnológicos en los contextos regional, nacional e internacional</v>
      </c>
      <c r="R80" s="209">
        <f>IF(FORMULACIÓN!S80&lt;&gt;"",FORMULACIÓN!S80,"")</f>
        <v>0.03</v>
      </c>
      <c r="S80" s="209" t="str">
        <f>IF(FORMULACIÓN!T80&lt;&gt;"",FORMULACIÓN!T80,"")</f>
        <v>Vicerrector de Investigación, Extensión y Proyección Social</v>
      </c>
      <c r="T80" s="42"/>
      <c r="U80" s="42"/>
      <c r="V80" s="42"/>
      <c r="W80" s="43" t="str">
        <f t="shared" si="9"/>
        <v/>
      </c>
      <c r="X80" s="42"/>
      <c r="Y80" s="42"/>
      <c r="Z80" s="42"/>
      <c r="AA80" s="43" t="str">
        <f t="shared" si="10"/>
        <v/>
      </c>
      <c r="AB80" s="42"/>
      <c r="AC80" s="42"/>
      <c r="AD80" s="42"/>
      <c r="AE80" s="43" t="str">
        <f t="shared" si="11"/>
        <v/>
      </c>
      <c r="AF80" s="42"/>
      <c r="AG80" s="42"/>
      <c r="AH80" s="42"/>
      <c r="AI80" s="46" t="str">
        <f t="shared" si="12"/>
        <v/>
      </c>
      <c r="AJ80" s="46" t="str">
        <f>IF(SUM(AA80,AE80,W80,AI80)=0,"",SUM((AA80,AE80,W80,AI80)))</f>
        <v/>
      </c>
      <c r="AK80"/>
      <c r="AL80" s="1" t="str">
        <f t="shared" si="13"/>
        <v>L2M2P1</v>
      </c>
      <c r="AM80" s="56" t="str">
        <f t="shared" si="14"/>
        <v>Publicación de artículos en revistas indexadas en bases de datos de alto impacto</v>
      </c>
      <c r="AN80" s="112" t="str">
        <f ca="1">IF($G80=Lists!$R$3,"T1: "&amp;TEXT(FORMULACIÓN!L80,"00,00%")&amp;CHAR(10)&amp;"T2: "&amp;TEXT(FORMULACIÓN!M80,"00,00%")&amp;CHAR(10)&amp;"T3: "&amp;TEXT(FORMULACIÓN!N80,"00,00%")&amp;CHAR(10)&amp;"Tn: "&amp;TEXT(FORMULACIÓN!O80,"00,00%"),IF(FORMULACIÓN!Q80=0,0,"T1: "&amp;TEXT(FORMULACIÓN!L80,"##.###")&amp;CHAR(10)&amp;"T2: "&amp;TEXT(FORMULACIÓN!M80,"##.###")&amp;CHAR(10)&amp;"T3: "&amp;TEXT(FORMULACIÓN!N80,"##.###")&amp;CHAR(10)&amp;"Tn: "&amp;TEXT(FORMULACIÓN!O80,"##.###")))</f>
        <v>T1: 400
T2: 400
T3: 400
Tn: 200</v>
      </c>
      <c r="AO80" s="117">
        <f>IFERROR(IF($H80=Lists!$S$6,IF(AND(FORMULACIÓN!L80&gt;K80,K80&gt;0),1,0),IF((K80/FORMULACIÓN!L80)&lt;&gt;0,K80/FORMULACIÓN!L80,0)),"")</f>
        <v>1.23</v>
      </c>
      <c r="AP80" s="117">
        <f>IFERROR(IF($H80=Lists!$S$6,IF(AND(FORMULACIÓN!M80&gt;L80,L80&gt;0),1,0),IF((L80/FORMULACIÓN!M80)&lt;&gt;0,L80/FORMULACIÓN!M80,0)),"")</f>
        <v>0</v>
      </c>
      <c r="AQ80" s="117">
        <f>IFERROR(IF($H80=Lists!$S$6,IF(AND(FORMULACIÓN!N80&gt;M80,M80&gt;0),1,0),IF((M80/FORMULACIÓN!N80)&lt;&gt;0,M80/FORMULACIÓN!N80,0)),"")</f>
        <v>0</v>
      </c>
      <c r="AR80" s="117">
        <f>IFERROR(IF($H80=Lists!$S$6,IF(AND(FORMULACIÓN!O80&gt;N80,N80&gt;0),1,0),IF((N80/FORMULACIÓN!O80)&lt;&gt;0,N80/FORMULACIÓN!O80,0)),"")</f>
        <v>0</v>
      </c>
      <c r="AS80" s="110"/>
      <c r="AT80" s="118" t="str">
        <f ca="1">IF($H80=Lists!$S$6,TEXT(COUNTIF('SEGUIMIENTO Y EVALUACIÓN'!K80:N80,"&lt;"&amp;FORMULACIÓN!Q80),"##.###")&amp;" / "&amp;TEXT(COUNTIF('SEGUIMIENTO Y EVALUACIÓN'!K80:N80,"&gt;"&amp;0),"##.###"),IF($G80=Lists!$R$3,TEXT('SEGUIMIENTO Y EVALUACIÓN'!O80,"00,00%")&amp;" / "&amp;TEXT(FORMULACIÓN!P80,"00,00%"),IF('SEGUIMIENTO Y EVALUACIÓN'!O80=0,0,TEXT('SEGUIMIENTO Y EVALUACIÓN'!O80,"##.###")&amp;" / "&amp;TEXT(FORMULACIÓN!P80,"##.###"))))</f>
        <v>492 / 1.400</v>
      </c>
      <c r="AU80" s="57">
        <f ca="1">IFERROR(IF((P80/FORMULACIÓN!Q80)&lt;&gt;0,IF($H80=Lists!$S$6,COUNTIF('SEGUIMIENTO Y EVALUACIÓN'!K80:N80,"&lt;"&amp;FORMULACIÓN!Q80),'SEGUIMIENTO Y EVALUACIÓN'!P80)/IF($H80=Lists!$S$6,COUNTIF('SEGUIMIENTO Y EVALUACIÓN'!K80:N80,"&gt;"&amp;0),FORMULACIÓN!P80),0),0)</f>
        <v>0.35142857142857142</v>
      </c>
      <c r="AV80" s="93">
        <f t="shared" ca="1" si="15"/>
        <v>1.0542857142857142E-2</v>
      </c>
      <c r="AW80" s="93" cm="1">
        <f t="array" ref="AW80">IF(INDEX(AO80:AU80,1,$AV$3)&gt;1,IF($AU$2=1,1,INDEX(AO80:AU80,1,$AV$3)),INDEX(AO80:AU80,1,$AV$3))</f>
        <v>1</v>
      </c>
      <c r="AX80"/>
      <c r="AY80" s="119" t="str">
        <f>IFERROR(IF((W80/FORMULACIÓN!X80)&lt;&gt;0,W80/FORMULACIÓN!X80,0),"")</f>
        <v/>
      </c>
      <c r="AZ80" s="119" t="str">
        <f>IFERROR(IF((AA80/FORMULACIÓN!AB80)&lt;&gt;0,AA80/FORMULACIÓN!AB80,0),"")</f>
        <v/>
      </c>
      <c r="BA80" s="119" t="str">
        <f>IFERROR(IF((AE80/FORMULACIÓN!AF80)&lt;&gt;0,(AE80/FORMULACIÓN!AF80),0),"")</f>
        <v/>
      </c>
      <c r="BB80" s="119" t="str">
        <f>IFERROR(IF((AI80/FORMULACIÓN!AJ80)&lt;&gt;0,AI80/FORMULACIÓN!AJ80,0),"")</f>
        <v/>
      </c>
      <c r="BC80" s="120" t="str">
        <f>IF('SEGUIMIENTO Y EVALUACIÓN'!AI80=0,0,TEXT('SEGUIMIENTO Y EVALUACIÓN'!AI80,"$ ##.###")&amp;" / "&amp;TEXT(FORMULACIÓN!AK80,"$ ##.###"))</f>
        <v xml:space="preserve"> / $ 800.645.788</v>
      </c>
      <c r="BD80" s="57">
        <f>IFERROR(IF((AJ80/FORMULACIÓN!AK80)&lt;&gt;0,AJ80/FORMULACIÓN!AK80,0),0)</f>
        <v>0</v>
      </c>
      <c r="BJ80"/>
      <c r="BK80"/>
      <c r="CL80" s="7"/>
    </row>
    <row r="81" spans="1:90" s="1" customFormat="1" ht="101.25">
      <c r="A81" s="45">
        <f>IF(FORMULACIÓN!A81="","",FORMULACIÓN!A81)</f>
        <v>70</v>
      </c>
      <c r="B81" s="45" t="str">
        <f>IF(FORMULACIÓN!B81="","",FORMULACIÓN!B81)</f>
        <v>L2 - Investigación y Redes de conocimiento para el desarrollo de la sociedad</v>
      </c>
      <c r="C81" s="45" t="str">
        <f>IF(FORMULACIÓN!E81="","",FORMULACIÓN!E81)</f>
        <v xml:space="preserve">M2 - Investigación y desarrollo científico. </v>
      </c>
      <c r="D81" s="45" t="str">
        <f>IF(FORMULACIÓN!F81="","",FORMULACIÓN!F81)</f>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v>
      </c>
      <c r="E81" s="45" t="str">
        <f>IF(FORMULACIÓN!G81="","",FORMULACIÓN!G81)</f>
        <v>Publicación de artículos en revistas indexadas en bases de datos de alto impacto</v>
      </c>
      <c r="F81" s="45" t="str">
        <f>IF(FORMULACIÓN!H81="","",FORMULACIÓN!H81)</f>
        <v xml:space="preserve"> N° de libros publicados resultado de proyectos de investigación </v>
      </c>
      <c r="G81" s="45" t="str">
        <f>IF(FORMULACIÓN!I81="","",FORMULACIÓN!I81)</f>
        <v>Unidad</v>
      </c>
      <c r="H81" s="45" t="str">
        <f>IF(FORMULACIÓN!J81="","",FORMULACIÓN!J81)</f>
        <v>Nuevo gestionado durante la vigencia</v>
      </c>
      <c r="I81" s="188" t="str">
        <f ca="1">IF($G81=Lists!$R$3,"PDI: "&amp;TEXT(FORMULACIÓN!Q81,"00,00%")&amp;CHAR(10)&amp;CHAR(10)&amp;"T1: "&amp;TEXT(FORMULACIÓN!L81,"00,00%")&amp;CHAR(10)&amp;"T2: "&amp;TEXT(FORMULACIÓN!M81,"00,00%")&amp;CHAR(10)&amp;"T3: "&amp;TEXT(FORMULACIÓN!N81,"00,00%")&amp;CHAR(10)&amp;"Tn: "&amp;TEXT(FORMULACIÓN!O81,"00,00%"),IF(FORMULACIÓN!Q81=0,0,"PDI: "&amp;TEXT(FORMULACIÓN!Q81,"##.###")&amp;CHAR(10)&amp;CHAR(10)&amp;"T1: "&amp;TEXT(FORMULACIÓN!L81,"##.###")&amp;CHAR(10)&amp;"T2: "&amp;TEXT(FORMULACIÓN!M81,"##.###")&amp;CHAR(10)&amp;"T3: "&amp;TEXT(FORMULACIÓN!N81,"##.###")&amp;CHAR(10)&amp;"Tn: "&amp;TEXT(FORMULACIÓN!O81,"##.###")))</f>
        <v>PDI: 100
T1: 30
T2: 30
T3: 30
Tn: 10</v>
      </c>
      <c r="J81" s="122">
        <f>IF(FORMULACIÓN!K81&lt;&gt;"",FORMULACIÓN!K81,"")</f>
        <v>10</v>
      </c>
      <c r="K81" s="310">
        <v>53</v>
      </c>
      <c r="L81" s="58"/>
      <c r="M81" s="58"/>
      <c r="N81" s="58"/>
      <c r="O81" s="47">
        <f ca="1">IFERROR(IF($H81=Lists!$S$2,SUM('SEGUIMIENTO Y EVALUACIÓN'!J81:N81),IF('SEGUIMIENTO Y EVALUACIÓN'!$H81=Lists!$S$3,SUM('SEGUIMIENTO Y EVALUACIÓN'!K81:N81),IF('SEGUIMIENTO Y EVALUACIÓN'!$H81=Lists!$S$4,AVERAGE('SEGUIMIENTO Y EVALUACIÓN'!K81:N81),IF('SEGUIMIENTO Y EVALUACIÓN'!$H81=Lists!$S$5,OFFSET(J81,0,COUNTA(K81:N81)),IF($H81=Lists!$S$6,COUNTIF(K81:N81,"&lt;"&amp;FORMULACIÓN!Q81)/COUNT('SEGUIMIENTO Y EVALUACIÓN'!K81:N81),""))))),"")</f>
        <v>53</v>
      </c>
      <c r="P81" s="51" t="str">
        <f ca="1">IF($G81=Lists!$R$3,TEXT('SEGUIMIENTO Y EVALUACIÓN'!O81,"00,00%"),IF('SEGUIMIENTO Y EVALUACIÓN'!O81=0,0,TEXT('SEGUIMIENTO Y EVALUACIÓN'!O81,"##.###")))</f>
        <v>53</v>
      </c>
      <c r="Q81" s="209" t="str">
        <f>IF(FORMULACIÓN!R81&lt;&gt;"",FORMULACIÓN!R81,"")</f>
        <v>P1 - Desarrollo de la investigación básica y aplicada con impacto en  aspectos sociales, políticos, culturales, económicos y/o tecnológicos en los contextos regional, nacional e internacional</v>
      </c>
      <c r="R81" s="209">
        <f>IF(FORMULACIÓN!S81&lt;&gt;"",FORMULACIÓN!S81,"")</f>
        <v>0.03</v>
      </c>
      <c r="S81" s="209" t="str">
        <f>IF(FORMULACIÓN!T81&lt;&gt;"",FORMULACIÓN!T81,"")</f>
        <v>Vicerrector de Investigación, Extensión y Proyección Social</v>
      </c>
      <c r="T81" s="42"/>
      <c r="U81" s="42"/>
      <c r="V81" s="42"/>
      <c r="W81" s="43" t="str">
        <f t="shared" si="9"/>
        <v/>
      </c>
      <c r="X81" s="42"/>
      <c r="Y81" s="42"/>
      <c r="Z81" s="42"/>
      <c r="AA81" s="43" t="str">
        <f t="shared" si="10"/>
        <v/>
      </c>
      <c r="AB81" s="42"/>
      <c r="AC81" s="42"/>
      <c r="AD81" s="42"/>
      <c r="AE81" s="43" t="str">
        <f t="shared" si="11"/>
        <v/>
      </c>
      <c r="AF81" s="42"/>
      <c r="AG81" s="42"/>
      <c r="AH81" s="42"/>
      <c r="AI81" s="46" t="str">
        <f t="shared" si="12"/>
        <v/>
      </c>
      <c r="AJ81" s="46" t="str">
        <f>IF(SUM(AA81,AE81,W81,AI81)=0,"",SUM((AA81,AE81,W81,AI81)))</f>
        <v/>
      </c>
      <c r="AK81"/>
      <c r="AL81" s="1" t="str">
        <f t="shared" si="13"/>
        <v>L2M2P1</v>
      </c>
      <c r="AM81" s="56" t="str">
        <f t="shared" si="14"/>
        <v>Publicación de artículos en revistas indexadas en bases de datos de alto impacto</v>
      </c>
      <c r="AN81" s="112" t="str">
        <f ca="1">IF($G81=Lists!$R$3,"T1: "&amp;TEXT(FORMULACIÓN!L81,"00,00%")&amp;CHAR(10)&amp;"T2: "&amp;TEXT(FORMULACIÓN!M81,"00,00%")&amp;CHAR(10)&amp;"T3: "&amp;TEXT(FORMULACIÓN!N81,"00,00%")&amp;CHAR(10)&amp;"Tn: "&amp;TEXT(FORMULACIÓN!O81,"00,00%"),IF(FORMULACIÓN!Q81=0,0,"T1: "&amp;TEXT(FORMULACIÓN!L81,"##.###")&amp;CHAR(10)&amp;"T2: "&amp;TEXT(FORMULACIÓN!M81,"##.###")&amp;CHAR(10)&amp;"T3: "&amp;TEXT(FORMULACIÓN!N81,"##.###")&amp;CHAR(10)&amp;"Tn: "&amp;TEXT(FORMULACIÓN!O81,"##.###")))</f>
        <v>T1: 30
T2: 30
T3: 30
Tn: 10</v>
      </c>
      <c r="AO81" s="117">
        <f>IFERROR(IF($H81=Lists!$S$6,IF(AND(FORMULACIÓN!L81&gt;K81,K81&gt;0),1,0),IF((K81/FORMULACIÓN!L81)&lt;&gt;0,K81/FORMULACIÓN!L81,0)),"")</f>
        <v>1.7666666666666666</v>
      </c>
      <c r="AP81" s="117">
        <f>IFERROR(IF($H81=Lists!$S$6,IF(AND(FORMULACIÓN!M81&gt;L81,L81&gt;0),1,0),IF((L81/FORMULACIÓN!M81)&lt;&gt;0,L81/FORMULACIÓN!M81,0)),"")</f>
        <v>0</v>
      </c>
      <c r="AQ81" s="117">
        <f>IFERROR(IF($H81=Lists!$S$6,IF(AND(FORMULACIÓN!N81&gt;M81,M81&gt;0),1,0),IF((M81/FORMULACIÓN!N81)&lt;&gt;0,M81/FORMULACIÓN!N81,0)),"")</f>
        <v>0</v>
      </c>
      <c r="AR81" s="117">
        <f>IFERROR(IF($H81=Lists!$S$6,IF(AND(FORMULACIÓN!O81&gt;N81,N81&gt;0),1,0),IF((N81/FORMULACIÓN!O81)&lt;&gt;0,N81/FORMULACIÓN!O81,0)),"")</f>
        <v>0</v>
      </c>
      <c r="AS81" s="110"/>
      <c r="AT81" s="118" t="str">
        <f ca="1">IF($H81=Lists!$S$6,TEXT(COUNTIF('SEGUIMIENTO Y EVALUACIÓN'!K81:N81,"&lt;"&amp;FORMULACIÓN!Q81),"##.###")&amp;" / "&amp;TEXT(COUNTIF('SEGUIMIENTO Y EVALUACIÓN'!K81:N81,"&gt;"&amp;0),"##.###"),IF($G81=Lists!$R$3,TEXT('SEGUIMIENTO Y EVALUACIÓN'!O81,"00,00%")&amp;" / "&amp;TEXT(FORMULACIÓN!P81,"00,00%"),IF('SEGUIMIENTO Y EVALUACIÓN'!O81=0,0,TEXT('SEGUIMIENTO Y EVALUACIÓN'!O81,"##.###")&amp;" / "&amp;TEXT(FORMULACIÓN!P81,"##.###"))))</f>
        <v>53 / 100</v>
      </c>
      <c r="AU81" s="57">
        <f ca="1">IFERROR(IF((P81/FORMULACIÓN!Q81)&lt;&gt;0,IF($H81=Lists!$S$6,COUNTIF('SEGUIMIENTO Y EVALUACIÓN'!K81:N81,"&lt;"&amp;FORMULACIÓN!Q81),'SEGUIMIENTO Y EVALUACIÓN'!P81)/IF($H81=Lists!$S$6,COUNTIF('SEGUIMIENTO Y EVALUACIÓN'!K81:N81,"&gt;"&amp;0),FORMULACIÓN!P81),0),0)</f>
        <v>0.53</v>
      </c>
      <c r="AV81" s="93">
        <f t="shared" ca="1" si="15"/>
        <v>1.5900000000000001E-2</v>
      </c>
      <c r="AW81" s="93" cm="1">
        <f t="array" ref="AW81">IF(INDEX(AO81:AU81,1,$AV$3)&gt;1,IF($AU$2=1,1,INDEX(AO81:AU81,1,$AV$3)),INDEX(AO81:AU81,1,$AV$3))</f>
        <v>1</v>
      </c>
      <c r="AX81"/>
      <c r="AY81" s="119" t="str">
        <f>IFERROR(IF((W81/FORMULACIÓN!X81)&lt;&gt;0,W81/FORMULACIÓN!X81,0),"")</f>
        <v/>
      </c>
      <c r="AZ81" s="119" t="str">
        <f>IFERROR(IF((AA81/FORMULACIÓN!AB81)&lt;&gt;0,AA81/FORMULACIÓN!AB81,0),"")</f>
        <v/>
      </c>
      <c r="BA81" s="119" t="str">
        <f>IFERROR(IF((AE81/FORMULACIÓN!AF81)&lt;&gt;0,(AE81/FORMULACIÓN!AF81),0),"")</f>
        <v/>
      </c>
      <c r="BB81" s="119" t="str">
        <f>IFERROR(IF((AI81/FORMULACIÓN!AJ81)&lt;&gt;0,AI81/FORMULACIÓN!AJ81,0),"")</f>
        <v/>
      </c>
      <c r="BC81" s="120" t="str">
        <f>IF('SEGUIMIENTO Y EVALUACIÓN'!AI81=0,0,TEXT('SEGUIMIENTO Y EVALUACIÓN'!AI81,"$ ##.###")&amp;" / "&amp;TEXT(FORMULACIÓN!AK81,"$ ##.###"))</f>
        <v xml:space="preserve"> / $ 700.565.064</v>
      </c>
      <c r="BD81" s="57">
        <f>IFERROR(IF((AJ81/FORMULACIÓN!AK81)&lt;&gt;0,AJ81/FORMULACIÓN!AK81,0),0)</f>
        <v>0</v>
      </c>
      <c r="BJ81"/>
      <c r="BK81"/>
      <c r="CL81" s="7"/>
    </row>
    <row r="82" spans="1:90" s="1" customFormat="1" ht="101.25">
      <c r="A82" s="45">
        <f>IF(FORMULACIÓN!A82="","",FORMULACIÓN!A82)</f>
        <v>71</v>
      </c>
      <c r="B82" s="45" t="str">
        <f>IF(FORMULACIÓN!B82="","",FORMULACIÓN!B82)</f>
        <v>L2 - Investigación y Redes de conocimiento para el desarrollo de la sociedad</v>
      </c>
      <c r="C82" s="45" t="str">
        <f>IF(FORMULACIÓN!E82="","",FORMULACIÓN!E82)</f>
        <v xml:space="preserve">M2 - Investigación y desarrollo científico. </v>
      </c>
      <c r="D82" s="45" t="str">
        <f>IF(FORMULACIÓN!F82="","",FORMULACIÓN!F82)</f>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v>
      </c>
      <c r="E82" s="45" t="str">
        <f>IF(FORMULACIÓN!G82="","",FORMULACIÓN!G82)</f>
        <v xml:space="preserve">Revistas científicas editadas bajo el sello Editorial Uniatlántico </v>
      </c>
      <c r="F82" s="45" t="str">
        <f>IF(FORMULACIÓN!H82="","",FORMULACIÓN!H82)</f>
        <v>N° de revista editadas bajo el sello Editorial Uniatlántico indexada en Scopus</v>
      </c>
      <c r="G82" s="45" t="str">
        <f>IF(FORMULACIÓN!I82="","",FORMULACIÓN!I82)</f>
        <v>Unidad</v>
      </c>
      <c r="H82" s="45" t="str">
        <f>IF(FORMULACIÓN!J82="","",FORMULACIÓN!J82)</f>
        <v>Nuevo gestionado durante la vigencia</v>
      </c>
      <c r="I82" s="188" t="str">
        <f ca="1">IF($G82=Lists!$R$3,"PDI: "&amp;TEXT(FORMULACIÓN!Q82,"00,00%")&amp;CHAR(10)&amp;CHAR(10)&amp;"T1: "&amp;TEXT(FORMULACIÓN!L82,"00,00%")&amp;CHAR(10)&amp;"T2: "&amp;TEXT(FORMULACIÓN!M82,"00,00%")&amp;CHAR(10)&amp;"T3: "&amp;TEXT(FORMULACIÓN!N82,"00,00%")&amp;CHAR(10)&amp;"Tn: "&amp;TEXT(FORMULACIÓN!O82,"00,00%"),IF(FORMULACIÓN!Q82=0,0,"PDI: "&amp;TEXT(FORMULACIÓN!Q82,"##.###")&amp;CHAR(10)&amp;CHAR(10)&amp;"T1: "&amp;TEXT(FORMULACIÓN!L82,"##.###")&amp;CHAR(10)&amp;"T2: "&amp;TEXT(FORMULACIÓN!M82,"##.###")&amp;CHAR(10)&amp;"T3: "&amp;TEXT(FORMULACIÓN!N82,"##.###")&amp;CHAR(10)&amp;"Tn: "&amp;TEXT(FORMULACIÓN!O82,"##.###")))</f>
        <v>PDI: 7
T1: 2
T2: 2
T3: 2
Tn: 1</v>
      </c>
      <c r="J82" s="122">
        <f>IF(FORMULACIÓN!K82&lt;&gt;"",FORMULACIÓN!K82,"")</f>
        <v>1</v>
      </c>
      <c r="K82" s="310">
        <v>1</v>
      </c>
      <c r="L82" s="58"/>
      <c r="M82" s="58"/>
      <c r="N82" s="58"/>
      <c r="O82" s="47">
        <f ca="1">IFERROR(IF($H82=Lists!$S$2,SUM('SEGUIMIENTO Y EVALUACIÓN'!J82:N82),IF('SEGUIMIENTO Y EVALUACIÓN'!$H82=Lists!$S$3,SUM('SEGUIMIENTO Y EVALUACIÓN'!K82:N82),IF('SEGUIMIENTO Y EVALUACIÓN'!$H82=Lists!$S$4,AVERAGE('SEGUIMIENTO Y EVALUACIÓN'!K82:N82),IF('SEGUIMIENTO Y EVALUACIÓN'!$H82=Lists!$S$5,OFFSET(J82,0,COUNTA(K82:N82)),IF($H82=Lists!$S$6,COUNTIF(K82:N82,"&lt;"&amp;FORMULACIÓN!Q82)/COUNT('SEGUIMIENTO Y EVALUACIÓN'!K82:N82),""))))),"")</f>
        <v>1</v>
      </c>
      <c r="P82" s="51" t="str">
        <f ca="1">IF($G82=Lists!$R$3,TEXT('SEGUIMIENTO Y EVALUACIÓN'!O82,"00,00%"),IF('SEGUIMIENTO Y EVALUACIÓN'!O82=0,0,TEXT('SEGUIMIENTO Y EVALUACIÓN'!O82,"##.###")))</f>
        <v>1</v>
      </c>
      <c r="Q82" s="209" t="str">
        <f>IF(FORMULACIÓN!R82&lt;&gt;"",FORMULACIÓN!R82,"")</f>
        <v>P1 - Desarrollo de la investigación básica y aplicada con impacto en  aspectos sociales, políticos, culturales, económicos y/o tecnológicos en los contextos regional, nacional e internacional</v>
      </c>
      <c r="R82" s="209">
        <f>IF(FORMULACIÓN!S82&lt;&gt;"",FORMULACIÓN!S82,"")</f>
        <v>0.03</v>
      </c>
      <c r="S82" s="209" t="str">
        <f>IF(FORMULACIÓN!T82&lt;&gt;"",FORMULACIÓN!T82,"")</f>
        <v>Vicerrector de Investigación, Extensión y Proyección Social</v>
      </c>
      <c r="T82" s="42"/>
      <c r="U82" s="42"/>
      <c r="V82" s="42"/>
      <c r="W82" s="43" t="str">
        <f t="shared" si="9"/>
        <v/>
      </c>
      <c r="X82" s="42"/>
      <c r="Y82" s="42"/>
      <c r="Z82" s="42"/>
      <c r="AA82" s="43" t="str">
        <f t="shared" si="10"/>
        <v/>
      </c>
      <c r="AB82" s="42"/>
      <c r="AC82" s="42"/>
      <c r="AD82" s="42"/>
      <c r="AE82" s="43" t="str">
        <f t="shared" si="11"/>
        <v/>
      </c>
      <c r="AF82" s="42"/>
      <c r="AG82" s="42"/>
      <c r="AH82" s="42"/>
      <c r="AI82" s="46" t="str">
        <f t="shared" si="12"/>
        <v/>
      </c>
      <c r="AJ82" s="46" t="str">
        <f>IF(SUM(AA82,AE82,W82,AI82)=0,"",SUM((AA82,AE82,W82,AI82)))</f>
        <v/>
      </c>
      <c r="AK82"/>
      <c r="AL82" s="1" t="str">
        <f t="shared" si="13"/>
        <v>L2M2P1</v>
      </c>
      <c r="AM82" s="56" t="str">
        <f t="shared" si="14"/>
        <v xml:space="preserve">Revistas científicas editadas bajo el sello Editorial Uniatlántico </v>
      </c>
      <c r="AN82" s="112" t="str">
        <f ca="1">IF($G82=Lists!$R$3,"T1: "&amp;TEXT(FORMULACIÓN!L82,"00,00%")&amp;CHAR(10)&amp;"T2: "&amp;TEXT(FORMULACIÓN!M82,"00,00%")&amp;CHAR(10)&amp;"T3: "&amp;TEXT(FORMULACIÓN!N82,"00,00%")&amp;CHAR(10)&amp;"Tn: "&amp;TEXT(FORMULACIÓN!O82,"00,00%"),IF(FORMULACIÓN!Q82=0,0,"T1: "&amp;TEXT(FORMULACIÓN!L82,"##.###")&amp;CHAR(10)&amp;"T2: "&amp;TEXT(FORMULACIÓN!M82,"##.###")&amp;CHAR(10)&amp;"T3: "&amp;TEXT(FORMULACIÓN!N82,"##.###")&amp;CHAR(10)&amp;"Tn: "&amp;TEXT(FORMULACIÓN!O82,"##.###")))</f>
        <v>T1: 2
T2: 2
T3: 2
Tn: 1</v>
      </c>
      <c r="AO82" s="117">
        <f>IFERROR(IF($H82=Lists!$S$6,IF(AND(FORMULACIÓN!L82&gt;K82,K82&gt;0),1,0),IF((K82/FORMULACIÓN!L82)&lt;&gt;0,K82/FORMULACIÓN!L82,0)),"")</f>
        <v>0.5</v>
      </c>
      <c r="AP82" s="117">
        <f>IFERROR(IF($H82=Lists!$S$6,IF(AND(FORMULACIÓN!M82&gt;L82,L82&gt;0),1,0),IF((L82/FORMULACIÓN!M82)&lt;&gt;0,L82/FORMULACIÓN!M82,0)),"")</f>
        <v>0</v>
      </c>
      <c r="AQ82" s="117">
        <f>IFERROR(IF($H82=Lists!$S$6,IF(AND(FORMULACIÓN!N82&gt;M82,M82&gt;0),1,0),IF((M82/FORMULACIÓN!N82)&lt;&gt;0,M82/FORMULACIÓN!N82,0)),"")</f>
        <v>0</v>
      </c>
      <c r="AR82" s="117">
        <f>IFERROR(IF($H82=Lists!$S$6,IF(AND(FORMULACIÓN!O82&gt;N82,N82&gt;0),1,0),IF((N82/FORMULACIÓN!O82)&lt;&gt;0,N82/FORMULACIÓN!O82,0)),"")</f>
        <v>0</v>
      </c>
      <c r="AS82" s="110"/>
      <c r="AT82" s="118" t="str">
        <f ca="1">IF($H82=Lists!$S$6,TEXT(COUNTIF('SEGUIMIENTO Y EVALUACIÓN'!K82:N82,"&lt;"&amp;FORMULACIÓN!Q82),"##.###")&amp;" / "&amp;TEXT(COUNTIF('SEGUIMIENTO Y EVALUACIÓN'!K82:N82,"&gt;"&amp;0),"##.###"),IF($G82=Lists!$R$3,TEXT('SEGUIMIENTO Y EVALUACIÓN'!O82,"00,00%")&amp;" / "&amp;TEXT(FORMULACIÓN!P82,"00,00%"),IF('SEGUIMIENTO Y EVALUACIÓN'!O82=0,0,TEXT('SEGUIMIENTO Y EVALUACIÓN'!O82,"##.###")&amp;" / "&amp;TEXT(FORMULACIÓN!P82,"##.###"))))</f>
        <v>1 / 7</v>
      </c>
      <c r="AU82" s="57">
        <f ca="1">IFERROR(IF((P82/FORMULACIÓN!Q82)&lt;&gt;0,IF($H82=Lists!$S$6,COUNTIF('SEGUIMIENTO Y EVALUACIÓN'!K82:N82,"&lt;"&amp;FORMULACIÓN!Q82),'SEGUIMIENTO Y EVALUACIÓN'!P82)/IF($H82=Lists!$S$6,COUNTIF('SEGUIMIENTO Y EVALUACIÓN'!K82:N82,"&gt;"&amp;0),FORMULACIÓN!P82),0),0)</f>
        <v>0.14285714285714285</v>
      </c>
      <c r="AV82" s="93">
        <f t="shared" ca="1" si="15"/>
        <v>4.2857142857142851E-3</v>
      </c>
      <c r="AW82" s="93" cm="1">
        <f t="array" ref="AW82">IF(INDEX(AO82:AU82,1,$AV$3)&gt;1,IF($AU$2=1,1,INDEX(AO82:AU82,1,$AV$3)),INDEX(AO82:AU82,1,$AV$3))</f>
        <v>0.5</v>
      </c>
      <c r="AX82"/>
      <c r="AY82" s="119" t="str">
        <f>IFERROR(IF((W82/FORMULACIÓN!X82)&lt;&gt;0,W82/FORMULACIÓN!X82,0),"")</f>
        <v/>
      </c>
      <c r="AZ82" s="119" t="str">
        <f>IFERROR(IF((AA82/FORMULACIÓN!AB82)&lt;&gt;0,AA82/FORMULACIÓN!AB82,0),"")</f>
        <v/>
      </c>
      <c r="BA82" s="119" t="str">
        <f>IFERROR(IF((AE82/FORMULACIÓN!AF82)&lt;&gt;0,(AE82/FORMULACIÓN!AF82),0),"")</f>
        <v/>
      </c>
      <c r="BB82" s="119" t="str">
        <f>IFERROR(IF((AI82/FORMULACIÓN!AJ82)&lt;&gt;0,AI82/FORMULACIÓN!AJ82,0),"")</f>
        <v/>
      </c>
      <c r="BC82" s="120" t="str">
        <f>IF('SEGUIMIENTO Y EVALUACIÓN'!AI82=0,0,TEXT('SEGUIMIENTO Y EVALUACIÓN'!AI82,"$ ##.###")&amp;" / "&amp;TEXT(FORMULACIÓN!AK82,"$ ##.###"))</f>
        <v xml:space="preserve"> / $ 800.645.788</v>
      </c>
      <c r="BD82" s="57">
        <f>IFERROR(IF((AJ82/FORMULACIÓN!AK82)&lt;&gt;0,AJ82/FORMULACIÓN!AK82,0),0)</f>
        <v>0</v>
      </c>
      <c r="BJ82"/>
      <c r="BK82"/>
      <c r="CL82" s="7"/>
    </row>
    <row r="83" spans="1:90" s="1" customFormat="1" ht="101.25">
      <c r="A83" s="45">
        <f>IF(FORMULACIÓN!A83="","",FORMULACIÓN!A83)</f>
        <v>72</v>
      </c>
      <c r="B83" s="45" t="str">
        <f>IF(FORMULACIÓN!B83="","",FORMULACIÓN!B83)</f>
        <v>L2 - Investigación y Redes de conocimiento para el desarrollo de la sociedad</v>
      </c>
      <c r="C83" s="45" t="str">
        <f>IF(FORMULACIÓN!E83="","",FORMULACIÓN!E83)</f>
        <v xml:space="preserve">M2 - Investigación y desarrollo científico. </v>
      </c>
      <c r="D83" s="45" t="str">
        <f>IF(FORMULACIÓN!F83="","",FORMULACIÓN!F83)</f>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v>
      </c>
      <c r="E83" s="45" t="str">
        <f>IF(FORMULACIÓN!G83="","",FORMULACIÓN!G83)</f>
        <v xml:space="preserve">Revistas científicas editadas bajo el sello Editorial Uniatlántico </v>
      </c>
      <c r="F83" s="45" t="str">
        <f>IF(FORMULACIÓN!H83="","",FORMULACIÓN!H83)</f>
        <v xml:space="preserve">N° de revista editadas bajo el sello Editorial Uniatlántico en Publindex en categoría B </v>
      </c>
      <c r="G83" s="45" t="str">
        <f>IF(FORMULACIÓN!I83="","",FORMULACIÓN!I83)</f>
        <v>Unidad</v>
      </c>
      <c r="H83" s="45" t="str">
        <f>IF(FORMULACIÓN!J83="","",FORMULACIÓN!J83)</f>
        <v>Nuevo gestionado durante la vigencia</v>
      </c>
      <c r="I83" s="188" t="str">
        <f ca="1">IF($G83=Lists!$R$3,"PDI: "&amp;TEXT(FORMULACIÓN!Q83,"00,00%")&amp;CHAR(10)&amp;CHAR(10)&amp;"T1: "&amp;TEXT(FORMULACIÓN!L83,"00,00%")&amp;CHAR(10)&amp;"T2: "&amp;TEXT(FORMULACIÓN!M83,"00,00%")&amp;CHAR(10)&amp;"T3: "&amp;TEXT(FORMULACIÓN!N83,"00,00%")&amp;CHAR(10)&amp;"Tn: "&amp;TEXT(FORMULACIÓN!O83,"00,00%"),IF(FORMULACIÓN!Q83=0,0,"PDI: "&amp;TEXT(FORMULACIÓN!Q83,"##.###")&amp;CHAR(10)&amp;CHAR(10)&amp;"T1: "&amp;TEXT(FORMULACIÓN!L83,"##.###")&amp;CHAR(10)&amp;"T2: "&amp;TEXT(FORMULACIÓN!M83,"##.###")&amp;CHAR(10)&amp;"T3: "&amp;TEXT(FORMULACIÓN!N83,"##.###")&amp;CHAR(10)&amp;"Tn: "&amp;TEXT(FORMULACIÓN!O83,"##.###")))</f>
        <v>PDI: 7
T1: 2
T2: 2
T3: 2
Tn: 1</v>
      </c>
      <c r="J83" s="122">
        <f>IF(FORMULACIÓN!K83&lt;&gt;"",FORMULACIÓN!K83,"")</f>
        <v>3</v>
      </c>
      <c r="K83" s="310">
        <v>3</v>
      </c>
      <c r="L83" s="58"/>
      <c r="M83" s="58"/>
      <c r="N83" s="58"/>
      <c r="O83" s="47">
        <f ca="1">IFERROR(IF($H83=Lists!$S$2,SUM('SEGUIMIENTO Y EVALUACIÓN'!J83:N83),IF('SEGUIMIENTO Y EVALUACIÓN'!$H83=Lists!$S$3,SUM('SEGUIMIENTO Y EVALUACIÓN'!K83:N83),IF('SEGUIMIENTO Y EVALUACIÓN'!$H83=Lists!$S$4,AVERAGE('SEGUIMIENTO Y EVALUACIÓN'!K83:N83),IF('SEGUIMIENTO Y EVALUACIÓN'!$H83=Lists!$S$5,OFFSET(J83,0,COUNTA(K83:N83)),IF($H83=Lists!$S$6,COUNTIF(K83:N83,"&lt;"&amp;FORMULACIÓN!Q83)/COUNT('SEGUIMIENTO Y EVALUACIÓN'!K83:N83),""))))),"")</f>
        <v>3</v>
      </c>
      <c r="P83" s="51" t="str">
        <f ca="1">IF($G83=Lists!$R$3,TEXT('SEGUIMIENTO Y EVALUACIÓN'!O83,"00,00%"),IF('SEGUIMIENTO Y EVALUACIÓN'!O83=0,0,TEXT('SEGUIMIENTO Y EVALUACIÓN'!O83,"##.###")))</f>
        <v>3</v>
      </c>
      <c r="Q83" s="209" t="str">
        <f>IF(FORMULACIÓN!R83&lt;&gt;"",FORMULACIÓN!R83,"")</f>
        <v>P1 - Desarrollo de la investigación básica y aplicada con impacto en  aspectos sociales, políticos, culturales, económicos y/o tecnológicos en los contextos regional, nacional e internacional</v>
      </c>
      <c r="R83" s="209">
        <f>IF(FORMULACIÓN!S83&lt;&gt;"",FORMULACIÓN!S83,"")</f>
        <v>0.03</v>
      </c>
      <c r="S83" s="209" t="str">
        <f>IF(FORMULACIÓN!T83&lt;&gt;"",FORMULACIÓN!T83,"")</f>
        <v>Vicerrector de Investigación, Extensión y Proyección Social</v>
      </c>
      <c r="T83" s="42"/>
      <c r="U83" s="42"/>
      <c r="V83" s="42"/>
      <c r="W83" s="43" t="str">
        <f t="shared" si="9"/>
        <v/>
      </c>
      <c r="X83" s="42"/>
      <c r="Y83" s="42"/>
      <c r="Z83" s="42"/>
      <c r="AA83" s="43" t="str">
        <f t="shared" si="10"/>
        <v/>
      </c>
      <c r="AB83" s="42"/>
      <c r="AC83" s="42"/>
      <c r="AD83" s="42"/>
      <c r="AE83" s="43" t="str">
        <f t="shared" si="11"/>
        <v/>
      </c>
      <c r="AF83" s="42"/>
      <c r="AG83" s="42"/>
      <c r="AH83" s="42"/>
      <c r="AI83" s="46" t="str">
        <f t="shared" si="12"/>
        <v/>
      </c>
      <c r="AJ83" s="46" t="str">
        <f>IF(SUM(AA83,AE83,W83,AI83)=0,"",SUM((AA83,AE83,W83,AI83)))</f>
        <v/>
      </c>
      <c r="AK83"/>
      <c r="AL83" s="1" t="str">
        <f t="shared" si="13"/>
        <v>L2M2P1</v>
      </c>
      <c r="AM83" s="56" t="str">
        <f t="shared" si="14"/>
        <v xml:space="preserve">Revistas científicas editadas bajo el sello Editorial Uniatlántico </v>
      </c>
      <c r="AN83" s="112" t="str">
        <f ca="1">IF($G83=Lists!$R$3,"T1: "&amp;TEXT(FORMULACIÓN!L83,"00,00%")&amp;CHAR(10)&amp;"T2: "&amp;TEXT(FORMULACIÓN!M83,"00,00%")&amp;CHAR(10)&amp;"T3: "&amp;TEXT(FORMULACIÓN!N83,"00,00%")&amp;CHAR(10)&amp;"Tn: "&amp;TEXT(FORMULACIÓN!O83,"00,00%"),IF(FORMULACIÓN!Q83=0,0,"T1: "&amp;TEXT(FORMULACIÓN!L83,"##.###")&amp;CHAR(10)&amp;"T2: "&amp;TEXT(FORMULACIÓN!M83,"##.###")&amp;CHAR(10)&amp;"T3: "&amp;TEXT(FORMULACIÓN!N83,"##.###")&amp;CHAR(10)&amp;"Tn: "&amp;TEXT(FORMULACIÓN!O83,"##.###")))</f>
        <v>T1: 2
T2: 2
T3: 2
Tn: 1</v>
      </c>
      <c r="AO83" s="117">
        <f>IFERROR(IF($H83=Lists!$S$6,IF(AND(FORMULACIÓN!L83&gt;K83,K83&gt;0),1,0),IF((K83/FORMULACIÓN!L83)&lt;&gt;0,K83/FORMULACIÓN!L83,0)),"")</f>
        <v>1.5</v>
      </c>
      <c r="AP83" s="117">
        <f>IFERROR(IF($H83=Lists!$S$6,IF(AND(FORMULACIÓN!M83&gt;L83,L83&gt;0),1,0),IF((L83/FORMULACIÓN!M83)&lt;&gt;0,L83/FORMULACIÓN!M83,0)),"")</f>
        <v>0</v>
      </c>
      <c r="AQ83" s="117">
        <f>IFERROR(IF($H83=Lists!$S$6,IF(AND(FORMULACIÓN!N83&gt;M83,M83&gt;0),1,0),IF((M83/FORMULACIÓN!N83)&lt;&gt;0,M83/FORMULACIÓN!N83,0)),"")</f>
        <v>0</v>
      </c>
      <c r="AR83" s="117">
        <f>IFERROR(IF($H83=Lists!$S$6,IF(AND(FORMULACIÓN!O83&gt;N83,N83&gt;0),1,0),IF((N83/FORMULACIÓN!O83)&lt;&gt;0,N83/FORMULACIÓN!O83,0)),"")</f>
        <v>0</v>
      </c>
      <c r="AS83" s="110"/>
      <c r="AT83" s="118" t="str">
        <f ca="1">IF($H83=Lists!$S$6,TEXT(COUNTIF('SEGUIMIENTO Y EVALUACIÓN'!K83:N83,"&lt;"&amp;FORMULACIÓN!Q83),"##.###")&amp;" / "&amp;TEXT(COUNTIF('SEGUIMIENTO Y EVALUACIÓN'!K83:N83,"&gt;"&amp;0),"##.###"),IF($G83=Lists!$R$3,TEXT('SEGUIMIENTO Y EVALUACIÓN'!O83,"00,00%")&amp;" / "&amp;TEXT(FORMULACIÓN!P83,"00,00%"),IF('SEGUIMIENTO Y EVALUACIÓN'!O83=0,0,TEXT('SEGUIMIENTO Y EVALUACIÓN'!O83,"##.###")&amp;" / "&amp;TEXT(FORMULACIÓN!P83,"##.###"))))</f>
        <v>3 / 7</v>
      </c>
      <c r="AU83" s="57">
        <f ca="1">IFERROR(IF((P83/FORMULACIÓN!Q83)&lt;&gt;0,IF($H83=Lists!$S$6,COUNTIF('SEGUIMIENTO Y EVALUACIÓN'!K83:N83,"&lt;"&amp;FORMULACIÓN!Q83),'SEGUIMIENTO Y EVALUACIÓN'!P83)/IF($H83=Lists!$S$6,COUNTIF('SEGUIMIENTO Y EVALUACIÓN'!K83:N83,"&gt;"&amp;0),FORMULACIÓN!P83),0),0)</f>
        <v>0.42857142857142855</v>
      </c>
      <c r="AV83" s="93">
        <f t="shared" ca="1" si="15"/>
        <v>1.2857142857142855E-2</v>
      </c>
      <c r="AW83" s="93" cm="1">
        <f t="array" ref="AW83">IF(INDEX(AO83:AU83,1,$AV$3)&gt;1,IF($AU$2=1,1,INDEX(AO83:AU83,1,$AV$3)),INDEX(AO83:AU83,1,$AV$3))</f>
        <v>1</v>
      </c>
      <c r="AX83"/>
      <c r="AY83" s="119" t="str">
        <f>IFERROR(IF((W83/FORMULACIÓN!X83)&lt;&gt;0,W83/FORMULACIÓN!X83,0),"")</f>
        <v/>
      </c>
      <c r="AZ83" s="119" t="str">
        <f>IFERROR(IF((AA83/FORMULACIÓN!AB83)&lt;&gt;0,AA83/FORMULACIÓN!AB83,0),"")</f>
        <v/>
      </c>
      <c r="BA83" s="119" t="str">
        <f>IFERROR(IF((AE83/FORMULACIÓN!AF83)&lt;&gt;0,(AE83/FORMULACIÓN!AF83),0),"")</f>
        <v/>
      </c>
      <c r="BB83" s="119" t="str">
        <f>IFERROR(IF((AI83/FORMULACIÓN!AJ83)&lt;&gt;0,AI83/FORMULACIÓN!AJ83,0),"")</f>
        <v/>
      </c>
      <c r="BC83" s="120" t="str">
        <f>IF('SEGUIMIENTO Y EVALUACIÓN'!AI83=0,0,TEXT('SEGUIMIENTO Y EVALUACIÓN'!AI83,"$ ##.###")&amp;" / "&amp;TEXT(FORMULACIÓN!AK83,"$ ##.###"))</f>
        <v xml:space="preserve"> / $ 1.501.210.852</v>
      </c>
      <c r="BD83" s="57">
        <f>IFERROR(IF((AJ83/FORMULACIÓN!AK83)&lt;&gt;0,AJ83/FORMULACIÓN!AK83,0),0)</f>
        <v>0</v>
      </c>
      <c r="BJ83"/>
      <c r="BK83"/>
      <c r="CL83" s="7"/>
    </row>
    <row r="84" spans="1:90" s="1" customFormat="1" ht="101.25">
      <c r="A84" s="45">
        <f>IF(FORMULACIÓN!A84="","",FORMULACIÓN!A84)</f>
        <v>73</v>
      </c>
      <c r="B84" s="45" t="str">
        <f>IF(FORMULACIÓN!B84="","",FORMULACIÓN!B84)</f>
        <v>L2 - Investigación y Redes de conocimiento para el desarrollo de la sociedad</v>
      </c>
      <c r="C84" s="45" t="str">
        <f>IF(FORMULACIÓN!E84="","",FORMULACIÓN!E84)</f>
        <v xml:space="preserve">M2 - Investigación y desarrollo científico. </v>
      </c>
      <c r="D84" s="45" t="str">
        <f>IF(FORMULACIÓN!F84="","",FORMULACIÓN!F84)</f>
        <v>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v>
      </c>
      <c r="E84" s="45" t="str">
        <f>IF(FORMULACIÓN!G84="","",FORMULACIÓN!G84)</f>
        <v xml:space="preserve">Movilidad de estudiantes UA vinculados a semilleros a nivel nacional e internacional </v>
      </c>
      <c r="F84" s="45" t="str">
        <f>IF(FORMULACIÓN!H84="","",FORMULACIÓN!H84)</f>
        <v xml:space="preserve">N° de estudiantes vinculados a semilleros de investigación que realizan movilidad nacional  </v>
      </c>
      <c r="G84" s="45" t="str">
        <f>IF(FORMULACIÓN!I84="","",FORMULACIÓN!I84)</f>
        <v>Unidad</v>
      </c>
      <c r="H84" s="45" t="str">
        <f>IF(FORMULACIÓN!J84="","",FORMULACIÓN!J84)</f>
        <v>Nuevo gestionado durante la vigencia</v>
      </c>
      <c r="I84" s="188" t="str">
        <f ca="1">IF($G84=Lists!$R$3,"PDI: "&amp;TEXT(FORMULACIÓN!Q84,"00,00%")&amp;CHAR(10)&amp;CHAR(10)&amp;"T1: "&amp;TEXT(FORMULACIÓN!L84,"00,00%")&amp;CHAR(10)&amp;"T2: "&amp;TEXT(FORMULACIÓN!M84,"00,00%")&amp;CHAR(10)&amp;"T3: "&amp;TEXT(FORMULACIÓN!N84,"00,00%")&amp;CHAR(10)&amp;"Tn: "&amp;TEXT(FORMULACIÓN!O84,"00,00%"),IF(FORMULACIÓN!Q84=0,0,"PDI: "&amp;TEXT(FORMULACIÓN!Q84,"##.###")&amp;CHAR(10)&amp;CHAR(10)&amp;"T1: "&amp;TEXT(FORMULACIÓN!L84,"##.###")&amp;CHAR(10)&amp;"T2: "&amp;TEXT(FORMULACIÓN!M84,"##.###")&amp;CHAR(10)&amp;"T3: "&amp;TEXT(FORMULACIÓN!N84,"##.###")&amp;CHAR(10)&amp;"Tn: "&amp;TEXT(FORMULACIÓN!O84,"##.###")))</f>
        <v>PDI: 250
T1: 75
T2: 75
T3: 75
Tn: 25</v>
      </c>
      <c r="J84" s="122">
        <f>IF(FORMULACIÓN!K84&lt;&gt;"",FORMULACIÓN!K84,"")</f>
        <v>10</v>
      </c>
      <c r="K84" s="310">
        <v>797</v>
      </c>
      <c r="L84" s="58"/>
      <c r="M84" s="58"/>
      <c r="N84" s="58"/>
      <c r="O84" s="47">
        <f ca="1">IFERROR(IF($H84=Lists!$S$2,SUM('SEGUIMIENTO Y EVALUACIÓN'!J84:N84),IF('SEGUIMIENTO Y EVALUACIÓN'!$H84=Lists!$S$3,SUM('SEGUIMIENTO Y EVALUACIÓN'!K84:N84),IF('SEGUIMIENTO Y EVALUACIÓN'!$H84=Lists!$S$4,AVERAGE('SEGUIMIENTO Y EVALUACIÓN'!K84:N84),IF('SEGUIMIENTO Y EVALUACIÓN'!$H84=Lists!$S$5,OFFSET(J84,0,COUNTA(K84:N84)),IF($H84=Lists!$S$6,COUNTIF(K84:N84,"&lt;"&amp;FORMULACIÓN!Q84)/COUNT('SEGUIMIENTO Y EVALUACIÓN'!K84:N84),""))))),"")</f>
        <v>797</v>
      </c>
      <c r="P84" s="51" t="str">
        <f ca="1">IF($G84=Lists!$R$3,TEXT('SEGUIMIENTO Y EVALUACIÓN'!O84,"00,00%"),IF('SEGUIMIENTO Y EVALUACIÓN'!O84=0,0,TEXT('SEGUIMIENTO Y EVALUACIÓN'!O84,"##.###")))</f>
        <v>797</v>
      </c>
      <c r="Q84" s="209" t="str">
        <f>IF(FORMULACIÓN!R84&lt;&gt;"",FORMULACIÓN!R84,"")</f>
        <v>P1 - Desarrollo de la investigación básica y aplicada con impacto en  aspectos sociales, políticos, culturales, económicos y/o tecnológicos en los contextos regional, nacional e internacional</v>
      </c>
      <c r="R84" s="209">
        <f>IF(FORMULACIÓN!S84&lt;&gt;"",FORMULACIÓN!S84,"")</f>
        <v>0.03</v>
      </c>
      <c r="S84" s="209" t="str">
        <f>IF(FORMULACIÓN!T84&lt;&gt;"",FORMULACIÓN!T84,"")</f>
        <v>Vicerrector de Investigación, Extensión y Proyección Social</v>
      </c>
      <c r="T84" s="42"/>
      <c r="U84" s="42"/>
      <c r="V84" s="42"/>
      <c r="W84" s="43" t="str">
        <f t="shared" si="9"/>
        <v/>
      </c>
      <c r="X84" s="42"/>
      <c r="Y84" s="42"/>
      <c r="Z84" s="42"/>
      <c r="AA84" s="43" t="str">
        <f t="shared" si="10"/>
        <v/>
      </c>
      <c r="AB84" s="42"/>
      <c r="AC84" s="42"/>
      <c r="AD84" s="42"/>
      <c r="AE84" s="43" t="str">
        <f t="shared" si="11"/>
        <v/>
      </c>
      <c r="AF84" s="42"/>
      <c r="AG84" s="42"/>
      <c r="AH84" s="42"/>
      <c r="AI84" s="46" t="str">
        <f t="shared" si="12"/>
        <v/>
      </c>
      <c r="AJ84" s="46" t="str">
        <f>IF(SUM(AA84,AE84,W84,AI84)=0,"",SUM((AA84,AE84,W84,AI84)))</f>
        <v/>
      </c>
      <c r="AK84"/>
      <c r="AL84" s="1" t="str">
        <f t="shared" si="13"/>
        <v>L2M2P1</v>
      </c>
      <c r="AM84" s="56" t="str">
        <f t="shared" si="14"/>
        <v xml:space="preserve">Movilidad de estudiantes UA vinculados a semilleros a nivel nacional e internacional </v>
      </c>
      <c r="AN84" s="112" t="str">
        <f ca="1">IF($G84=Lists!$R$3,"T1: "&amp;TEXT(FORMULACIÓN!L84,"00,00%")&amp;CHAR(10)&amp;"T2: "&amp;TEXT(FORMULACIÓN!M84,"00,00%")&amp;CHAR(10)&amp;"T3: "&amp;TEXT(FORMULACIÓN!N84,"00,00%")&amp;CHAR(10)&amp;"Tn: "&amp;TEXT(FORMULACIÓN!O84,"00,00%"),IF(FORMULACIÓN!Q84=0,0,"T1: "&amp;TEXT(FORMULACIÓN!L84,"##.###")&amp;CHAR(10)&amp;"T2: "&amp;TEXT(FORMULACIÓN!M84,"##.###")&amp;CHAR(10)&amp;"T3: "&amp;TEXT(FORMULACIÓN!N84,"##.###")&amp;CHAR(10)&amp;"Tn: "&amp;TEXT(FORMULACIÓN!O84,"##.###")))</f>
        <v>T1: 75
T2: 75
T3: 75
Tn: 25</v>
      </c>
      <c r="AO84" s="117">
        <f>IFERROR(IF($H84=Lists!$S$6,IF(AND(FORMULACIÓN!L84&gt;K84,K84&gt;0),1,0),IF((K84/FORMULACIÓN!L84)&lt;&gt;0,K84/FORMULACIÓN!L84,0)),"")</f>
        <v>10.626666666666667</v>
      </c>
      <c r="AP84" s="117">
        <f>IFERROR(IF($H84=Lists!$S$6,IF(AND(FORMULACIÓN!M84&gt;L84,L84&gt;0),1,0),IF((L84/FORMULACIÓN!M84)&lt;&gt;0,L84/FORMULACIÓN!M84,0)),"")</f>
        <v>0</v>
      </c>
      <c r="AQ84" s="117">
        <f>IFERROR(IF($H84=Lists!$S$6,IF(AND(FORMULACIÓN!N84&gt;M84,M84&gt;0),1,0),IF((M84/FORMULACIÓN!N84)&lt;&gt;0,M84/FORMULACIÓN!N84,0)),"")</f>
        <v>0</v>
      </c>
      <c r="AR84" s="117">
        <f>IFERROR(IF($H84=Lists!$S$6,IF(AND(FORMULACIÓN!O84&gt;N84,N84&gt;0),1,0),IF((N84/FORMULACIÓN!O84)&lt;&gt;0,N84/FORMULACIÓN!O84,0)),"")</f>
        <v>0</v>
      </c>
      <c r="AS84" s="110"/>
      <c r="AT84" s="118" t="str">
        <f ca="1">IF($H84=Lists!$S$6,TEXT(COUNTIF('SEGUIMIENTO Y EVALUACIÓN'!K84:N84,"&lt;"&amp;FORMULACIÓN!Q84),"##.###")&amp;" / "&amp;TEXT(COUNTIF('SEGUIMIENTO Y EVALUACIÓN'!K84:N84,"&gt;"&amp;0),"##.###"),IF($G84=Lists!$R$3,TEXT('SEGUIMIENTO Y EVALUACIÓN'!O84,"00,00%")&amp;" / "&amp;TEXT(FORMULACIÓN!P84,"00,00%"),IF('SEGUIMIENTO Y EVALUACIÓN'!O84=0,0,TEXT('SEGUIMIENTO Y EVALUACIÓN'!O84,"##.###")&amp;" / "&amp;TEXT(FORMULACIÓN!P84,"##.###"))))</f>
        <v>797 / 250</v>
      </c>
      <c r="AU84" s="57">
        <f ca="1">IFERROR(IF((P84/FORMULACIÓN!Q84)&lt;&gt;0,IF($H84=Lists!$S$6,COUNTIF('SEGUIMIENTO Y EVALUACIÓN'!K84:N84,"&lt;"&amp;FORMULACIÓN!Q84),'SEGUIMIENTO Y EVALUACIÓN'!P84)/IF($H84=Lists!$S$6,COUNTIF('SEGUIMIENTO Y EVALUACIÓN'!K84:N84,"&gt;"&amp;0),FORMULACIÓN!P84),0),0)</f>
        <v>3.1880000000000002</v>
      </c>
      <c r="AV84" s="93">
        <f t="shared" ca="1" si="15"/>
        <v>0.03</v>
      </c>
      <c r="AW84" s="93" cm="1">
        <f t="array" ref="AW84">IF(INDEX(AO84:AU84,1,$AV$3)&gt;1,IF($AU$2=1,1,INDEX(AO84:AU84,1,$AV$3)),INDEX(AO84:AU84,1,$AV$3))</f>
        <v>1</v>
      </c>
      <c r="AX84"/>
      <c r="AY84" s="119" t="str">
        <f>IFERROR(IF((W84/FORMULACIÓN!X84)&lt;&gt;0,W84/FORMULACIÓN!X84,0),"")</f>
        <v/>
      </c>
      <c r="AZ84" s="119" t="str">
        <f>IFERROR(IF((AA84/FORMULACIÓN!AB84)&lt;&gt;0,AA84/FORMULACIÓN!AB84,0),"")</f>
        <v/>
      </c>
      <c r="BA84" s="119" t="str">
        <f>IFERROR(IF((AE84/FORMULACIÓN!AF84)&lt;&gt;0,(AE84/FORMULACIÓN!AF84),0),"")</f>
        <v/>
      </c>
      <c r="BB84" s="119" t="str">
        <f>IFERROR(IF((AI84/FORMULACIÓN!AJ84)&lt;&gt;0,AI84/FORMULACIÓN!AJ84,0),"")</f>
        <v/>
      </c>
      <c r="BC84" s="120" t="str">
        <f>IF('SEGUIMIENTO Y EVALUACIÓN'!AI84=0,0,TEXT('SEGUIMIENTO Y EVALUACIÓN'!AI84,"$ ##.###")&amp;" / "&amp;TEXT(FORMULACIÓN!AK84,"$ ##.###"))</f>
        <v xml:space="preserve"> / $ 800.645.788</v>
      </c>
      <c r="BD84" s="57">
        <f>IFERROR(IF((AJ84/FORMULACIÓN!AK84)&lt;&gt;0,AJ84/FORMULACIÓN!AK84,0),0)</f>
        <v>0</v>
      </c>
      <c r="BJ84"/>
      <c r="BK84"/>
      <c r="CL84" s="7"/>
    </row>
    <row r="85" spans="1:90" s="1" customFormat="1" ht="101.25">
      <c r="A85" s="45">
        <f>IF(FORMULACIÓN!A85="","",FORMULACIÓN!A85)</f>
        <v>74</v>
      </c>
      <c r="B85" s="45" t="str">
        <f>IF(FORMULACIÓN!B85="","",FORMULACIÓN!B85)</f>
        <v>L2 - Investigación y Redes de conocimiento para el desarrollo de la sociedad</v>
      </c>
      <c r="C85" s="45" t="str">
        <f>IF(FORMULACIÓN!E85="","",FORMULACIÓN!E85)</f>
        <v xml:space="preserve">M2 - Investigación y desarrollo científico. </v>
      </c>
      <c r="D85" s="45" t="str">
        <f>IF(FORMULACIÓN!F85="","",FORMULACIÓN!F85)</f>
        <v>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v>
      </c>
      <c r="E85" s="45" t="str">
        <f>IF(FORMULACIÓN!G85="","",FORMULACIÓN!G85)</f>
        <v xml:space="preserve">Movilidad de estudiantes UA vinculados a semilleros a nivel nacional e internacional </v>
      </c>
      <c r="F85" s="45" t="str">
        <f>IF(FORMULACIÓN!H85="","",FORMULACIÓN!H85)</f>
        <v xml:space="preserve">N° de estudiantes vinculados a semilleros de investigación que realizan movilidad internacional </v>
      </c>
      <c r="G85" s="45" t="str">
        <f>IF(FORMULACIÓN!I85="","",FORMULACIÓN!I85)</f>
        <v>Unidad</v>
      </c>
      <c r="H85" s="45" t="str">
        <f>IF(FORMULACIÓN!J85="","",FORMULACIÓN!J85)</f>
        <v>Nuevo gestionado durante la vigencia</v>
      </c>
      <c r="I85" s="188" t="str">
        <f ca="1">IF($G85=Lists!$R$3,"PDI: "&amp;TEXT(FORMULACIÓN!Q85,"00,00%")&amp;CHAR(10)&amp;CHAR(10)&amp;"T1: "&amp;TEXT(FORMULACIÓN!L85,"00,00%")&amp;CHAR(10)&amp;"T2: "&amp;TEXT(FORMULACIÓN!M85,"00,00%")&amp;CHAR(10)&amp;"T3: "&amp;TEXT(FORMULACIÓN!N85,"00,00%")&amp;CHAR(10)&amp;"Tn: "&amp;TEXT(FORMULACIÓN!O85,"00,00%"),IF(FORMULACIÓN!Q85=0,0,"PDI: "&amp;TEXT(FORMULACIÓN!Q85,"##.###")&amp;CHAR(10)&amp;CHAR(10)&amp;"T1: "&amp;TEXT(FORMULACIÓN!L85,"##.###")&amp;CHAR(10)&amp;"T2: "&amp;TEXT(FORMULACIÓN!M85,"##.###")&amp;CHAR(10)&amp;"T3: "&amp;TEXT(FORMULACIÓN!N85,"##.###")&amp;CHAR(10)&amp;"Tn: "&amp;TEXT(FORMULACIÓN!O85,"##.###")))</f>
        <v>PDI: 100
T1: 30
T2: 30
T3: 30
Tn: 10</v>
      </c>
      <c r="J85" s="122">
        <f>IF(FORMULACIÓN!K85&lt;&gt;"",FORMULACIÓN!K85,"")</f>
        <v>6</v>
      </c>
      <c r="K85" s="310">
        <v>68</v>
      </c>
      <c r="L85" s="58"/>
      <c r="M85" s="58"/>
      <c r="N85" s="58"/>
      <c r="O85" s="47">
        <f ca="1">IFERROR(IF($H85=Lists!$S$2,SUM('SEGUIMIENTO Y EVALUACIÓN'!J85:N85),IF('SEGUIMIENTO Y EVALUACIÓN'!$H85=Lists!$S$3,SUM('SEGUIMIENTO Y EVALUACIÓN'!K85:N85),IF('SEGUIMIENTO Y EVALUACIÓN'!$H85=Lists!$S$4,AVERAGE('SEGUIMIENTO Y EVALUACIÓN'!K85:N85),IF('SEGUIMIENTO Y EVALUACIÓN'!$H85=Lists!$S$5,OFFSET(J85,0,COUNTA(K85:N85)),IF($H85=Lists!$S$6,COUNTIF(K85:N85,"&lt;"&amp;FORMULACIÓN!Q85)/COUNT('SEGUIMIENTO Y EVALUACIÓN'!K85:N85),""))))),"")</f>
        <v>68</v>
      </c>
      <c r="P85" s="51" t="str">
        <f ca="1">IF($G85=Lists!$R$3,TEXT('SEGUIMIENTO Y EVALUACIÓN'!O85,"00,00%"),IF('SEGUIMIENTO Y EVALUACIÓN'!O85=0,0,TEXT('SEGUIMIENTO Y EVALUACIÓN'!O85,"##.###")))</f>
        <v>68</v>
      </c>
      <c r="Q85" s="209" t="str">
        <f>IF(FORMULACIÓN!R85&lt;&gt;"",FORMULACIÓN!R85,"")</f>
        <v>P1 - Desarrollo de la investigación básica y aplicada con impacto en  aspectos sociales, políticos, culturales, económicos y/o tecnológicos en los contextos regional, nacional e internacional</v>
      </c>
      <c r="R85" s="209">
        <f>IF(FORMULACIÓN!S85&lt;&gt;"",FORMULACIÓN!S85,"")</f>
        <v>0.03</v>
      </c>
      <c r="S85" s="209" t="str">
        <f>IF(FORMULACIÓN!T85&lt;&gt;"",FORMULACIÓN!T85,"")</f>
        <v>Vicerrector de Investigación, Extensión y Proyección Social</v>
      </c>
      <c r="T85" s="42"/>
      <c r="U85" s="42"/>
      <c r="V85" s="42"/>
      <c r="W85" s="43" t="str">
        <f t="shared" si="9"/>
        <v/>
      </c>
      <c r="X85" s="42"/>
      <c r="Y85" s="42"/>
      <c r="Z85" s="42"/>
      <c r="AA85" s="43" t="str">
        <f t="shared" si="10"/>
        <v/>
      </c>
      <c r="AB85" s="42"/>
      <c r="AC85" s="42"/>
      <c r="AD85" s="42"/>
      <c r="AE85" s="43" t="str">
        <f t="shared" si="11"/>
        <v/>
      </c>
      <c r="AF85" s="42"/>
      <c r="AG85" s="42"/>
      <c r="AH85" s="42"/>
      <c r="AI85" s="46" t="str">
        <f t="shared" si="12"/>
        <v/>
      </c>
      <c r="AJ85" s="46" t="str">
        <f>IF(SUM(AA85,AE85,W85,AI85)=0,"",SUM((AA85,AE85,W85,AI85)))</f>
        <v/>
      </c>
      <c r="AK85"/>
      <c r="AL85" s="1" t="str">
        <f t="shared" si="13"/>
        <v>L2M2P1</v>
      </c>
      <c r="AM85" s="56" t="str">
        <f t="shared" si="14"/>
        <v xml:space="preserve">Movilidad de estudiantes UA vinculados a semilleros a nivel nacional e internacional </v>
      </c>
      <c r="AN85" s="112" t="str">
        <f ca="1">IF($G85=Lists!$R$3,"T1: "&amp;TEXT(FORMULACIÓN!L85,"00,00%")&amp;CHAR(10)&amp;"T2: "&amp;TEXT(FORMULACIÓN!M85,"00,00%")&amp;CHAR(10)&amp;"T3: "&amp;TEXT(FORMULACIÓN!N85,"00,00%")&amp;CHAR(10)&amp;"Tn: "&amp;TEXT(FORMULACIÓN!O85,"00,00%"),IF(FORMULACIÓN!Q85=0,0,"T1: "&amp;TEXT(FORMULACIÓN!L85,"##.###")&amp;CHAR(10)&amp;"T2: "&amp;TEXT(FORMULACIÓN!M85,"##.###")&amp;CHAR(10)&amp;"T3: "&amp;TEXT(FORMULACIÓN!N85,"##.###")&amp;CHAR(10)&amp;"Tn: "&amp;TEXT(FORMULACIÓN!O85,"##.###")))</f>
        <v>T1: 30
T2: 30
T3: 30
Tn: 10</v>
      </c>
      <c r="AO85" s="117">
        <f>IFERROR(IF($H85=Lists!$S$6,IF(AND(FORMULACIÓN!L85&gt;K85,K85&gt;0),1,0),IF((K85/FORMULACIÓN!L85)&lt;&gt;0,K85/FORMULACIÓN!L85,0)),"")</f>
        <v>2.2666666666666666</v>
      </c>
      <c r="AP85" s="117">
        <f>IFERROR(IF($H85=Lists!$S$6,IF(AND(FORMULACIÓN!M85&gt;L85,L85&gt;0),1,0),IF((L85/FORMULACIÓN!M85)&lt;&gt;0,L85/FORMULACIÓN!M85,0)),"")</f>
        <v>0</v>
      </c>
      <c r="AQ85" s="117">
        <f>IFERROR(IF($H85=Lists!$S$6,IF(AND(FORMULACIÓN!N85&gt;M85,M85&gt;0),1,0),IF((M85/FORMULACIÓN!N85)&lt;&gt;0,M85/FORMULACIÓN!N85,0)),"")</f>
        <v>0</v>
      </c>
      <c r="AR85" s="117">
        <f>IFERROR(IF($H85=Lists!$S$6,IF(AND(FORMULACIÓN!O85&gt;N85,N85&gt;0),1,0),IF((N85/FORMULACIÓN!O85)&lt;&gt;0,N85/FORMULACIÓN!O85,0)),"")</f>
        <v>0</v>
      </c>
      <c r="AS85" s="110"/>
      <c r="AT85" s="118" t="str">
        <f ca="1">IF($H85=Lists!$S$6,TEXT(COUNTIF('SEGUIMIENTO Y EVALUACIÓN'!K85:N85,"&lt;"&amp;FORMULACIÓN!Q85),"##.###")&amp;" / "&amp;TEXT(COUNTIF('SEGUIMIENTO Y EVALUACIÓN'!K85:N85,"&gt;"&amp;0),"##.###"),IF($G85=Lists!$R$3,TEXT('SEGUIMIENTO Y EVALUACIÓN'!O85,"00,00%")&amp;" / "&amp;TEXT(FORMULACIÓN!P85,"00,00%"),IF('SEGUIMIENTO Y EVALUACIÓN'!O85=0,0,TEXT('SEGUIMIENTO Y EVALUACIÓN'!O85,"##.###")&amp;" / "&amp;TEXT(FORMULACIÓN!P85,"##.###"))))</f>
        <v>68 / 100</v>
      </c>
      <c r="AU85" s="57">
        <f ca="1">IFERROR(IF((P85/FORMULACIÓN!Q85)&lt;&gt;0,IF($H85=Lists!$S$6,COUNTIF('SEGUIMIENTO Y EVALUACIÓN'!K85:N85,"&lt;"&amp;FORMULACIÓN!Q85),'SEGUIMIENTO Y EVALUACIÓN'!P85)/IF($H85=Lists!$S$6,COUNTIF('SEGUIMIENTO Y EVALUACIÓN'!K85:N85,"&gt;"&amp;0),FORMULACIÓN!P85),0),0)</f>
        <v>0.68</v>
      </c>
      <c r="AV85" s="93">
        <f t="shared" ca="1" si="15"/>
        <v>2.0400000000000001E-2</v>
      </c>
      <c r="AW85" s="93" cm="1">
        <f t="array" ref="AW85">IF(INDEX(AO85:AU85,1,$AV$3)&gt;1,IF($AU$2=1,1,INDEX(AO85:AU85,1,$AV$3)),INDEX(AO85:AU85,1,$AV$3))</f>
        <v>1</v>
      </c>
      <c r="AX85"/>
      <c r="AY85" s="119" t="str">
        <f>IFERROR(IF((W85/FORMULACIÓN!X85)&lt;&gt;0,W85/FORMULACIÓN!X85,0),"")</f>
        <v/>
      </c>
      <c r="AZ85" s="119" t="str">
        <f>IFERROR(IF((AA85/FORMULACIÓN!AB85)&lt;&gt;0,AA85/FORMULACIÓN!AB85,0),"")</f>
        <v/>
      </c>
      <c r="BA85" s="119" t="str">
        <f>IFERROR(IF((AE85/FORMULACIÓN!AF85)&lt;&gt;0,(AE85/FORMULACIÓN!AF85),0),"")</f>
        <v/>
      </c>
      <c r="BB85" s="119" t="str">
        <f>IFERROR(IF((AI85/FORMULACIÓN!AJ85)&lt;&gt;0,AI85/FORMULACIÓN!AJ85,0),"")</f>
        <v/>
      </c>
      <c r="BC85" s="120" t="str">
        <f>IF('SEGUIMIENTO Y EVALUACIÓN'!AI85=0,0,TEXT('SEGUIMIENTO Y EVALUACIÓN'!AI85,"$ ##.###")&amp;" / "&amp;TEXT(FORMULACIÓN!AK85,"$ ##.###"))</f>
        <v xml:space="preserve"> / $ 1.200.968.682</v>
      </c>
      <c r="BD85" s="57">
        <f>IFERROR(IF((AJ85/FORMULACIÓN!AK85)&lt;&gt;0,AJ85/FORMULACIÓN!AK85,0),0)</f>
        <v>0</v>
      </c>
      <c r="BJ85"/>
      <c r="BK85"/>
      <c r="CL85" s="7"/>
    </row>
    <row r="86" spans="1:90" s="1" customFormat="1" ht="101.25">
      <c r="A86" s="45">
        <f>IF(FORMULACIÓN!A86="","",FORMULACIÓN!A86)</f>
        <v>75</v>
      </c>
      <c r="B86" s="45" t="str">
        <f>IF(FORMULACIÓN!B86="","",FORMULACIÓN!B86)</f>
        <v>L2 - Investigación y Redes de conocimiento para el desarrollo de la sociedad</v>
      </c>
      <c r="C86" s="45" t="str">
        <f>IF(FORMULACIÓN!E86="","",FORMULACIÓN!E86)</f>
        <v xml:space="preserve">M2 - Investigación y desarrollo científico. </v>
      </c>
      <c r="D86" s="45" t="str">
        <f>IF(FORMULACIÓN!F86="","",FORMULACIÓN!F86)</f>
        <v>Categorizar el 70% de los grupos de investigación en A1, A y B al mismo tiempo alcanzar el 50% de los docentes de carrera categorizados como investigadores</v>
      </c>
      <c r="E86" s="45" t="str">
        <f>IF(FORMULACIÓN!G86="","",FORMULACIÓN!G86)</f>
        <v>Grupos de investigación categorizados en A1, A y B</v>
      </c>
      <c r="F86" s="45" t="str">
        <f>IF(FORMULACIÓN!H86="","",FORMULACIÓN!H86)</f>
        <v xml:space="preserve">N° de Grupos de investigación categorizados en A1, A y B / total de grupos de investigación * 100 </v>
      </c>
      <c r="G86" s="45" t="str">
        <f>IF(FORMULACIÓN!I86="","",FORMULACIÓN!I86)</f>
        <v>Porcentaje</v>
      </c>
      <c r="H86" s="45" t="str">
        <f>IF(FORMULACIÓN!J86="","",FORMULACIÓN!J86)</f>
        <v>Último valor reportado</v>
      </c>
      <c r="I86" s="188" t="str">
        <f ca="1">IF($G86=Lists!$R$3,"PDI: "&amp;TEXT(FORMULACIÓN!Q86,"00,00%")&amp;CHAR(10)&amp;CHAR(10)&amp;"T1: "&amp;TEXT(FORMULACIÓN!L86,"00,00%")&amp;CHAR(10)&amp;"T2: "&amp;TEXT(FORMULACIÓN!M86,"00,00%")&amp;CHAR(10)&amp;"T3: "&amp;TEXT(FORMULACIÓN!N86,"00,00%")&amp;CHAR(10)&amp;"Tn: "&amp;TEXT(FORMULACIÓN!O86,"00,00%"),IF(FORMULACIÓN!Q86=0,0,"PDI: "&amp;TEXT(FORMULACIÓN!Q86,"##.###")&amp;CHAR(10)&amp;CHAR(10)&amp;"T1: "&amp;TEXT(FORMULACIÓN!L86,"##.###")&amp;CHAR(10)&amp;"T2: "&amp;TEXT(FORMULACIÓN!M86,"##.###")&amp;CHAR(10)&amp;"T3: "&amp;TEXT(FORMULACIÓN!N86,"##.###")&amp;CHAR(10)&amp;"Tn: "&amp;TEXT(FORMULACIÓN!O86,"##.###")))</f>
        <v>PDI: 70,00%
T1: 60,00%
T2: 65,00%
T3: 70,00%
Tn: 70,00%</v>
      </c>
      <c r="J86" s="122">
        <f>IF(FORMULACIÓN!K86&lt;&gt;"",FORMULACIÓN!K86,"")</f>
        <v>0.51</v>
      </c>
      <c r="K86" s="309">
        <v>0.51</v>
      </c>
      <c r="L86" s="58"/>
      <c r="M86" s="58"/>
      <c r="N86" s="58"/>
      <c r="O86" s="47">
        <f ca="1">IFERROR(IF($H86=Lists!$S$2,SUM('SEGUIMIENTO Y EVALUACIÓN'!J86:N86),IF('SEGUIMIENTO Y EVALUACIÓN'!$H86=Lists!$S$3,SUM('SEGUIMIENTO Y EVALUACIÓN'!K86:N86),IF('SEGUIMIENTO Y EVALUACIÓN'!$H86=Lists!$S$4,AVERAGE('SEGUIMIENTO Y EVALUACIÓN'!K86:N86),IF('SEGUIMIENTO Y EVALUACIÓN'!$H86=Lists!$S$5,OFFSET(J86,0,COUNTA(K86:N86)),IF($H86=Lists!$S$6,COUNTIF(K86:N86,"&lt;"&amp;FORMULACIÓN!Q86)/COUNT('SEGUIMIENTO Y EVALUACIÓN'!K86:N86),""))))),"")</f>
        <v>0.51</v>
      </c>
      <c r="P86" s="51" t="str">
        <f ca="1">IF($G86=Lists!$R$3,TEXT('SEGUIMIENTO Y EVALUACIÓN'!O86,"00,00%"),IF('SEGUIMIENTO Y EVALUACIÓN'!O86=0,0,TEXT('SEGUIMIENTO Y EVALUACIÓN'!O86,"##.###")))</f>
        <v>51,00%</v>
      </c>
      <c r="Q86" s="209" t="str">
        <f>IF(FORMULACIÓN!R86&lt;&gt;"",FORMULACIÓN!R86,"")</f>
        <v>P1 - Desarrollo de la investigación básica y aplicada con impacto en  aspectos sociales, políticos, culturales, económicos y/o tecnológicos en los contextos regional, nacional e internacional</v>
      </c>
      <c r="R86" s="209">
        <f>IF(FORMULACIÓN!S86&lt;&gt;"",FORMULACIÓN!S86,"")</f>
        <v>0.03</v>
      </c>
      <c r="S86" s="209" t="str">
        <f>IF(FORMULACIÓN!T86&lt;&gt;"",FORMULACIÓN!T86,"")</f>
        <v>Vicerrector de Investigación, Extensión y Proyección Social</v>
      </c>
      <c r="T86" s="42"/>
      <c r="U86" s="42"/>
      <c r="V86" s="42"/>
      <c r="W86" s="43" t="str">
        <f t="shared" si="9"/>
        <v/>
      </c>
      <c r="X86" s="42"/>
      <c r="Y86" s="42"/>
      <c r="Z86" s="42"/>
      <c r="AA86" s="43" t="str">
        <f t="shared" si="10"/>
        <v/>
      </c>
      <c r="AB86" s="42"/>
      <c r="AC86" s="42"/>
      <c r="AD86" s="42"/>
      <c r="AE86" s="43" t="str">
        <f t="shared" si="11"/>
        <v/>
      </c>
      <c r="AF86" s="42"/>
      <c r="AG86" s="42"/>
      <c r="AH86" s="42"/>
      <c r="AI86" s="46" t="str">
        <f t="shared" si="12"/>
        <v/>
      </c>
      <c r="AJ86" s="46" t="str">
        <f>IF(SUM(AA86,AE86,W86,AI86)=0,"",SUM((AA86,AE86,W86,AI86)))</f>
        <v/>
      </c>
      <c r="AK86"/>
      <c r="AL86" s="1" t="str">
        <f t="shared" si="13"/>
        <v>L2M2P1</v>
      </c>
      <c r="AM86" s="56" t="str">
        <f t="shared" si="14"/>
        <v>Grupos de investigación categorizados en A1, A y B</v>
      </c>
      <c r="AN86" s="112" t="str">
        <f>IF($G86=Lists!$R$3,"T1: "&amp;TEXT(FORMULACIÓN!L86,"00,00%")&amp;CHAR(10)&amp;"T2: "&amp;TEXT(FORMULACIÓN!M86,"00,00%")&amp;CHAR(10)&amp;"T3: "&amp;TEXT(FORMULACIÓN!N86,"00,00%")&amp;CHAR(10)&amp;"Tn: "&amp;TEXT(FORMULACIÓN!O86,"00,00%"),IF(FORMULACIÓN!Q86=0,0,"T1: "&amp;TEXT(FORMULACIÓN!L86,"##.###")&amp;CHAR(10)&amp;"T2: "&amp;TEXT(FORMULACIÓN!M86,"##.###")&amp;CHAR(10)&amp;"T3: "&amp;TEXT(FORMULACIÓN!N86,"##.###")&amp;CHAR(10)&amp;"Tn: "&amp;TEXT(FORMULACIÓN!O86,"##.###")))</f>
        <v>T1: 60,00%
T2: 65,00%
T3: 70,00%
Tn: 70,00%</v>
      </c>
      <c r="AO86" s="117">
        <f>IFERROR(IF($H86=Lists!$S$6,IF(AND(FORMULACIÓN!L86&gt;K86,K86&gt;0),1,0),IF((K86/FORMULACIÓN!L86)&lt;&gt;0,K86/FORMULACIÓN!L86,0)),"")</f>
        <v>0.85000000000000009</v>
      </c>
      <c r="AP86" s="117">
        <f>IFERROR(IF($H86=Lists!$S$6,IF(AND(FORMULACIÓN!M86&gt;L86,L86&gt;0),1,0),IF((L86/FORMULACIÓN!M86)&lt;&gt;0,L86/FORMULACIÓN!M86,0)),"")</f>
        <v>0</v>
      </c>
      <c r="AQ86" s="117">
        <f>IFERROR(IF($H86=Lists!$S$6,IF(AND(FORMULACIÓN!N86&gt;M86,M86&gt;0),1,0),IF((M86/FORMULACIÓN!N86)&lt;&gt;0,M86/FORMULACIÓN!N86,0)),"")</f>
        <v>0</v>
      </c>
      <c r="AR86" s="117">
        <f>IFERROR(IF($H86=Lists!$S$6,IF(AND(FORMULACIÓN!O86&gt;N86,N86&gt;0),1,0),IF((N86/FORMULACIÓN!O86)&lt;&gt;0,N86/FORMULACIÓN!O86,0)),"")</f>
        <v>0</v>
      </c>
      <c r="AS86" s="110"/>
      <c r="AT86" s="118" t="str">
        <f ca="1">IF($H86=Lists!$S$6,TEXT(COUNTIF('SEGUIMIENTO Y EVALUACIÓN'!K86:N86,"&lt;"&amp;FORMULACIÓN!Q86),"##.###")&amp;" / "&amp;TEXT(COUNTIF('SEGUIMIENTO Y EVALUACIÓN'!K86:N86,"&gt;"&amp;0),"##.###"),IF($G86=Lists!$R$3,TEXT('SEGUIMIENTO Y EVALUACIÓN'!O86,"00,00%")&amp;" / "&amp;TEXT(FORMULACIÓN!P86,"00,00%"),IF('SEGUIMIENTO Y EVALUACIÓN'!O86=0,0,TEXT('SEGUIMIENTO Y EVALUACIÓN'!O86,"##.###")&amp;" / "&amp;TEXT(FORMULACIÓN!P86,"##.###"))))</f>
        <v>51,00% / 70,00%</v>
      </c>
      <c r="AU86" s="57">
        <f ca="1">IFERROR(IF((P86/FORMULACIÓN!Q86)&lt;&gt;0,IF($H86=Lists!$S$6,COUNTIF('SEGUIMIENTO Y EVALUACIÓN'!K86:N86,"&lt;"&amp;FORMULACIÓN!Q86),'SEGUIMIENTO Y EVALUACIÓN'!P86)/IF($H86=Lists!$S$6,COUNTIF('SEGUIMIENTO Y EVALUACIÓN'!K86:N86,"&gt;"&amp;0),FORMULACIÓN!P86),0),0)</f>
        <v>0.72857142857142865</v>
      </c>
      <c r="AV86" s="93">
        <f t="shared" ca="1" si="15"/>
        <v>2.185714285714286E-2</v>
      </c>
      <c r="AW86" s="93" cm="1">
        <f t="array" ref="AW86">IF(INDEX(AO86:AU86,1,$AV$3)&gt;1,IF($AU$2=1,1,INDEX(AO86:AU86,1,$AV$3)),INDEX(AO86:AU86,1,$AV$3))</f>
        <v>0.85000000000000009</v>
      </c>
      <c r="AX86"/>
      <c r="AY86" s="119" t="str">
        <f>IFERROR(IF((W86/FORMULACIÓN!X86)&lt;&gt;0,W86/FORMULACIÓN!X86,0),"")</f>
        <v/>
      </c>
      <c r="AZ86" s="119" t="str">
        <f>IFERROR(IF((AA86/FORMULACIÓN!AB86)&lt;&gt;0,AA86/FORMULACIÓN!AB86,0),"")</f>
        <v/>
      </c>
      <c r="BA86" s="119" t="str">
        <f>IFERROR(IF((AE86/FORMULACIÓN!AF86)&lt;&gt;0,(AE86/FORMULACIÓN!AF86),0),"")</f>
        <v/>
      </c>
      <c r="BB86" s="119" t="str">
        <f>IFERROR(IF((AI86/FORMULACIÓN!AJ86)&lt;&gt;0,AI86/FORMULACIÓN!AJ86,0),"")</f>
        <v/>
      </c>
      <c r="BC86" s="120" t="str">
        <f>IF('SEGUIMIENTO Y EVALUACIÓN'!AI86=0,0,TEXT('SEGUIMIENTO Y EVALUACIÓN'!AI86,"$ ##.###")&amp;" / "&amp;TEXT(FORMULACIÓN!AK86,"$ ##.###"))</f>
        <v xml:space="preserve"> / $ 400.322.894</v>
      </c>
      <c r="BD86" s="57">
        <f>IFERROR(IF((AJ86/FORMULACIÓN!AK86)&lt;&gt;0,AJ86/FORMULACIÓN!AK86,0),0)</f>
        <v>0</v>
      </c>
      <c r="BJ86"/>
      <c r="BK86"/>
      <c r="CL86" s="7"/>
    </row>
    <row r="87" spans="1:90" s="1" customFormat="1" ht="101.25">
      <c r="A87" s="45">
        <f>IF(FORMULACIÓN!A87="","",FORMULACIÓN!A87)</f>
        <v>76</v>
      </c>
      <c r="B87" s="45" t="str">
        <f>IF(FORMULACIÓN!B87="","",FORMULACIÓN!B87)</f>
        <v>L2 - Investigación y Redes de conocimiento para el desarrollo de la sociedad</v>
      </c>
      <c r="C87" s="45" t="str">
        <f>IF(FORMULACIÓN!E87="","",FORMULACIÓN!E87)</f>
        <v xml:space="preserve">M2 - Investigación y desarrollo científico. </v>
      </c>
      <c r="D87" s="45" t="str">
        <f>IF(FORMULACIÓN!F87="","",FORMULACIÓN!F87)</f>
        <v>Categorizar el 70% de los grupos de investigación en A1, A y B al mismo tiempo alcanzar el 50% de los docentes de carrera categorizados como investigadores</v>
      </c>
      <c r="E87" s="45" t="str">
        <f>IF(FORMULACIÓN!G87="","",FORMULACIÓN!G87)</f>
        <v xml:space="preserve">Categorización de los docentes de carrera profesoral como investigadores </v>
      </c>
      <c r="F87" s="45" t="str">
        <f>IF(FORMULACIÓN!H87="","",FORMULACIÓN!H87)</f>
        <v>N° de docentes de carrera profesoral categorizados como investigadores / total de docentes de carrera profesoral * 100</v>
      </c>
      <c r="G87" s="45" t="str">
        <f>IF(FORMULACIÓN!I87="","",FORMULACIÓN!I87)</f>
        <v>Porcentaje</v>
      </c>
      <c r="H87" s="45" t="str">
        <f>IF(FORMULACIÓN!J87="","",FORMULACIÓN!J87)</f>
        <v>Último valor reportado</v>
      </c>
      <c r="I87" s="188" t="str">
        <f ca="1">IF($G87=Lists!$R$3,"PDI: "&amp;TEXT(FORMULACIÓN!Q87,"00,00%")&amp;CHAR(10)&amp;CHAR(10)&amp;"T1: "&amp;TEXT(FORMULACIÓN!L87,"00,00%")&amp;CHAR(10)&amp;"T2: "&amp;TEXT(FORMULACIÓN!M87,"00,00%")&amp;CHAR(10)&amp;"T3: "&amp;TEXT(FORMULACIÓN!N87,"00,00%")&amp;CHAR(10)&amp;"Tn: "&amp;TEXT(FORMULACIÓN!O87,"00,00%"),IF(FORMULACIÓN!Q87=0,0,"PDI: "&amp;TEXT(FORMULACIÓN!Q87,"##.###")&amp;CHAR(10)&amp;CHAR(10)&amp;"T1: "&amp;TEXT(FORMULACIÓN!L87,"##.###")&amp;CHAR(10)&amp;"T2: "&amp;TEXT(FORMULACIÓN!M87,"##.###")&amp;CHAR(10)&amp;"T3: "&amp;TEXT(FORMULACIÓN!N87,"##.###")&amp;CHAR(10)&amp;"Tn: "&amp;TEXT(FORMULACIÓN!O87,"##.###")))</f>
        <v>PDI: 50,00%
T1: 31,00%
T2: 40,00%
T3: 50,00%
Tn: 50,00%</v>
      </c>
      <c r="J87" s="122">
        <f>IF(FORMULACIÓN!K87&lt;&gt;"",FORMULACIÓN!K87,"")</f>
        <v>0.31</v>
      </c>
      <c r="K87" s="309">
        <v>0.31</v>
      </c>
      <c r="L87" s="58"/>
      <c r="M87" s="58"/>
      <c r="N87" s="58"/>
      <c r="O87" s="47">
        <f ca="1">IFERROR(IF($H87=Lists!$S$2,SUM('SEGUIMIENTO Y EVALUACIÓN'!J87:N87),IF('SEGUIMIENTO Y EVALUACIÓN'!$H87=Lists!$S$3,SUM('SEGUIMIENTO Y EVALUACIÓN'!K87:N87),IF('SEGUIMIENTO Y EVALUACIÓN'!$H87=Lists!$S$4,AVERAGE('SEGUIMIENTO Y EVALUACIÓN'!K87:N87),IF('SEGUIMIENTO Y EVALUACIÓN'!$H87=Lists!$S$5,OFFSET(J87,0,COUNTA(K87:N87)),IF($H87=Lists!$S$6,COUNTIF(K87:N87,"&lt;"&amp;FORMULACIÓN!Q87)/COUNT('SEGUIMIENTO Y EVALUACIÓN'!K87:N87),""))))),"")</f>
        <v>0.31</v>
      </c>
      <c r="P87" s="51" t="str">
        <f ca="1">IF($G87=Lists!$R$3,TEXT('SEGUIMIENTO Y EVALUACIÓN'!O87,"00,00%"),IF('SEGUIMIENTO Y EVALUACIÓN'!O87=0,0,TEXT('SEGUIMIENTO Y EVALUACIÓN'!O87,"##.###")))</f>
        <v>31,00%</v>
      </c>
      <c r="Q87" s="209" t="str">
        <f>IF(FORMULACIÓN!R87&lt;&gt;"",FORMULACIÓN!R87,"")</f>
        <v>P1 - Desarrollo de la investigación básica y aplicada con impacto en  aspectos sociales, políticos, culturales, económicos y/o tecnológicos en los contextos regional, nacional e internacional</v>
      </c>
      <c r="R87" s="209">
        <f>IF(FORMULACIÓN!S87&lt;&gt;"",FORMULACIÓN!S87,"")</f>
        <v>0.03</v>
      </c>
      <c r="S87" s="209" t="str">
        <f>IF(FORMULACIÓN!T87&lt;&gt;"",FORMULACIÓN!T87,"")</f>
        <v>Vicerrector de Investigación, Extensión y Proyección Social</v>
      </c>
      <c r="T87" s="42"/>
      <c r="U87" s="42"/>
      <c r="V87" s="42"/>
      <c r="W87" s="43" t="str">
        <f t="shared" si="9"/>
        <v/>
      </c>
      <c r="X87" s="42"/>
      <c r="Y87" s="42"/>
      <c r="Z87" s="42"/>
      <c r="AA87" s="43" t="str">
        <f t="shared" si="10"/>
        <v/>
      </c>
      <c r="AB87" s="42"/>
      <c r="AC87" s="42"/>
      <c r="AD87" s="42"/>
      <c r="AE87" s="43" t="str">
        <f t="shared" si="11"/>
        <v/>
      </c>
      <c r="AF87" s="42"/>
      <c r="AG87" s="42"/>
      <c r="AH87" s="42"/>
      <c r="AI87" s="46" t="str">
        <f t="shared" si="12"/>
        <v/>
      </c>
      <c r="AJ87" s="46" t="str">
        <f>IF(SUM(AA87,AE87,W87,AI87)=0,"",SUM((AA87,AE87,W87,AI87)))</f>
        <v/>
      </c>
      <c r="AK87"/>
      <c r="AL87" s="1" t="str">
        <f t="shared" si="13"/>
        <v>L2M2P1</v>
      </c>
      <c r="AM87" s="56" t="str">
        <f t="shared" si="14"/>
        <v xml:space="preserve">Categorización de los docentes de carrera profesoral como investigadores </v>
      </c>
      <c r="AN87" s="112" t="str">
        <f>IF($G87=Lists!$R$3,"T1: "&amp;TEXT(FORMULACIÓN!L87,"00,00%")&amp;CHAR(10)&amp;"T2: "&amp;TEXT(FORMULACIÓN!M87,"00,00%")&amp;CHAR(10)&amp;"T3: "&amp;TEXT(FORMULACIÓN!N87,"00,00%")&amp;CHAR(10)&amp;"Tn: "&amp;TEXT(FORMULACIÓN!O87,"00,00%"),IF(FORMULACIÓN!Q87=0,0,"T1: "&amp;TEXT(FORMULACIÓN!L87,"##.###")&amp;CHAR(10)&amp;"T2: "&amp;TEXT(FORMULACIÓN!M87,"##.###")&amp;CHAR(10)&amp;"T3: "&amp;TEXT(FORMULACIÓN!N87,"##.###")&amp;CHAR(10)&amp;"Tn: "&amp;TEXT(FORMULACIÓN!O87,"##.###")))</f>
        <v>T1: 31,00%
T2: 40,00%
T3: 50,00%
Tn: 50,00%</v>
      </c>
      <c r="AO87" s="117">
        <f>IFERROR(IF($H87=Lists!$S$6,IF(AND(FORMULACIÓN!L87&gt;K87,K87&gt;0),1,0),IF((K87/FORMULACIÓN!L87)&lt;&gt;0,K87/FORMULACIÓN!L87,0)),"")</f>
        <v>1</v>
      </c>
      <c r="AP87" s="117">
        <f>IFERROR(IF($H87=Lists!$S$6,IF(AND(FORMULACIÓN!M87&gt;L87,L87&gt;0),1,0),IF((L87/FORMULACIÓN!M87)&lt;&gt;0,L87/FORMULACIÓN!M87,0)),"")</f>
        <v>0</v>
      </c>
      <c r="AQ87" s="117">
        <f>IFERROR(IF($H87=Lists!$S$6,IF(AND(FORMULACIÓN!N87&gt;M87,M87&gt;0),1,0),IF((M87/FORMULACIÓN!N87)&lt;&gt;0,M87/FORMULACIÓN!N87,0)),"")</f>
        <v>0</v>
      </c>
      <c r="AR87" s="117">
        <f>IFERROR(IF($H87=Lists!$S$6,IF(AND(FORMULACIÓN!O87&gt;N87,N87&gt;0),1,0),IF((N87/FORMULACIÓN!O87)&lt;&gt;0,N87/FORMULACIÓN!O87,0)),"")</f>
        <v>0</v>
      </c>
      <c r="AS87" s="110"/>
      <c r="AT87" s="118" t="str">
        <f ca="1">IF($H87=Lists!$S$6,TEXT(COUNTIF('SEGUIMIENTO Y EVALUACIÓN'!K87:N87,"&lt;"&amp;FORMULACIÓN!Q87),"##.###")&amp;" / "&amp;TEXT(COUNTIF('SEGUIMIENTO Y EVALUACIÓN'!K87:N87,"&gt;"&amp;0),"##.###"),IF($G87=Lists!$R$3,TEXT('SEGUIMIENTO Y EVALUACIÓN'!O87,"00,00%")&amp;" / "&amp;TEXT(FORMULACIÓN!P87,"00,00%"),IF('SEGUIMIENTO Y EVALUACIÓN'!O87=0,0,TEXT('SEGUIMIENTO Y EVALUACIÓN'!O87,"##.###")&amp;" / "&amp;TEXT(FORMULACIÓN!P87,"##.###"))))</f>
        <v>31,00% / 50,00%</v>
      </c>
      <c r="AU87" s="57">
        <f ca="1">IFERROR(IF((P87/FORMULACIÓN!Q87)&lt;&gt;0,IF($H87=Lists!$S$6,COUNTIF('SEGUIMIENTO Y EVALUACIÓN'!K87:N87,"&lt;"&amp;FORMULACIÓN!Q87),'SEGUIMIENTO Y EVALUACIÓN'!P87)/IF($H87=Lists!$S$6,COUNTIF('SEGUIMIENTO Y EVALUACIÓN'!K87:N87,"&gt;"&amp;0),FORMULACIÓN!P87),0),0)</f>
        <v>0.62</v>
      </c>
      <c r="AV87" s="93">
        <f t="shared" ca="1" si="15"/>
        <v>1.8599999999999998E-2</v>
      </c>
      <c r="AW87" s="93" cm="1">
        <f t="array" ref="AW87">IF(INDEX(AO87:AU87,1,$AV$3)&gt;1,IF($AU$2=1,1,INDEX(AO87:AU87,1,$AV$3)),INDEX(AO87:AU87,1,$AV$3))</f>
        <v>1</v>
      </c>
      <c r="AX87"/>
      <c r="AY87" s="119" t="str">
        <f>IFERROR(IF((W87/FORMULACIÓN!X87)&lt;&gt;0,W87/FORMULACIÓN!X87,0),"")</f>
        <v/>
      </c>
      <c r="AZ87" s="119" t="str">
        <f>IFERROR(IF((AA87/FORMULACIÓN!AB87)&lt;&gt;0,AA87/FORMULACIÓN!AB87,0),"")</f>
        <v/>
      </c>
      <c r="BA87" s="119" t="str">
        <f>IFERROR(IF((AE87/FORMULACIÓN!AF87)&lt;&gt;0,(AE87/FORMULACIÓN!AF87),0),"")</f>
        <v/>
      </c>
      <c r="BB87" s="119" t="str">
        <f>IFERROR(IF((AI87/FORMULACIÓN!AJ87)&lt;&gt;0,AI87/FORMULACIÓN!AJ87,0),"")</f>
        <v/>
      </c>
      <c r="BC87" s="120" t="str">
        <f>IF('SEGUIMIENTO Y EVALUACIÓN'!AI87=0,0,TEXT('SEGUIMIENTO Y EVALUACIÓN'!AI87,"$ ##.###")&amp;" / "&amp;TEXT(FORMULACIÓN!AK87,"$ ##.###"))</f>
        <v xml:space="preserve"> / $ 500.403.617</v>
      </c>
      <c r="BD87" s="57">
        <f>IFERROR(IF((AJ87/FORMULACIÓN!AK87)&lt;&gt;0,AJ87/FORMULACIÓN!AK87,0),0)</f>
        <v>0</v>
      </c>
      <c r="BJ87"/>
      <c r="BK87"/>
      <c r="CL87" s="7"/>
    </row>
    <row r="88" spans="1:90" s="1" customFormat="1" ht="67.5">
      <c r="A88" s="45">
        <f>IF(FORMULACIÓN!A88="","",FORMULACIÓN!A88)</f>
        <v>77</v>
      </c>
      <c r="B88" s="45" t="str">
        <f>IF(FORMULACIÓN!B88="","",FORMULACIÓN!B88)</f>
        <v>L2 - Investigación y Redes de conocimiento para el desarrollo de la sociedad</v>
      </c>
      <c r="C88" s="45" t="str">
        <f>IF(FORMULACIÓN!E88="","",FORMULACIÓN!E88)</f>
        <v xml:space="preserve">M2 - Investigación y desarrollo científico. </v>
      </c>
      <c r="D88" s="45" t="str">
        <f>IF(FORMULACIÓN!F88="","",FORMULACIÓN!F88)</f>
        <v>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v>
      </c>
      <c r="E88" s="45" t="str">
        <f>IF(FORMULACIÓN!G88="","",FORMULACIÓN!G88)</f>
        <v xml:space="preserve">Movilidad saliente nacional e internacional de docentes investigadores  </v>
      </c>
      <c r="F88" s="45" t="str">
        <f>IF(FORMULACIÓN!H88="","",FORMULACIÓN!H88)</f>
        <v xml:space="preserve">N° de docentes investigadores que realizan movilidad saliente a nivel nacional </v>
      </c>
      <c r="G88" s="45" t="str">
        <f>IF(FORMULACIÓN!I88="","",FORMULACIÓN!I88)</f>
        <v>Unidad</v>
      </c>
      <c r="H88" s="45" t="str">
        <f>IF(FORMULACIÓN!J88="","",FORMULACIÓN!J88)</f>
        <v>Nuevo gestionado durante la vigencia</v>
      </c>
      <c r="I88" s="188" t="str">
        <f ca="1">IF($G88=Lists!$R$3,"PDI: "&amp;TEXT(FORMULACIÓN!Q88,"00,00%")&amp;CHAR(10)&amp;CHAR(10)&amp;"T1: "&amp;TEXT(FORMULACIÓN!L88,"00,00%")&amp;CHAR(10)&amp;"T2: "&amp;TEXT(FORMULACIÓN!M88,"00,00%")&amp;CHAR(10)&amp;"T3: "&amp;TEXT(FORMULACIÓN!N88,"00,00%")&amp;CHAR(10)&amp;"Tn: "&amp;TEXT(FORMULACIÓN!O88,"00,00%"),IF(FORMULACIÓN!Q88=0,0,"PDI: "&amp;TEXT(FORMULACIÓN!Q88,"##.###")&amp;CHAR(10)&amp;CHAR(10)&amp;"T1: "&amp;TEXT(FORMULACIÓN!L88,"##.###")&amp;CHAR(10)&amp;"T2: "&amp;TEXT(FORMULACIÓN!M88,"##.###")&amp;CHAR(10)&amp;"T3: "&amp;TEXT(FORMULACIÓN!N88,"##.###")&amp;CHAR(10)&amp;"Tn: "&amp;TEXT(FORMULACIÓN!O88,"##.###")))</f>
        <v>PDI: 300
T1: 90
T2: 90
T3: 90
Tn: 30</v>
      </c>
      <c r="J88" s="122">
        <f>IF(FORMULACIÓN!K88&lt;&gt;"",FORMULACIÓN!K88,"")</f>
        <v>26</v>
      </c>
      <c r="K88" s="310">
        <v>112</v>
      </c>
      <c r="L88" s="58"/>
      <c r="M88" s="58"/>
      <c r="N88" s="58"/>
      <c r="O88" s="47">
        <f ca="1">IFERROR(IF($H88=Lists!$S$2,SUM('SEGUIMIENTO Y EVALUACIÓN'!J88:N88),IF('SEGUIMIENTO Y EVALUACIÓN'!$H88=Lists!$S$3,SUM('SEGUIMIENTO Y EVALUACIÓN'!K88:N88),IF('SEGUIMIENTO Y EVALUACIÓN'!$H88=Lists!$S$4,AVERAGE('SEGUIMIENTO Y EVALUACIÓN'!K88:N88),IF('SEGUIMIENTO Y EVALUACIÓN'!$H88=Lists!$S$5,OFFSET(J88,0,COUNTA(K88:N88)),IF($H88=Lists!$S$6,COUNTIF(K88:N88,"&lt;"&amp;FORMULACIÓN!Q88)/COUNT('SEGUIMIENTO Y EVALUACIÓN'!K88:N88),""))))),"")</f>
        <v>112</v>
      </c>
      <c r="P88" s="51" t="str">
        <f ca="1">IF($G88=Lists!$R$3,TEXT('SEGUIMIENTO Y EVALUACIÓN'!O88,"00,00%"),IF('SEGUIMIENTO Y EVALUACIÓN'!O88=0,0,TEXT('SEGUIMIENTO Y EVALUACIÓN'!O88,"##.###")))</f>
        <v>112</v>
      </c>
      <c r="Q88" s="209" t="str">
        <f>IF(FORMULACIÓN!R88&lt;&gt;"",FORMULACIÓN!R88,"")</f>
        <v>P2 - Movilidad docente para el fortalecimiento de la investigación</v>
      </c>
      <c r="R88" s="209">
        <f>IF(FORMULACIÓN!S88&lt;&gt;"",FORMULACIÓN!S88,"")</f>
        <v>0.04</v>
      </c>
      <c r="S88" s="209" t="str">
        <f>IF(FORMULACIÓN!T88&lt;&gt;"",FORMULACIÓN!T88,"")</f>
        <v>Vicerrector de Investigación, Extensión y Proyección Social</v>
      </c>
      <c r="T88" s="42"/>
      <c r="U88" s="42"/>
      <c r="V88" s="42"/>
      <c r="W88" s="43" t="str">
        <f t="shared" si="9"/>
        <v/>
      </c>
      <c r="X88" s="42"/>
      <c r="Y88" s="42"/>
      <c r="Z88" s="42"/>
      <c r="AA88" s="43" t="str">
        <f t="shared" si="10"/>
        <v/>
      </c>
      <c r="AB88" s="42"/>
      <c r="AC88" s="42"/>
      <c r="AD88" s="42"/>
      <c r="AE88" s="43" t="str">
        <f t="shared" si="11"/>
        <v/>
      </c>
      <c r="AF88" s="42"/>
      <c r="AG88" s="42"/>
      <c r="AH88" s="42"/>
      <c r="AI88" s="46" t="str">
        <f t="shared" si="12"/>
        <v/>
      </c>
      <c r="AJ88" s="46" t="str">
        <f>IF(SUM(AA88,AE88,W88,AI88)=0,"",SUM((AA88,AE88,W88,AI88)))</f>
        <v/>
      </c>
      <c r="AK88"/>
      <c r="AL88" s="1" t="str">
        <f t="shared" si="13"/>
        <v>L2M2P2</v>
      </c>
      <c r="AM88" s="56" t="str">
        <f t="shared" si="14"/>
        <v xml:space="preserve">Movilidad saliente nacional e internacional de docentes investigadores  </v>
      </c>
      <c r="AN88" s="112" t="str">
        <f ca="1">IF($G88=Lists!$R$3,"T1: "&amp;TEXT(FORMULACIÓN!L88,"00,00%")&amp;CHAR(10)&amp;"T2: "&amp;TEXT(FORMULACIÓN!M88,"00,00%")&amp;CHAR(10)&amp;"T3: "&amp;TEXT(FORMULACIÓN!N88,"00,00%")&amp;CHAR(10)&amp;"Tn: "&amp;TEXT(FORMULACIÓN!O88,"00,00%"),IF(FORMULACIÓN!Q88=0,0,"T1: "&amp;TEXT(FORMULACIÓN!L88,"##.###")&amp;CHAR(10)&amp;"T2: "&amp;TEXT(FORMULACIÓN!M88,"##.###")&amp;CHAR(10)&amp;"T3: "&amp;TEXT(FORMULACIÓN!N88,"##.###")&amp;CHAR(10)&amp;"Tn: "&amp;TEXT(FORMULACIÓN!O88,"##.###")))</f>
        <v>T1: 90
T2: 90
T3: 90
Tn: 30</v>
      </c>
      <c r="AO88" s="117">
        <f>IFERROR(IF($H88=Lists!$S$6,IF(AND(FORMULACIÓN!L88&gt;K88,K88&gt;0),1,0),IF((K88/FORMULACIÓN!L88)&lt;&gt;0,K88/FORMULACIÓN!L88,0)),"")</f>
        <v>1.2444444444444445</v>
      </c>
      <c r="AP88" s="117">
        <f>IFERROR(IF($H88=Lists!$S$6,IF(AND(FORMULACIÓN!M88&gt;L88,L88&gt;0),1,0),IF((L88/FORMULACIÓN!M88)&lt;&gt;0,L88/FORMULACIÓN!M88,0)),"")</f>
        <v>0</v>
      </c>
      <c r="AQ88" s="117">
        <f>IFERROR(IF($H88=Lists!$S$6,IF(AND(FORMULACIÓN!N88&gt;M88,M88&gt;0),1,0),IF((M88/FORMULACIÓN!N88)&lt;&gt;0,M88/FORMULACIÓN!N88,0)),"")</f>
        <v>0</v>
      </c>
      <c r="AR88" s="117">
        <f>IFERROR(IF($H88=Lists!$S$6,IF(AND(FORMULACIÓN!O88&gt;N88,N88&gt;0),1,0),IF((N88/FORMULACIÓN!O88)&lt;&gt;0,N88/FORMULACIÓN!O88,0)),"")</f>
        <v>0</v>
      </c>
      <c r="AS88" s="110"/>
      <c r="AT88" s="118" t="str">
        <f ca="1">IF($H88=Lists!$S$6,TEXT(COUNTIF('SEGUIMIENTO Y EVALUACIÓN'!K88:N88,"&lt;"&amp;FORMULACIÓN!Q88),"##.###")&amp;" / "&amp;TEXT(COUNTIF('SEGUIMIENTO Y EVALUACIÓN'!K88:N88,"&gt;"&amp;0),"##.###"),IF($G88=Lists!$R$3,TEXT('SEGUIMIENTO Y EVALUACIÓN'!O88,"00,00%")&amp;" / "&amp;TEXT(FORMULACIÓN!P88,"00,00%"),IF('SEGUIMIENTO Y EVALUACIÓN'!O88=0,0,TEXT('SEGUIMIENTO Y EVALUACIÓN'!O88,"##.###")&amp;" / "&amp;TEXT(FORMULACIÓN!P88,"##.###"))))</f>
        <v>112 / 300</v>
      </c>
      <c r="AU88" s="57">
        <f ca="1">IFERROR(IF((P88/FORMULACIÓN!Q88)&lt;&gt;0,IF($H88=Lists!$S$6,COUNTIF('SEGUIMIENTO Y EVALUACIÓN'!K88:N88,"&lt;"&amp;FORMULACIÓN!Q88),'SEGUIMIENTO Y EVALUACIÓN'!P88)/IF($H88=Lists!$S$6,COUNTIF('SEGUIMIENTO Y EVALUACIÓN'!K88:N88,"&gt;"&amp;0),FORMULACIÓN!P88),0),0)</f>
        <v>0.37333333333333335</v>
      </c>
      <c r="AV88" s="93">
        <f t="shared" ca="1" si="15"/>
        <v>1.4933333333333335E-2</v>
      </c>
      <c r="AW88" s="93" cm="1">
        <f t="array" ref="AW88">IF(INDEX(AO88:AU88,1,$AV$3)&gt;1,IF($AU$2=1,1,INDEX(AO88:AU88,1,$AV$3)),INDEX(AO88:AU88,1,$AV$3))</f>
        <v>1</v>
      </c>
      <c r="AX88"/>
      <c r="AY88" s="119" t="str">
        <f>IFERROR(IF((W88/FORMULACIÓN!X88)&lt;&gt;0,W88/FORMULACIÓN!X88,0),"")</f>
        <v/>
      </c>
      <c r="AZ88" s="119" t="str">
        <f>IFERROR(IF((AA88/FORMULACIÓN!AB88)&lt;&gt;0,AA88/FORMULACIÓN!AB88,0),"")</f>
        <v/>
      </c>
      <c r="BA88" s="119" t="str">
        <f>IFERROR(IF((AE88/FORMULACIÓN!AF88)&lt;&gt;0,(AE88/FORMULACIÓN!AF88),0),"")</f>
        <v/>
      </c>
      <c r="BB88" s="119" t="str">
        <f>IFERROR(IF((AI88/FORMULACIÓN!AJ88)&lt;&gt;0,AI88/FORMULACIÓN!AJ88,0),"")</f>
        <v/>
      </c>
      <c r="BC88" s="120" t="str">
        <f>IF('SEGUIMIENTO Y EVALUACIÓN'!AI88=0,0,TEXT('SEGUIMIENTO Y EVALUACIÓN'!AI88,"$ ##.###")&amp;" / "&amp;TEXT(FORMULACIÓN!AK88,"$ ##.###"))</f>
        <v xml:space="preserve"> / $ 2.962.389.415</v>
      </c>
      <c r="BD88" s="57">
        <f>IFERROR(IF((AJ88/FORMULACIÓN!AK88)&lt;&gt;0,AJ88/FORMULACIÓN!AK88,0),0)</f>
        <v>0</v>
      </c>
      <c r="BJ88"/>
      <c r="BK88"/>
      <c r="CL88" s="7"/>
    </row>
    <row r="89" spans="1:90" s="1" customFormat="1" ht="67.5">
      <c r="A89" s="45">
        <f>IF(FORMULACIÓN!A89="","",FORMULACIÓN!A89)</f>
        <v>78</v>
      </c>
      <c r="B89" s="45" t="str">
        <f>IF(FORMULACIÓN!B89="","",FORMULACIÓN!B89)</f>
        <v>L2 - Investigación y Redes de conocimiento para el desarrollo de la sociedad</v>
      </c>
      <c r="C89" s="45" t="str">
        <f>IF(FORMULACIÓN!E89="","",FORMULACIÓN!E89)</f>
        <v xml:space="preserve">M2 - Investigación y desarrollo científico. </v>
      </c>
      <c r="D89" s="45" t="str">
        <f>IF(FORMULACIÓN!F89="","",FORMULACIÓN!F89)</f>
        <v>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v>
      </c>
      <c r="E89" s="45" t="str">
        <f>IF(FORMULACIÓN!G89="","",FORMULACIÓN!G89)</f>
        <v xml:space="preserve">Movilidad saliente nacional e internacional de docentes investigadores  </v>
      </c>
      <c r="F89" s="45" t="str">
        <f>IF(FORMULACIÓN!H89="","",FORMULACIÓN!H89)</f>
        <v>N° de docentes investigadores que realizan movilidad saliente a nivel internacional</v>
      </c>
      <c r="G89" s="45" t="str">
        <f>IF(FORMULACIÓN!I89="","",FORMULACIÓN!I89)</f>
        <v>Unidad</v>
      </c>
      <c r="H89" s="45" t="str">
        <f>IF(FORMULACIÓN!J89="","",FORMULACIÓN!J89)</f>
        <v>Nuevo gestionado durante la vigencia</v>
      </c>
      <c r="I89" s="188" t="str">
        <f ca="1">IF($G89=Lists!$R$3,"PDI: "&amp;TEXT(FORMULACIÓN!Q89,"00,00%")&amp;CHAR(10)&amp;CHAR(10)&amp;"T1: "&amp;TEXT(FORMULACIÓN!L89,"00,00%")&amp;CHAR(10)&amp;"T2: "&amp;TEXT(FORMULACIÓN!M89,"00,00%")&amp;CHAR(10)&amp;"T3: "&amp;TEXT(FORMULACIÓN!N89,"00,00%")&amp;CHAR(10)&amp;"Tn: "&amp;TEXT(FORMULACIÓN!O89,"00,00%"),IF(FORMULACIÓN!Q89=0,0,"PDI: "&amp;TEXT(FORMULACIÓN!Q89,"##.###")&amp;CHAR(10)&amp;CHAR(10)&amp;"T1: "&amp;TEXT(FORMULACIÓN!L89,"##.###")&amp;CHAR(10)&amp;"T2: "&amp;TEXT(FORMULACIÓN!M89,"##.###")&amp;CHAR(10)&amp;"T3: "&amp;TEXT(FORMULACIÓN!N89,"##.###")&amp;CHAR(10)&amp;"Tn: "&amp;TEXT(FORMULACIÓN!O89,"##.###")))</f>
        <v>PDI: 350
T1: 105
T2: 105
T3: 105
Tn: 35</v>
      </c>
      <c r="J89" s="122">
        <f>IF(FORMULACIÓN!K89&lt;&gt;"",FORMULACIÓN!K89,"")</f>
        <v>27</v>
      </c>
      <c r="K89" s="310">
        <v>167</v>
      </c>
      <c r="L89" s="58"/>
      <c r="M89" s="58"/>
      <c r="N89" s="58"/>
      <c r="O89" s="47">
        <f ca="1">IFERROR(IF($H89=Lists!$S$2,SUM('SEGUIMIENTO Y EVALUACIÓN'!J89:N89),IF('SEGUIMIENTO Y EVALUACIÓN'!$H89=Lists!$S$3,SUM('SEGUIMIENTO Y EVALUACIÓN'!K89:N89),IF('SEGUIMIENTO Y EVALUACIÓN'!$H89=Lists!$S$4,AVERAGE('SEGUIMIENTO Y EVALUACIÓN'!K89:N89),IF('SEGUIMIENTO Y EVALUACIÓN'!$H89=Lists!$S$5,OFFSET(J89,0,COUNTA(K89:N89)),IF($H89=Lists!$S$6,COUNTIF(K89:N89,"&lt;"&amp;FORMULACIÓN!Q89)/COUNT('SEGUIMIENTO Y EVALUACIÓN'!K89:N89),""))))),"")</f>
        <v>167</v>
      </c>
      <c r="P89" s="51" t="str">
        <f ca="1">IF($G89=Lists!$R$3,TEXT('SEGUIMIENTO Y EVALUACIÓN'!O89,"00,00%"),IF('SEGUIMIENTO Y EVALUACIÓN'!O89=0,0,TEXT('SEGUIMIENTO Y EVALUACIÓN'!O89,"##.###")))</f>
        <v>167</v>
      </c>
      <c r="Q89" s="209" t="str">
        <f>IF(FORMULACIÓN!R89&lt;&gt;"",FORMULACIÓN!R89,"")</f>
        <v>P2 - Movilidad docente para el fortalecimiento de la investigación</v>
      </c>
      <c r="R89" s="209">
        <f>IF(FORMULACIÓN!S89&lt;&gt;"",FORMULACIÓN!S89,"")</f>
        <v>0.04</v>
      </c>
      <c r="S89" s="209" t="str">
        <f>IF(FORMULACIÓN!T89&lt;&gt;"",FORMULACIÓN!T89,"")</f>
        <v>Vicerrector de Investigación, Extensión y Proyección Social</v>
      </c>
      <c r="T89" s="42"/>
      <c r="U89" s="42"/>
      <c r="V89" s="42"/>
      <c r="W89" s="43" t="str">
        <f t="shared" si="9"/>
        <v/>
      </c>
      <c r="X89" s="42"/>
      <c r="Y89" s="42"/>
      <c r="Z89" s="42"/>
      <c r="AA89" s="43" t="str">
        <f t="shared" si="10"/>
        <v/>
      </c>
      <c r="AB89" s="42"/>
      <c r="AC89" s="42"/>
      <c r="AD89" s="42"/>
      <c r="AE89" s="43" t="str">
        <f t="shared" si="11"/>
        <v/>
      </c>
      <c r="AF89" s="42"/>
      <c r="AG89" s="42"/>
      <c r="AH89" s="42"/>
      <c r="AI89" s="46" t="str">
        <f t="shared" si="12"/>
        <v/>
      </c>
      <c r="AJ89" s="46" t="str">
        <f>IF(SUM(AA89,AE89,W89,AI89)=0,"",SUM((AA89,AE89,W89,AI89)))</f>
        <v/>
      </c>
      <c r="AK89"/>
      <c r="AL89" s="1" t="str">
        <f t="shared" si="13"/>
        <v>L2M2P2</v>
      </c>
      <c r="AM89" s="56" t="str">
        <f t="shared" si="14"/>
        <v xml:space="preserve">Movilidad saliente nacional e internacional de docentes investigadores  </v>
      </c>
      <c r="AN89" s="112" t="str">
        <f ca="1">IF($G89=Lists!$R$3,"T1: "&amp;TEXT(FORMULACIÓN!L89,"00,00%")&amp;CHAR(10)&amp;"T2: "&amp;TEXT(FORMULACIÓN!M89,"00,00%")&amp;CHAR(10)&amp;"T3: "&amp;TEXT(FORMULACIÓN!N89,"00,00%")&amp;CHAR(10)&amp;"Tn: "&amp;TEXT(FORMULACIÓN!O89,"00,00%"),IF(FORMULACIÓN!Q89=0,0,"T1: "&amp;TEXT(FORMULACIÓN!L89,"##.###")&amp;CHAR(10)&amp;"T2: "&amp;TEXT(FORMULACIÓN!M89,"##.###")&amp;CHAR(10)&amp;"T3: "&amp;TEXT(FORMULACIÓN!N89,"##.###")&amp;CHAR(10)&amp;"Tn: "&amp;TEXT(FORMULACIÓN!O89,"##.###")))</f>
        <v>T1: 105
T2: 105
T3: 105
Tn: 35</v>
      </c>
      <c r="AO89" s="117">
        <f>IFERROR(IF($H89=Lists!$S$6,IF(AND(FORMULACIÓN!L89&gt;K89,K89&gt;0),1,0),IF((K89/FORMULACIÓN!L89)&lt;&gt;0,K89/FORMULACIÓN!L89,0)),"")</f>
        <v>1.5904761904761904</v>
      </c>
      <c r="AP89" s="117">
        <f>IFERROR(IF($H89=Lists!$S$6,IF(AND(FORMULACIÓN!M89&gt;L89,L89&gt;0),1,0),IF((L89/FORMULACIÓN!M89)&lt;&gt;0,L89/FORMULACIÓN!M89,0)),"")</f>
        <v>0</v>
      </c>
      <c r="AQ89" s="117">
        <f>IFERROR(IF($H89=Lists!$S$6,IF(AND(FORMULACIÓN!N89&gt;M89,M89&gt;0),1,0),IF((M89/FORMULACIÓN!N89)&lt;&gt;0,M89/FORMULACIÓN!N89,0)),"")</f>
        <v>0</v>
      </c>
      <c r="AR89" s="117">
        <f>IFERROR(IF($H89=Lists!$S$6,IF(AND(FORMULACIÓN!O89&gt;N89,N89&gt;0),1,0),IF((N89/FORMULACIÓN!O89)&lt;&gt;0,N89/FORMULACIÓN!O89,0)),"")</f>
        <v>0</v>
      </c>
      <c r="AS89" s="110"/>
      <c r="AT89" s="118" t="str">
        <f ca="1">IF($H89=Lists!$S$6,TEXT(COUNTIF('SEGUIMIENTO Y EVALUACIÓN'!K89:N89,"&lt;"&amp;FORMULACIÓN!Q89),"##.###")&amp;" / "&amp;TEXT(COUNTIF('SEGUIMIENTO Y EVALUACIÓN'!K89:N89,"&gt;"&amp;0),"##.###"),IF($G89=Lists!$R$3,TEXT('SEGUIMIENTO Y EVALUACIÓN'!O89,"00,00%")&amp;" / "&amp;TEXT(FORMULACIÓN!P89,"00,00%"),IF('SEGUIMIENTO Y EVALUACIÓN'!O89=0,0,TEXT('SEGUIMIENTO Y EVALUACIÓN'!O89,"##.###")&amp;" / "&amp;TEXT(FORMULACIÓN!P89,"##.###"))))</f>
        <v>167 / 350</v>
      </c>
      <c r="AU89" s="57">
        <f ca="1">IFERROR(IF((P89/FORMULACIÓN!Q89)&lt;&gt;0,IF($H89=Lists!$S$6,COUNTIF('SEGUIMIENTO Y EVALUACIÓN'!K89:N89,"&lt;"&amp;FORMULACIÓN!Q89),'SEGUIMIENTO Y EVALUACIÓN'!P89)/IF($H89=Lists!$S$6,COUNTIF('SEGUIMIENTO Y EVALUACIÓN'!K89:N89,"&gt;"&amp;0),FORMULACIÓN!P89),0),0)</f>
        <v>0.47714285714285715</v>
      </c>
      <c r="AV89" s="93">
        <f t="shared" ca="1" si="15"/>
        <v>1.9085714285714286E-2</v>
      </c>
      <c r="AW89" s="93" cm="1">
        <f t="array" ref="AW89">IF(INDEX(AO89:AU89,1,$AV$3)&gt;1,IF($AU$2=1,1,INDEX(AO89:AU89,1,$AV$3)),INDEX(AO89:AU89,1,$AV$3))</f>
        <v>1</v>
      </c>
      <c r="AX89"/>
      <c r="AY89" s="119" t="str">
        <f>IFERROR(IF((W89/FORMULACIÓN!X89)&lt;&gt;0,W89/FORMULACIÓN!X89,0),"")</f>
        <v/>
      </c>
      <c r="AZ89" s="119" t="str">
        <f>IFERROR(IF((AA89/FORMULACIÓN!AB89)&lt;&gt;0,AA89/FORMULACIÓN!AB89,0),"")</f>
        <v/>
      </c>
      <c r="BA89" s="119" t="str">
        <f>IFERROR(IF((AE89/FORMULACIÓN!AF89)&lt;&gt;0,(AE89/FORMULACIÓN!AF89),0),"")</f>
        <v/>
      </c>
      <c r="BB89" s="119" t="str">
        <f>IFERROR(IF((AI89/FORMULACIÓN!AJ89)&lt;&gt;0,AI89/FORMULACIÓN!AJ89,0),"")</f>
        <v/>
      </c>
      <c r="BC89" s="120" t="str">
        <f>IF('SEGUIMIENTO Y EVALUACIÓN'!AI89=0,0,TEXT('SEGUIMIENTO Y EVALUACIÓN'!AI89,"$ ##.###")&amp;" / "&amp;TEXT(FORMULACIÓN!AK89,"$ ##.###"))</f>
        <v xml:space="preserve"> / $ 4.443.584.122</v>
      </c>
      <c r="BD89" s="57">
        <f>IFERROR(IF((AJ89/FORMULACIÓN!AK89)&lt;&gt;0,AJ89/FORMULACIÓN!AK89,0),0)</f>
        <v>0</v>
      </c>
      <c r="BJ89"/>
      <c r="BK89"/>
      <c r="CL89" s="7"/>
    </row>
    <row r="90" spans="1:90" s="1" customFormat="1" ht="67.5">
      <c r="A90" s="45">
        <f>IF(FORMULACIÓN!A90="","",FORMULACIÓN!A90)</f>
        <v>79</v>
      </c>
      <c r="B90" s="45" t="str">
        <f>IF(FORMULACIÓN!B90="","",FORMULACIÓN!B90)</f>
        <v>L2 - Investigación y Redes de conocimiento para el desarrollo de la sociedad</v>
      </c>
      <c r="C90" s="45" t="str">
        <f>IF(FORMULACIÓN!E90="","",FORMULACIÓN!E90)</f>
        <v xml:space="preserve">M2 - Investigación y desarrollo científico. </v>
      </c>
      <c r="D90" s="45" t="str">
        <f>IF(FORMULACIÓN!F90="","",FORMULACIÓN!F90)</f>
        <v>Incrementar, apropiar y divulgar la generación de nuevo conocimiento de calidad e impacto con 500 publicaciones indexadas en Publindex, 1400 en Wos y/o Scopus, 100 libros publicados, 7 revistas científicas con sello editorial Uniatlántico, y al menos 172 proyectos financiados por convocatorias</v>
      </c>
      <c r="E90" s="45" t="str">
        <f>IF(FORMULACIÓN!G90="","",FORMULACIÓN!G90)</f>
        <v>Proyectos de investigación financiados por convocatorias (tipo de proyecto, valor financiado)</v>
      </c>
      <c r="F90" s="45" t="str">
        <f>IF(FORMULACIÓN!H90="","",FORMULACIÓN!H90)</f>
        <v>N° de proyectos de investigación financiados por convocatorias internas</v>
      </c>
      <c r="G90" s="45" t="str">
        <f>IF(FORMULACIÓN!I90="","",FORMULACIÓN!I90)</f>
        <v>Unidad</v>
      </c>
      <c r="H90" s="45" t="str">
        <f>IF(FORMULACIÓN!J90="","",FORMULACIÓN!J90)</f>
        <v>Nuevo gestionado durante la vigencia</v>
      </c>
      <c r="I90" s="188" t="str">
        <f ca="1">IF($G90=Lists!$R$3,"PDI: "&amp;TEXT(FORMULACIÓN!Q90,"00,00%")&amp;CHAR(10)&amp;CHAR(10)&amp;"T1: "&amp;TEXT(FORMULACIÓN!L90,"00,00%")&amp;CHAR(10)&amp;"T2: "&amp;TEXT(FORMULACIÓN!M90,"00,00%")&amp;CHAR(10)&amp;"T3: "&amp;TEXT(FORMULACIÓN!N90,"00,00%")&amp;CHAR(10)&amp;"Tn: "&amp;TEXT(FORMULACIÓN!O90,"00,00%"),IF(FORMULACIÓN!Q90=0,0,"PDI: "&amp;TEXT(FORMULACIÓN!Q90,"##.###")&amp;CHAR(10)&amp;CHAR(10)&amp;"T1: "&amp;TEXT(FORMULACIÓN!L90,"##.###")&amp;CHAR(10)&amp;"T2: "&amp;TEXT(FORMULACIÓN!M90,"##.###")&amp;CHAR(10)&amp;"T3: "&amp;TEXT(FORMULACIÓN!N90,"##.###")&amp;CHAR(10)&amp;"Tn: "&amp;TEXT(FORMULACIÓN!O90,"##.###")))</f>
        <v>PDI: 140
T1: 40
T2: 40
T3: 40
Tn: 20</v>
      </c>
      <c r="J90" s="122">
        <f>IF(FORMULACIÓN!K90&lt;&gt;"",FORMULACIÓN!K90,"")</f>
        <v>52</v>
      </c>
      <c r="K90" s="310">
        <v>272</v>
      </c>
      <c r="L90" s="58"/>
      <c r="M90" s="58"/>
      <c r="N90" s="58"/>
      <c r="O90" s="47">
        <f ca="1">IFERROR(IF($H90=Lists!$S$2,SUM('SEGUIMIENTO Y EVALUACIÓN'!J90:N90),IF('SEGUIMIENTO Y EVALUACIÓN'!$H90=Lists!$S$3,SUM('SEGUIMIENTO Y EVALUACIÓN'!K90:N90),IF('SEGUIMIENTO Y EVALUACIÓN'!$H90=Lists!$S$4,AVERAGE('SEGUIMIENTO Y EVALUACIÓN'!K90:N90),IF('SEGUIMIENTO Y EVALUACIÓN'!$H90=Lists!$S$5,OFFSET(J90,0,COUNTA(K90:N90)),IF($H90=Lists!$S$6,COUNTIF(K90:N90,"&lt;"&amp;FORMULACIÓN!Q90)/COUNT('SEGUIMIENTO Y EVALUACIÓN'!K90:N90),""))))),"")</f>
        <v>272</v>
      </c>
      <c r="P90" s="51" t="str">
        <f ca="1">IF($G90=Lists!$R$3,TEXT('SEGUIMIENTO Y EVALUACIÓN'!O90,"00,00%"),IF('SEGUIMIENTO Y EVALUACIÓN'!O90=0,0,TEXT('SEGUIMIENTO Y EVALUACIÓN'!O90,"##.###")))</f>
        <v>272</v>
      </c>
      <c r="Q90" s="209" t="str">
        <f>IF(FORMULACIÓN!R90&lt;&gt;"",FORMULACIÓN!R90,"")</f>
        <v>P3 - Articulación con el sector externo para el fortalecimiento de la investigación</v>
      </c>
      <c r="R90" s="209">
        <f>IF(FORMULACIÓN!S90&lt;&gt;"",FORMULACIÓN!S90,"")</f>
        <v>0.02</v>
      </c>
      <c r="S90" s="209" t="str">
        <f>IF(FORMULACIÓN!T90&lt;&gt;"",FORMULACIÓN!T90,"")</f>
        <v>Vicerrector de Investigación, Extensión y Proyección Social</v>
      </c>
      <c r="T90" s="42"/>
      <c r="U90" s="42"/>
      <c r="V90" s="42"/>
      <c r="W90" s="43" t="str">
        <f t="shared" si="9"/>
        <v/>
      </c>
      <c r="X90" s="42"/>
      <c r="Y90" s="42"/>
      <c r="Z90" s="42"/>
      <c r="AA90" s="43" t="str">
        <f t="shared" si="10"/>
        <v/>
      </c>
      <c r="AB90" s="42"/>
      <c r="AC90" s="42"/>
      <c r="AD90" s="42"/>
      <c r="AE90" s="43" t="str">
        <f t="shared" si="11"/>
        <v/>
      </c>
      <c r="AF90" s="42"/>
      <c r="AG90" s="42"/>
      <c r="AH90" s="42"/>
      <c r="AI90" s="46" t="str">
        <f t="shared" si="12"/>
        <v/>
      </c>
      <c r="AJ90" s="46" t="str">
        <f>IF(SUM(AA90,AE90,W90,AI90)=0,"",SUM((AA90,AE90,W90,AI90)))</f>
        <v/>
      </c>
      <c r="AK90"/>
      <c r="AL90" s="1" t="str">
        <f t="shared" si="13"/>
        <v>L2M2P3</v>
      </c>
      <c r="AM90" s="56" t="str">
        <f t="shared" si="14"/>
        <v>Proyectos de investigación financiados por convocatorias (tipo de proyecto, valor financiado)</v>
      </c>
      <c r="AN90" s="112" t="str">
        <f ca="1">IF($G90=Lists!$R$3,"T1: "&amp;TEXT(FORMULACIÓN!L90,"00,00%")&amp;CHAR(10)&amp;"T2: "&amp;TEXT(FORMULACIÓN!M90,"00,00%")&amp;CHAR(10)&amp;"T3: "&amp;TEXT(FORMULACIÓN!N90,"00,00%")&amp;CHAR(10)&amp;"Tn: "&amp;TEXT(FORMULACIÓN!O90,"00,00%"),IF(FORMULACIÓN!Q90=0,0,"T1: "&amp;TEXT(FORMULACIÓN!L90,"##.###")&amp;CHAR(10)&amp;"T2: "&amp;TEXT(FORMULACIÓN!M90,"##.###")&amp;CHAR(10)&amp;"T3: "&amp;TEXT(FORMULACIÓN!N90,"##.###")&amp;CHAR(10)&amp;"Tn: "&amp;TEXT(FORMULACIÓN!O90,"##.###")))</f>
        <v>T1: 40
T2: 40
T3: 40
Tn: 20</v>
      </c>
      <c r="AO90" s="117">
        <f>IFERROR(IF($H90=Lists!$S$6,IF(AND(FORMULACIÓN!L90&gt;K90,K90&gt;0),1,0),IF((K90/FORMULACIÓN!L90)&lt;&gt;0,K90/FORMULACIÓN!L90,0)),"")</f>
        <v>6.8</v>
      </c>
      <c r="AP90" s="117">
        <f>IFERROR(IF($H90=Lists!$S$6,IF(AND(FORMULACIÓN!M90&gt;L90,L90&gt;0),1,0),IF((L90/FORMULACIÓN!M90)&lt;&gt;0,L90/FORMULACIÓN!M90,0)),"")</f>
        <v>0</v>
      </c>
      <c r="AQ90" s="117">
        <f>IFERROR(IF($H90=Lists!$S$6,IF(AND(FORMULACIÓN!N90&gt;M90,M90&gt;0),1,0),IF((M90/FORMULACIÓN!N90)&lt;&gt;0,M90/FORMULACIÓN!N90,0)),"")</f>
        <v>0</v>
      </c>
      <c r="AR90" s="117">
        <f>IFERROR(IF($H90=Lists!$S$6,IF(AND(FORMULACIÓN!O90&gt;N90,N90&gt;0),1,0),IF((N90/FORMULACIÓN!O90)&lt;&gt;0,N90/FORMULACIÓN!O90,0)),"")</f>
        <v>0</v>
      </c>
      <c r="AS90" s="110"/>
      <c r="AT90" s="118" t="str">
        <f ca="1">IF($H90=Lists!$S$6,TEXT(COUNTIF('SEGUIMIENTO Y EVALUACIÓN'!K90:N90,"&lt;"&amp;FORMULACIÓN!Q90),"##.###")&amp;" / "&amp;TEXT(COUNTIF('SEGUIMIENTO Y EVALUACIÓN'!K90:N90,"&gt;"&amp;0),"##.###"),IF($G90=Lists!$R$3,TEXT('SEGUIMIENTO Y EVALUACIÓN'!O90,"00,00%")&amp;" / "&amp;TEXT(FORMULACIÓN!P90,"00,00%"),IF('SEGUIMIENTO Y EVALUACIÓN'!O90=0,0,TEXT('SEGUIMIENTO Y EVALUACIÓN'!O90,"##.###")&amp;" / "&amp;TEXT(FORMULACIÓN!P90,"##.###"))))</f>
        <v>272 / 140</v>
      </c>
      <c r="AU90" s="57">
        <f ca="1">IFERROR(IF((P90/FORMULACIÓN!Q90)&lt;&gt;0,IF($H90=Lists!$S$6,COUNTIF('SEGUIMIENTO Y EVALUACIÓN'!K90:N90,"&lt;"&amp;FORMULACIÓN!Q90),'SEGUIMIENTO Y EVALUACIÓN'!P90)/IF($H90=Lists!$S$6,COUNTIF('SEGUIMIENTO Y EVALUACIÓN'!K90:N90,"&gt;"&amp;0),FORMULACIÓN!P90),0),0)</f>
        <v>1.9428571428571428</v>
      </c>
      <c r="AV90" s="93">
        <f t="shared" ca="1" si="15"/>
        <v>0.02</v>
      </c>
      <c r="AW90" s="93" cm="1">
        <f t="array" ref="AW90">IF(INDEX(AO90:AU90,1,$AV$3)&gt;1,IF($AU$2=1,1,INDEX(AO90:AU90,1,$AV$3)),INDEX(AO90:AU90,1,$AV$3))</f>
        <v>1</v>
      </c>
      <c r="AX90"/>
      <c r="AY90" s="119" t="str">
        <f>IFERROR(IF((W90/FORMULACIÓN!X90)&lt;&gt;0,W90/FORMULACIÓN!X90,0),"")</f>
        <v/>
      </c>
      <c r="AZ90" s="119" t="str">
        <f>IFERROR(IF((AA90/FORMULACIÓN!AB90)&lt;&gt;0,AA90/FORMULACIÓN!AB90,0),"")</f>
        <v/>
      </c>
      <c r="BA90" s="119" t="str">
        <f>IFERROR(IF((AE90/FORMULACIÓN!AF90)&lt;&gt;0,(AE90/FORMULACIÓN!AF90),0),"")</f>
        <v/>
      </c>
      <c r="BB90" s="119" t="str">
        <f>IFERROR(IF((AI90/FORMULACIÓN!AJ90)&lt;&gt;0,AI90/FORMULACIÓN!AJ90,0),"")</f>
        <v/>
      </c>
      <c r="BC90" s="120" t="str">
        <f>IF('SEGUIMIENTO Y EVALUACIÓN'!AI90=0,0,TEXT('SEGUIMIENTO Y EVALUACIÓN'!AI90,"$ ##.###")&amp;" / "&amp;TEXT(FORMULACIÓN!AK90,"$ ##.###"))</f>
        <v xml:space="preserve"> / $ 2.575.990.796</v>
      </c>
      <c r="BD90" s="57">
        <f>IFERROR(IF((AJ90/FORMULACIÓN!AK90)&lt;&gt;0,AJ90/FORMULACIÓN!AK90,0),0)</f>
        <v>0</v>
      </c>
      <c r="BJ90"/>
      <c r="BK90"/>
      <c r="CL90" s="7"/>
    </row>
    <row r="91" spans="1:90" s="1" customFormat="1" ht="99.95" customHeight="1">
      <c r="A91" s="45">
        <f>IF(FORMULACIÓN!A91="","",FORMULACIÓN!A91)</f>
        <v>80</v>
      </c>
      <c r="B91" s="45" t="str">
        <f>IF(FORMULACIÓN!B91="","",FORMULACIÓN!B91)</f>
        <v>L2 - Investigación y Redes de conocimiento para el desarrollo de la sociedad</v>
      </c>
      <c r="C91" s="45" t="str">
        <f>IF(FORMULACIÓN!E91="","",FORMULACIÓN!E91)</f>
        <v xml:space="preserve">M2 - Investigación y desarrollo científico. </v>
      </c>
      <c r="D91" s="45" t="str">
        <f>IF(FORMULACIÓN!F91="","",FORMULACIÓN!F91)</f>
        <v>Incrementar, apropiar y divulgar la generación de nuevo conocimiento de calidad e impacto con 500 publicaciones indexadas en Publindex, 1400 en Wos y/o Scopus, 100 libros publicados, 7 revistas científicas con sello editorial Uniatlántico, y al menos 172 proyectos financiados por convocatorias</v>
      </c>
      <c r="E91" s="45" t="str">
        <f>IF(FORMULACIÓN!G91="","",FORMULACIÓN!G91)</f>
        <v>Proyectos de investigación financiados por convocatorias (tipo de proyecto, valor financiado)</v>
      </c>
      <c r="F91" s="45" t="str">
        <f>IF(FORMULACIÓN!H91="","",FORMULACIÓN!H91)</f>
        <v>N° de proyectos de investigación financiados por convocatorias externas</v>
      </c>
      <c r="G91" s="45" t="str">
        <f>IF(FORMULACIÓN!I91="","",FORMULACIÓN!I91)</f>
        <v>Unidad</v>
      </c>
      <c r="H91" s="45" t="str">
        <f>IF(FORMULACIÓN!J91="","",FORMULACIÓN!J91)</f>
        <v>Nuevo gestionado durante la vigencia</v>
      </c>
      <c r="I91" s="188" t="str">
        <f ca="1">IF($G91=Lists!$R$3,"PDI: "&amp;TEXT(FORMULACIÓN!Q91,"00,00%")&amp;CHAR(10)&amp;CHAR(10)&amp;"T1: "&amp;TEXT(FORMULACIÓN!L91,"00,00%")&amp;CHAR(10)&amp;"T2: "&amp;TEXT(FORMULACIÓN!M91,"00,00%")&amp;CHAR(10)&amp;"T3: "&amp;TEXT(FORMULACIÓN!N91,"00,00%")&amp;CHAR(10)&amp;"Tn: "&amp;TEXT(FORMULACIÓN!O91,"00,00%"),IF(FORMULACIÓN!Q91=0,0,"PDI: "&amp;TEXT(FORMULACIÓN!Q91,"##.###")&amp;CHAR(10)&amp;CHAR(10)&amp;"T1: "&amp;TEXT(FORMULACIÓN!L91,"##.###")&amp;CHAR(10)&amp;"T2: "&amp;TEXT(FORMULACIÓN!M91,"##.###")&amp;CHAR(10)&amp;"T3: "&amp;TEXT(FORMULACIÓN!N91,"##.###")&amp;CHAR(10)&amp;"Tn: "&amp;TEXT(FORMULACIÓN!O91,"##.###")))</f>
        <v>PDI: 32
T1: 10
T2: 10
T3: 10
Tn: 2</v>
      </c>
      <c r="J91" s="122">
        <f>IF(FORMULACIÓN!K91&lt;&gt;"",FORMULACIÓN!K91,"")</f>
        <v>10</v>
      </c>
      <c r="K91" s="310">
        <v>55</v>
      </c>
      <c r="L91" s="58"/>
      <c r="M91" s="58"/>
      <c r="N91" s="58"/>
      <c r="O91" s="47">
        <f ca="1">IFERROR(IF($H91=Lists!$S$2,SUM('SEGUIMIENTO Y EVALUACIÓN'!J91:N91),IF('SEGUIMIENTO Y EVALUACIÓN'!$H91=Lists!$S$3,SUM('SEGUIMIENTO Y EVALUACIÓN'!K91:N91),IF('SEGUIMIENTO Y EVALUACIÓN'!$H91=Lists!$S$4,AVERAGE('SEGUIMIENTO Y EVALUACIÓN'!K91:N91),IF('SEGUIMIENTO Y EVALUACIÓN'!$H91=Lists!$S$5,OFFSET(J91,0,COUNTA(K91:N91)),IF($H91=Lists!$S$6,COUNTIF(K91:N91,"&lt;"&amp;FORMULACIÓN!Q91)/COUNT('SEGUIMIENTO Y EVALUACIÓN'!K91:N91),""))))),"")</f>
        <v>55</v>
      </c>
      <c r="P91" s="51" t="str">
        <f ca="1">IF($G91=Lists!$R$3,TEXT('SEGUIMIENTO Y EVALUACIÓN'!O91,"00,00%"),IF('SEGUIMIENTO Y EVALUACIÓN'!O91=0,0,TEXT('SEGUIMIENTO Y EVALUACIÓN'!O91,"##.###")))</f>
        <v>55</v>
      </c>
      <c r="Q91" s="209" t="str">
        <f>IF(FORMULACIÓN!R91&lt;&gt;"",FORMULACIÓN!R91,"")</f>
        <v>P3 - Articulación con el sector externo para el fortalecimiento de la investigación</v>
      </c>
      <c r="R91" s="209">
        <f>IF(FORMULACIÓN!S91&lt;&gt;"",FORMULACIÓN!S91,"")</f>
        <v>0.02</v>
      </c>
      <c r="S91" s="209" t="str">
        <f>IF(FORMULACIÓN!T91&lt;&gt;"",FORMULACIÓN!T91,"")</f>
        <v>Vicerrector de Investigación, Extensión y Proyección Social</v>
      </c>
      <c r="T91" s="42"/>
      <c r="U91" s="42"/>
      <c r="V91" s="42"/>
      <c r="W91" s="43" t="str">
        <f t="shared" si="9"/>
        <v/>
      </c>
      <c r="X91" s="42"/>
      <c r="Y91" s="42"/>
      <c r="Z91" s="42"/>
      <c r="AA91" s="43" t="str">
        <f t="shared" si="10"/>
        <v/>
      </c>
      <c r="AB91" s="42"/>
      <c r="AC91" s="42"/>
      <c r="AD91" s="42"/>
      <c r="AE91" s="43" t="str">
        <f t="shared" si="11"/>
        <v/>
      </c>
      <c r="AF91" s="42"/>
      <c r="AG91" s="42"/>
      <c r="AH91" s="42"/>
      <c r="AI91" s="46" t="str">
        <f t="shared" si="12"/>
        <v/>
      </c>
      <c r="AJ91" s="46" t="str">
        <f>IF(SUM(AA91,AE91,W91,AI91)=0,"",SUM((AA91,AE91,W91,AI91)))</f>
        <v/>
      </c>
      <c r="AK91"/>
      <c r="AL91" s="1" t="str">
        <f t="shared" si="13"/>
        <v>L2M2P3</v>
      </c>
      <c r="AM91" s="56" t="str">
        <f t="shared" si="14"/>
        <v>Proyectos de investigación financiados por convocatorias (tipo de proyecto, valor financiado)</v>
      </c>
      <c r="AN91" s="112" t="str">
        <f ca="1">IF($G91=Lists!$R$3,"T1: "&amp;TEXT(FORMULACIÓN!L91,"00,00%")&amp;CHAR(10)&amp;"T2: "&amp;TEXT(FORMULACIÓN!M91,"00,00%")&amp;CHAR(10)&amp;"T3: "&amp;TEXT(FORMULACIÓN!N91,"00,00%")&amp;CHAR(10)&amp;"Tn: "&amp;TEXT(FORMULACIÓN!O91,"00,00%"),IF(FORMULACIÓN!Q91=0,0,"T1: "&amp;TEXT(FORMULACIÓN!L91,"##.###")&amp;CHAR(10)&amp;"T2: "&amp;TEXT(FORMULACIÓN!M91,"##.###")&amp;CHAR(10)&amp;"T3: "&amp;TEXT(FORMULACIÓN!N91,"##.###")&amp;CHAR(10)&amp;"Tn: "&amp;TEXT(FORMULACIÓN!O91,"##.###")))</f>
        <v>T1: 10
T2: 10
T3: 10
Tn: 2</v>
      </c>
      <c r="AO91" s="117">
        <f>IFERROR(IF($H91=Lists!$S$6,IF(AND(FORMULACIÓN!L91&gt;K91,K91&gt;0),1,0),IF((K91/FORMULACIÓN!L91)&lt;&gt;0,K91/FORMULACIÓN!L91,0)),"")</f>
        <v>5.5</v>
      </c>
      <c r="AP91" s="117">
        <f>IFERROR(IF($H91=Lists!$S$6,IF(AND(FORMULACIÓN!M91&gt;L91,L91&gt;0),1,0),IF((L91/FORMULACIÓN!M91)&lt;&gt;0,L91/FORMULACIÓN!M91,0)),"")</f>
        <v>0</v>
      </c>
      <c r="AQ91" s="117">
        <f>IFERROR(IF($H91=Lists!$S$6,IF(AND(FORMULACIÓN!N91&gt;M91,M91&gt;0),1,0),IF((M91/FORMULACIÓN!N91)&lt;&gt;0,M91/FORMULACIÓN!N91,0)),"")</f>
        <v>0</v>
      </c>
      <c r="AR91" s="117">
        <f>IFERROR(IF($H91=Lists!$S$6,IF(AND(FORMULACIÓN!O91&gt;N91,N91&gt;0),1,0),IF((N91/FORMULACIÓN!O91)&lt;&gt;0,N91/FORMULACIÓN!O91,0)),"")</f>
        <v>0</v>
      </c>
      <c r="AS91" s="110"/>
      <c r="AT91" s="118" t="str">
        <f ca="1">IF($H91=Lists!$S$6,TEXT(COUNTIF('SEGUIMIENTO Y EVALUACIÓN'!K91:N91,"&lt;"&amp;FORMULACIÓN!Q91),"##.###")&amp;" / "&amp;TEXT(COUNTIF('SEGUIMIENTO Y EVALUACIÓN'!K91:N91,"&gt;"&amp;0),"##.###"),IF($G91=Lists!$R$3,TEXT('SEGUIMIENTO Y EVALUACIÓN'!O91,"00,00%")&amp;" / "&amp;TEXT(FORMULACIÓN!P91,"00,00%"),IF('SEGUIMIENTO Y EVALUACIÓN'!O91=0,0,TEXT('SEGUIMIENTO Y EVALUACIÓN'!O91,"##.###")&amp;" / "&amp;TEXT(FORMULACIÓN!P91,"##.###"))))</f>
        <v>55 / 32</v>
      </c>
      <c r="AU91" s="57">
        <f ca="1">IFERROR(IF((P91/FORMULACIÓN!Q91)&lt;&gt;0,IF($H91=Lists!$S$6,COUNTIF('SEGUIMIENTO Y EVALUACIÓN'!K91:N91,"&lt;"&amp;FORMULACIÓN!Q91),'SEGUIMIENTO Y EVALUACIÓN'!P91)/IF($H91=Lists!$S$6,COUNTIF('SEGUIMIENTO Y EVALUACIÓN'!K91:N91,"&gt;"&amp;0),FORMULACIÓN!P91),0),0)</f>
        <v>1.71875</v>
      </c>
      <c r="AV91" s="93">
        <f t="shared" ca="1" si="15"/>
        <v>0.02</v>
      </c>
      <c r="AW91" s="93" cm="1">
        <f t="array" ref="AW91">IF(INDEX(AO91:AU91,1,$AV$3)&gt;1,IF($AU$2=1,1,INDEX(AO91:AU91,1,$AV$3)),INDEX(AO91:AU91,1,$AV$3))</f>
        <v>1</v>
      </c>
      <c r="AX91"/>
      <c r="AY91" s="119" t="str">
        <f>IFERROR(IF((W91/FORMULACIÓN!X91)&lt;&gt;0,W91/FORMULACIÓN!X91,0),"")</f>
        <v/>
      </c>
      <c r="AZ91" s="119" t="str">
        <f>IFERROR(IF((AA91/FORMULACIÓN!AB91)&lt;&gt;0,AA91/FORMULACIÓN!AB91,0),"")</f>
        <v/>
      </c>
      <c r="BA91" s="119" t="str">
        <f>IFERROR(IF((AE91/FORMULACIÓN!AF91)&lt;&gt;0,(AE91/FORMULACIÓN!AF91),0),"")</f>
        <v/>
      </c>
      <c r="BB91" s="119" t="str">
        <f>IFERROR(IF((AI91/FORMULACIÓN!AJ91)&lt;&gt;0,AI91/FORMULACIÓN!AJ91,0),"")</f>
        <v/>
      </c>
      <c r="BC91" s="120" t="str">
        <f>IF('SEGUIMIENTO Y EVALUACIÓN'!AI91=0,0,TEXT('SEGUIMIENTO Y EVALUACIÓN'!AI91,"$ ##.###")&amp;" / "&amp;TEXT(FORMULACIÓN!AK91,"$ ##.###"))</f>
        <v xml:space="preserve"> / $ 3.058.989.070</v>
      </c>
      <c r="BD91" s="57">
        <f>IFERROR(IF((AJ91/FORMULACIÓN!AK91)&lt;&gt;0,AJ91/FORMULACIÓN!AK91,0),0)</f>
        <v>0</v>
      </c>
      <c r="CL91" s="7"/>
    </row>
    <row r="92" spans="1:90" s="1" customFormat="1" ht="99.95" customHeight="1">
      <c r="A92" s="45">
        <f>IF(FORMULACIÓN!A92="","",FORMULACIÓN!A92)</f>
        <v>81</v>
      </c>
      <c r="B92" s="45" t="str">
        <f>IF(FORMULACIÓN!B92="","",FORMULACIÓN!B92)</f>
        <v>L2 - Investigación y Redes de conocimiento para el desarrollo de la sociedad</v>
      </c>
      <c r="C92" s="45" t="str">
        <f>IF(FORMULACIÓN!E92="","",FORMULACIÓN!E92)</f>
        <v xml:space="preserve">M2 - Investigación y desarrollo científico. </v>
      </c>
      <c r="D92" s="45" t="str">
        <f>IF(FORMULACIÓN!F92="","",FORMULACIÓN!F92)</f>
        <v>Potencializar la sostenibilidad investigativa con proyectos viables para el fortalecimiento de las capacidades institucionales, con 2 Spin Off desarrollados desde los laboratorios de investigación.</v>
      </c>
      <c r="E92" s="45" t="str">
        <f>IF(FORMULACIÓN!G92="","",FORMULACIÓN!G92)</f>
        <v>Aprovechamiento de los laboratorios para la implementación de proyectos con enfoque Spin-Off (ingresos generados)</v>
      </c>
      <c r="F92" s="45" t="str">
        <f>IF(FORMULACIÓN!H92="","",FORMULACIÓN!H92)</f>
        <v xml:space="preserve">N° de Spin-Off desarrollados desde los laboratorios de investigación  </v>
      </c>
      <c r="G92" s="45" t="str">
        <f>IF(FORMULACIÓN!I92="","",FORMULACIÓN!I92)</f>
        <v>Unidad</v>
      </c>
      <c r="H92" s="45" t="str">
        <f>IF(FORMULACIÓN!J92="","",FORMULACIÓN!J92)</f>
        <v>Nuevo gestionado durante la vigencia</v>
      </c>
      <c r="I92" s="188" t="str">
        <f ca="1">IF($G92=Lists!$R$3,"PDI: "&amp;TEXT(FORMULACIÓN!Q92,"00,00%")&amp;CHAR(10)&amp;CHAR(10)&amp;"T1: "&amp;TEXT(FORMULACIÓN!L92,"00,00%")&amp;CHAR(10)&amp;"T2: "&amp;TEXT(FORMULACIÓN!M92,"00,00%")&amp;CHAR(10)&amp;"T3: "&amp;TEXT(FORMULACIÓN!N92,"00,00%")&amp;CHAR(10)&amp;"Tn: "&amp;TEXT(FORMULACIÓN!O92,"00,00%"),IF(FORMULACIÓN!Q92=0,0,"PDI: "&amp;TEXT(FORMULACIÓN!Q92,"##.###")&amp;CHAR(10)&amp;CHAR(10)&amp;"T1: "&amp;TEXT(FORMULACIÓN!L92,"##.###")&amp;CHAR(10)&amp;"T2: "&amp;TEXT(FORMULACIÓN!M92,"##.###")&amp;CHAR(10)&amp;"T3: "&amp;TEXT(FORMULACIÓN!N92,"##.###")&amp;CHAR(10)&amp;"Tn: "&amp;TEXT(FORMULACIÓN!O92,"##.###")))</f>
        <v xml:space="preserve">PDI: 2
T1: 1
T2: 
T3: 1
Tn: </v>
      </c>
      <c r="J92" s="122">
        <f>IF(FORMULACIÓN!K92&lt;&gt;"",FORMULACIÓN!K92,"")</f>
        <v>0</v>
      </c>
      <c r="K92" s="310">
        <v>1</v>
      </c>
      <c r="L92" s="58"/>
      <c r="M92" s="58"/>
      <c r="N92" s="58"/>
      <c r="O92" s="47">
        <f ca="1">IFERROR(IF($H92=Lists!$S$2,SUM('SEGUIMIENTO Y EVALUACIÓN'!J92:N92),IF('SEGUIMIENTO Y EVALUACIÓN'!$H92=Lists!$S$3,SUM('SEGUIMIENTO Y EVALUACIÓN'!K92:N92),IF('SEGUIMIENTO Y EVALUACIÓN'!$H92=Lists!$S$4,AVERAGE('SEGUIMIENTO Y EVALUACIÓN'!K92:N92),IF('SEGUIMIENTO Y EVALUACIÓN'!$H92=Lists!$S$5,OFFSET(J92,0,COUNTA(K92:N92)),IF($H92=Lists!$S$6,COUNTIF(K92:N92,"&lt;"&amp;FORMULACIÓN!Q92)/COUNT('SEGUIMIENTO Y EVALUACIÓN'!K92:N92),""))))),"")</f>
        <v>1</v>
      </c>
      <c r="P92" s="51" t="str">
        <f ca="1">IF($G92=Lists!$R$3,TEXT('SEGUIMIENTO Y EVALUACIÓN'!O92,"00,00%"),IF('SEGUIMIENTO Y EVALUACIÓN'!O92=0,0,TEXT('SEGUIMIENTO Y EVALUACIÓN'!O92,"##.###")))</f>
        <v>1</v>
      </c>
      <c r="Q92" s="209" t="str">
        <f>IF(FORMULACIÓN!R92&lt;&gt;"",FORMULACIÓN!R92,"")</f>
        <v>P3 - Articulación con el sector externo para el fortalecimiento de la investigación</v>
      </c>
      <c r="R92" s="209">
        <f>IF(FORMULACIÓN!S92&lt;&gt;"",FORMULACIÓN!S92,"")</f>
        <v>0.02</v>
      </c>
      <c r="S92" s="209" t="str">
        <f>IF(FORMULACIÓN!T92&lt;&gt;"",FORMULACIÓN!T92,"")</f>
        <v>Vicerrector de Investigación, Extensión y Proyección Social</v>
      </c>
      <c r="T92" s="42"/>
      <c r="U92" s="42"/>
      <c r="V92" s="42"/>
      <c r="W92" s="43" t="str">
        <f t="shared" si="9"/>
        <v/>
      </c>
      <c r="X92" s="42"/>
      <c r="Y92" s="42"/>
      <c r="Z92" s="42"/>
      <c r="AA92" s="43" t="str">
        <f t="shared" si="10"/>
        <v/>
      </c>
      <c r="AB92" s="42"/>
      <c r="AC92" s="42"/>
      <c r="AD92" s="42"/>
      <c r="AE92" s="43" t="str">
        <f t="shared" si="11"/>
        <v/>
      </c>
      <c r="AF92" s="42"/>
      <c r="AG92" s="42"/>
      <c r="AH92" s="42"/>
      <c r="AI92" s="46" t="str">
        <f t="shared" si="12"/>
        <v/>
      </c>
      <c r="AJ92" s="46" t="str">
        <f>IF(SUM(AA92,AE92,W92,AI92)=0,"",SUM((AA92,AE92,W92,AI92)))</f>
        <v/>
      </c>
      <c r="AK92"/>
      <c r="AL92" s="1" t="str">
        <f t="shared" si="13"/>
        <v>L2M2P3</v>
      </c>
      <c r="AM92" s="56" t="str">
        <f t="shared" si="14"/>
        <v>Aprovechamiento de los laboratorios para la implementación de proyectos con enfoque Spin-Off (ingresos generados)</v>
      </c>
      <c r="AN92" s="112" t="str">
        <f ca="1">IF($G92=Lists!$R$3,"T1: "&amp;TEXT(FORMULACIÓN!L92,"00,00%")&amp;CHAR(10)&amp;"T2: "&amp;TEXT(FORMULACIÓN!M92,"00,00%")&amp;CHAR(10)&amp;"T3: "&amp;TEXT(FORMULACIÓN!N92,"00,00%")&amp;CHAR(10)&amp;"Tn: "&amp;TEXT(FORMULACIÓN!O92,"00,00%"),IF(FORMULACIÓN!Q92=0,0,"T1: "&amp;TEXT(FORMULACIÓN!L92,"##.###")&amp;CHAR(10)&amp;"T2: "&amp;TEXT(FORMULACIÓN!M92,"##.###")&amp;CHAR(10)&amp;"T3: "&amp;TEXT(FORMULACIÓN!N92,"##.###")&amp;CHAR(10)&amp;"Tn: "&amp;TEXT(FORMULACIÓN!O92,"##.###")))</f>
        <v xml:space="preserve">T1: 1
T2: 
T3: 1
Tn: </v>
      </c>
      <c r="AO92" s="117">
        <f>IFERROR(IF($H92=Lists!$S$6,IF(AND(FORMULACIÓN!L92&gt;K92,K92&gt;0),1,0),IF((K92/FORMULACIÓN!L92)&lt;&gt;0,K92/FORMULACIÓN!L92,0)),"")</f>
        <v>1</v>
      </c>
      <c r="AP92" s="117" t="str">
        <f>IFERROR(IF($H92=Lists!$S$6,IF(AND(FORMULACIÓN!M92&gt;L92,L92&gt;0),1,0),IF((L92/FORMULACIÓN!M92)&lt;&gt;0,L92/FORMULACIÓN!M92,0)),"")</f>
        <v/>
      </c>
      <c r="AQ92" s="117">
        <f>IFERROR(IF($H92=Lists!$S$6,IF(AND(FORMULACIÓN!N92&gt;M92,M92&gt;0),1,0),IF((M92/FORMULACIÓN!N92)&lt;&gt;0,M92/FORMULACIÓN!N92,0)),"")</f>
        <v>0</v>
      </c>
      <c r="AR92" s="117" t="str">
        <f>IFERROR(IF($H92=Lists!$S$6,IF(AND(FORMULACIÓN!O92&gt;N92,N92&gt;0),1,0),IF((N92/FORMULACIÓN!O92)&lt;&gt;0,N92/FORMULACIÓN!O92,0)),"")</f>
        <v/>
      </c>
      <c r="AS92" s="110"/>
      <c r="AT92" s="118" t="str">
        <f ca="1">IF($H92=Lists!$S$6,TEXT(COUNTIF('SEGUIMIENTO Y EVALUACIÓN'!K92:N92,"&lt;"&amp;FORMULACIÓN!Q92),"##.###")&amp;" / "&amp;TEXT(COUNTIF('SEGUIMIENTO Y EVALUACIÓN'!K92:N92,"&gt;"&amp;0),"##.###"),IF($G92=Lists!$R$3,TEXT('SEGUIMIENTO Y EVALUACIÓN'!O92,"00,00%")&amp;" / "&amp;TEXT(FORMULACIÓN!P92,"00,00%"),IF('SEGUIMIENTO Y EVALUACIÓN'!O92=0,0,TEXT('SEGUIMIENTO Y EVALUACIÓN'!O92,"##.###")&amp;" / "&amp;TEXT(FORMULACIÓN!P92,"##.###"))))</f>
        <v>1 / 2</v>
      </c>
      <c r="AU92" s="57">
        <f ca="1">IFERROR(IF((P92/FORMULACIÓN!Q92)&lt;&gt;0,IF($H92=Lists!$S$6,COUNTIF('SEGUIMIENTO Y EVALUACIÓN'!K92:N92,"&lt;"&amp;FORMULACIÓN!Q92),'SEGUIMIENTO Y EVALUACIÓN'!P92)/IF($H92=Lists!$S$6,COUNTIF('SEGUIMIENTO Y EVALUACIÓN'!K92:N92,"&gt;"&amp;0),FORMULACIÓN!P92),0),0)</f>
        <v>0.5</v>
      </c>
      <c r="AV92" s="93">
        <f t="shared" ca="1" si="15"/>
        <v>0.01</v>
      </c>
      <c r="AW92" s="93" cm="1">
        <f t="array" ref="AW92">IF(INDEX(AO92:AU92,1,$AV$3)&gt;1,IF($AU$2=1,1,INDEX(AO92:AU92,1,$AV$3)),INDEX(AO92:AU92,1,$AV$3))</f>
        <v>1</v>
      </c>
      <c r="AX92"/>
      <c r="AY92" s="119" t="str">
        <f>IFERROR(IF((W92/FORMULACIÓN!X92)&lt;&gt;0,W92/FORMULACIÓN!X92,0),"")</f>
        <v/>
      </c>
      <c r="AZ92" s="119" t="str">
        <f>IFERROR(IF((AA92/FORMULACIÓN!AB92)&lt;&gt;0,AA92/FORMULACIÓN!AB92,0),"")</f>
        <v/>
      </c>
      <c r="BA92" s="119" t="str">
        <f>IFERROR(IF((AE92/FORMULACIÓN!AF92)&lt;&gt;0,(AE92/FORMULACIÓN!AF92),0),"")</f>
        <v/>
      </c>
      <c r="BB92" s="119" t="str">
        <f>IFERROR(IF((AI92/FORMULACIÓN!AJ92)&lt;&gt;0,AI92/FORMULACIÓN!AJ92,0),"")</f>
        <v/>
      </c>
      <c r="BC92" s="120" t="str">
        <f>IF('SEGUIMIENTO Y EVALUACIÓN'!AI92=0,0,TEXT('SEGUIMIENTO Y EVALUACIÓN'!AI92,"$ ##.###")&amp;" / "&amp;TEXT(FORMULACIÓN!AK92,"$ ##.###"))</f>
        <v xml:space="preserve"> / $ 1.770.993.672</v>
      </c>
      <c r="BD92" s="57">
        <f>IFERROR(IF((AJ92/FORMULACIÓN!AK92)&lt;&gt;0,AJ92/FORMULACIÓN!AK92,0),0)</f>
        <v>0</v>
      </c>
      <c r="CL92" s="7"/>
    </row>
    <row r="93" spans="1:90" s="1" customFormat="1" ht="99.95" customHeight="1">
      <c r="A93" s="45">
        <f>IF(FORMULACIÓN!A93="","",FORMULACIÓN!A93)</f>
        <v>82</v>
      </c>
      <c r="B93" s="45" t="str">
        <f>IF(FORMULACIÓN!B93="","",FORMULACIÓN!B93)</f>
        <v>L2 - Investigación y Redes de conocimiento para el desarrollo de la sociedad</v>
      </c>
      <c r="C93" s="45" t="str">
        <f>IF(FORMULACIÓN!E93="","",FORMULACIÓN!E93)</f>
        <v>M3 - Innovación y desarrollo tecnológico.</v>
      </c>
      <c r="D93" s="45" t="str">
        <f>IF(FORMULACIÓN!F93="","",FORMULACIÓN!F93)</f>
        <v>Fomentar el desarrollo de proyectos de base tecnológica y la participación en convocatorias, y así lograr ejecutar mínimo 8 proyectos con financiación.</v>
      </c>
      <c r="E93" s="45" t="str">
        <f>IF(FORMULACIÓN!G93="","",FORMULACIÓN!G93)</f>
        <v>Tecnologías con alcance en las etapas TRL 4, 5 y 6 según criterio de Minciencias</v>
      </c>
      <c r="F93" s="45" t="str">
        <f>IF(FORMULACIÓN!H93="","",FORMULACIÓN!H93)</f>
        <v>N° de tecnologías con alcance en las etapas TRL 4, 5 y 6 según criterio de  Minciencias</v>
      </c>
      <c r="G93" s="45" t="str">
        <f>IF(FORMULACIÓN!I93="","",FORMULACIÓN!I93)</f>
        <v>Unidad</v>
      </c>
      <c r="H93" s="45" t="str">
        <f>IF(FORMULACIÓN!J93="","",FORMULACIÓN!J93)</f>
        <v>Nuevo gestionado durante la vigencia</v>
      </c>
      <c r="I93" s="188" t="str">
        <f ca="1">IF($G93=Lists!$R$3,"PDI: "&amp;TEXT(FORMULACIÓN!Q93,"00,00%")&amp;CHAR(10)&amp;CHAR(10)&amp;"T1: "&amp;TEXT(FORMULACIÓN!L93,"00,00%")&amp;CHAR(10)&amp;"T2: "&amp;TEXT(FORMULACIÓN!M93,"00,00%")&amp;CHAR(10)&amp;"T3: "&amp;TEXT(FORMULACIÓN!N93,"00,00%")&amp;CHAR(10)&amp;"Tn: "&amp;TEXT(FORMULACIÓN!O93,"00,00%"),IF(FORMULACIÓN!Q93=0,0,"PDI: "&amp;TEXT(FORMULACIÓN!Q93,"##.###")&amp;CHAR(10)&amp;CHAR(10)&amp;"T1: "&amp;TEXT(FORMULACIÓN!L93,"##.###")&amp;CHAR(10)&amp;"T2: "&amp;TEXT(FORMULACIÓN!M93,"##.###")&amp;CHAR(10)&amp;"T3: "&amp;TEXT(FORMULACIÓN!N93,"##.###")&amp;CHAR(10)&amp;"Tn: "&amp;TEXT(FORMULACIÓN!O93,"##.###")))</f>
        <v xml:space="preserve">PDI: 8
T1: 4
T2: 
T3: 4
Tn: </v>
      </c>
      <c r="J93" s="122">
        <f>IF(FORMULACIÓN!K93&lt;&gt;"",FORMULACIÓN!K93,"")</f>
        <v>2</v>
      </c>
      <c r="K93" s="310">
        <v>5</v>
      </c>
      <c r="L93" s="58"/>
      <c r="M93" s="58"/>
      <c r="N93" s="58"/>
      <c r="O93" s="47">
        <f ca="1">IFERROR(IF($H93=Lists!$S$2,SUM('SEGUIMIENTO Y EVALUACIÓN'!J93:N93),IF('SEGUIMIENTO Y EVALUACIÓN'!$H93=Lists!$S$3,SUM('SEGUIMIENTO Y EVALUACIÓN'!K93:N93),IF('SEGUIMIENTO Y EVALUACIÓN'!$H93=Lists!$S$4,AVERAGE('SEGUIMIENTO Y EVALUACIÓN'!K93:N93),IF('SEGUIMIENTO Y EVALUACIÓN'!$H93=Lists!$S$5,OFFSET(J93,0,COUNTA(K93:N93)),IF($H93=Lists!$S$6,COUNTIF(K93:N93,"&lt;"&amp;FORMULACIÓN!Q93)/COUNT('SEGUIMIENTO Y EVALUACIÓN'!K93:N93),""))))),"")</f>
        <v>5</v>
      </c>
      <c r="P93" s="51" t="str">
        <f ca="1">IF($G93=Lists!$R$3,TEXT('SEGUIMIENTO Y EVALUACIÓN'!O93,"00,00%"),IF('SEGUIMIENTO Y EVALUACIÓN'!O93=0,0,TEXT('SEGUIMIENTO Y EVALUACIÓN'!O93,"##.###")))</f>
        <v>5</v>
      </c>
      <c r="Q93" s="209" t="str">
        <f>IF(FORMULACIÓN!R93&lt;&gt;"",FORMULACIÓN!R93,"")</f>
        <v>P1 - Apropiación de proyectos de investigación de base tecnológica</v>
      </c>
      <c r="R93" s="209">
        <f>IF(FORMULACIÓN!S93&lt;&gt;"",FORMULACIÓN!S93,"")</f>
        <v>0.13</v>
      </c>
      <c r="S93" s="209" t="str">
        <f>IF(FORMULACIÓN!T93&lt;&gt;"",FORMULACIÓN!T93,"")</f>
        <v>Vicerrector de Investigación, Extensión y Proyección Social</v>
      </c>
      <c r="T93" s="42"/>
      <c r="U93" s="42"/>
      <c r="V93" s="42"/>
      <c r="W93" s="43" t="str">
        <f t="shared" si="9"/>
        <v/>
      </c>
      <c r="X93" s="42"/>
      <c r="Y93" s="42"/>
      <c r="Z93" s="42"/>
      <c r="AA93" s="43" t="str">
        <f t="shared" si="10"/>
        <v/>
      </c>
      <c r="AB93" s="42"/>
      <c r="AC93" s="42"/>
      <c r="AD93" s="42"/>
      <c r="AE93" s="43" t="str">
        <f t="shared" si="11"/>
        <v/>
      </c>
      <c r="AF93" s="42"/>
      <c r="AG93" s="42"/>
      <c r="AH93" s="42"/>
      <c r="AI93" s="46" t="str">
        <f t="shared" si="12"/>
        <v/>
      </c>
      <c r="AJ93" s="46" t="str">
        <f>IF(SUM(AA93,AE93,W93,AI93)=0,"",SUM((AA93,AE93,W93,AI93)))</f>
        <v/>
      </c>
      <c r="AK93"/>
      <c r="AL93" s="1" t="str">
        <f t="shared" si="13"/>
        <v>L2M3P1</v>
      </c>
      <c r="AM93" s="56" t="str">
        <f t="shared" si="14"/>
        <v>Tecnologías con alcance en las etapas TRL 4, 5 y 6 según criterio de Minciencias</v>
      </c>
      <c r="AN93" s="112" t="str">
        <f ca="1">IF($G93=Lists!$R$3,"T1: "&amp;TEXT(FORMULACIÓN!L93,"00,00%")&amp;CHAR(10)&amp;"T2: "&amp;TEXT(FORMULACIÓN!M93,"00,00%")&amp;CHAR(10)&amp;"T3: "&amp;TEXT(FORMULACIÓN!N93,"00,00%")&amp;CHAR(10)&amp;"Tn: "&amp;TEXT(FORMULACIÓN!O93,"00,00%"),IF(FORMULACIÓN!Q93=0,0,"T1: "&amp;TEXT(FORMULACIÓN!L93,"##.###")&amp;CHAR(10)&amp;"T2: "&amp;TEXT(FORMULACIÓN!M93,"##.###")&amp;CHAR(10)&amp;"T3: "&amp;TEXT(FORMULACIÓN!N93,"##.###")&amp;CHAR(10)&amp;"Tn: "&amp;TEXT(FORMULACIÓN!O93,"##.###")))</f>
        <v xml:space="preserve">T1: 4
T2: 
T3: 4
Tn: </v>
      </c>
      <c r="AO93" s="117">
        <f>IFERROR(IF($H93=Lists!$S$6,IF(AND(FORMULACIÓN!L93&gt;K93,K93&gt;0),1,0),IF((K93/FORMULACIÓN!L93)&lt;&gt;0,K93/FORMULACIÓN!L93,0)),"")</f>
        <v>1.25</v>
      </c>
      <c r="AP93" s="117" t="str">
        <f>IFERROR(IF($H93=Lists!$S$6,IF(AND(FORMULACIÓN!M93&gt;L93,L93&gt;0),1,0),IF((L93/FORMULACIÓN!M93)&lt;&gt;0,L93/FORMULACIÓN!M93,0)),"")</f>
        <v/>
      </c>
      <c r="AQ93" s="117">
        <f>IFERROR(IF($H93=Lists!$S$6,IF(AND(FORMULACIÓN!N93&gt;M93,M93&gt;0),1,0),IF((M93/FORMULACIÓN!N93)&lt;&gt;0,M93/FORMULACIÓN!N93,0)),"")</f>
        <v>0</v>
      </c>
      <c r="AR93" s="117" t="str">
        <f>IFERROR(IF($H93=Lists!$S$6,IF(AND(FORMULACIÓN!O93&gt;N93,N93&gt;0),1,0),IF((N93/FORMULACIÓN!O93)&lt;&gt;0,N93/FORMULACIÓN!O93,0)),"")</f>
        <v/>
      </c>
      <c r="AS93" s="110"/>
      <c r="AT93" s="118" t="str">
        <f ca="1">IF($H93=Lists!$S$6,TEXT(COUNTIF('SEGUIMIENTO Y EVALUACIÓN'!K93:N93,"&lt;"&amp;FORMULACIÓN!Q93),"##.###")&amp;" / "&amp;TEXT(COUNTIF('SEGUIMIENTO Y EVALUACIÓN'!K93:N93,"&gt;"&amp;0),"##.###"),IF($G93=Lists!$R$3,TEXT('SEGUIMIENTO Y EVALUACIÓN'!O93,"00,00%")&amp;" / "&amp;TEXT(FORMULACIÓN!P93,"00,00%"),IF('SEGUIMIENTO Y EVALUACIÓN'!O93=0,0,TEXT('SEGUIMIENTO Y EVALUACIÓN'!O93,"##.###")&amp;" / "&amp;TEXT(FORMULACIÓN!P93,"##.###"))))</f>
        <v>5 / 8</v>
      </c>
      <c r="AU93" s="57">
        <f ca="1">IFERROR(IF((P93/FORMULACIÓN!Q93)&lt;&gt;0,IF($H93=Lists!$S$6,COUNTIF('SEGUIMIENTO Y EVALUACIÓN'!K93:N93,"&lt;"&amp;FORMULACIÓN!Q93),'SEGUIMIENTO Y EVALUACIÓN'!P93)/IF($H93=Lists!$S$6,COUNTIF('SEGUIMIENTO Y EVALUACIÓN'!K93:N93,"&gt;"&amp;0),FORMULACIÓN!P93),0),0)</f>
        <v>0.625</v>
      </c>
      <c r="AV93" s="93">
        <f t="shared" ca="1" si="15"/>
        <v>8.1250000000000003E-2</v>
      </c>
      <c r="AW93" s="93" cm="1">
        <f t="array" ref="AW93">IF(INDEX(AO93:AU93,1,$AV$3)&gt;1,IF($AU$2=1,1,INDEX(AO93:AU93,1,$AV$3)),INDEX(AO93:AU93,1,$AV$3))</f>
        <v>1</v>
      </c>
      <c r="AX93"/>
      <c r="AY93" s="119" t="str">
        <f>IFERROR(IF((W93/FORMULACIÓN!X93)&lt;&gt;0,W93/FORMULACIÓN!X93,0),"")</f>
        <v/>
      </c>
      <c r="AZ93" s="119" t="str">
        <f>IFERROR(IF((AA93/FORMULACIÓN!AB93)&lt;&gt;0,AA93/FORMULACIÓN!AB93,0),"")</f>
        <v/>
      </c>
      <c r="BA93" s="119" t="str">
        <f>IFERROR(IF((AE93/FORMULACIÓN!AF93)&lt;&gt;0,(AE93/FORMULACIÓN!AF93),0),"")</f>
        <v/>
      </c>
      <c r="BB93" s="119" t="str">
        <f>IFERROR(IF((AI93/FORMULACIÓN!AJ93)&lt;&gt;0,AI93/FORMULACIÓN!AJ93,0),"")</f>
        <v/>
      </c>
      <c r="BC93" s="120" t="str">
        <f>IF('SEGUIMIENTO Y EVALUACIÓN'!AI93=0,0,TEXT('SEGUIMIENTO Y EVALUACIÓN'!AI93,"$ ##.###")&amp;" / "&amp;TEXT(FORMULACIÓN!AK93,"$ ##.###"))</f>
        <v xml:space="preserve"> / $ 4.681.315.873</v>
      </c>
      <c r="BD93" s="57">
        <f>IFERROR(IF((AJ93/FORMULACIÓN!AK93)&lt;&gt;0,AJ93/FORMULACIÓN!AK93,0),0)</f>
        <v>0</v>
      </c>
      <c r="CL93" s="7"/>
    </row>
    <row r="94" spans="1:90" s="1" customFormat="1" ht="99.95" customHeight="1">
      <c r="A94" s="45">
        <f>IF(FORMULACIÓN!A94="","",FORMULACIÓN!A94)</f>
        <v>83</v>
      </c>
      <c r="B94" s="45" t="str">
        <f>IF(FORMULACIÓN!B94="","",FORMULACIÓN!B94)</f>
        <v>L2 - Investigación y Redes de conocimiento para el desarrollo de la sociedad</v>
      </c>
      <c r="C94" s="45" t="str">
        <f>IF(FORMULACIÓN!E94="","",FORMULACIÓN!E94)</f>
        <v>M3 - Innovación y desarrollo tecnológico.</v>
      </c>
      <c r="D94" s="45" t="str">
        <f>IF(FORMULACIÓN!F94="","",FORMULACIÓN!F94)</f>
        <v>Operacionalizar el Parque Tecnológico del Caribe PTC e integrar el ecosistema de ciencia, tecnología e innovación del Caribe, vinculando el PTC y el Centro de Investigaciones Científicas y Tecnológicas de la Universidad del Atlántico CICIT, así como otros laboratorios de investigación para impactar a las empresas de base tecnológica a través de servicios de investigación alcanzando 5 proyectos que involucren propiedad industrial, 10 contratos con empresas de base tecnológica, 10 proyectos con financiación internacional</v>
      </c>
      <c r="E94" s="45" t="str">
        <f>IF(FORMULACIÓN!G94="","",FORMULACIÓN!G94)</f>
        <v xml:space="preserve">Proyectos de investigación desarrollados por grupos de investigación adscritos al CICIT que contienen desarrollo de patentes </v>
      </c>
      <c r="F94" s="45" t="str">
        <f>IF(FORMULACIÓN!H94="","",FORMULACIÓN!H94)</f>
        <v>N° de proyectos de investigación desarrollados por grupos de investigación adscritos al CICIT que implica propiedad industrial (patentes, diseños industriales, variedades vegetales, marcas)</v>
      </c>
      <c r="G94" s="45" t="str">
        <f>IF(FORMULACIÓN!I94="","",FORMULACIÓN!I94)</f>
        <v>Unidad</v>
      </c>
      <c r="H94" s="45" t="str">
        <f>IF(FORMULACIÓN!J94="","",FORMULACIÓN!J94)</f>
        <v>Nuevo gestionado durante la vigencia</v>
      </c>
      <c r="I94" s="188" t="str">
        <f ca="1">IF($G94=Lists!$R$3,"PDI: "&amp;TEXT(FORMULACIÓN!Q94,"00,00%")&amp;CHAR(10)&amp;CHAR(10)&amp;"T1: "&amp;TEXT(FORMULACIÓN!L94,"00,00%")&amp;CHAR(10)&amp;"T2: "&amp;TEXT(FORMULACIÓN!M94,"00,00%")&amp;CHAR(10)&amp;"T3: "&amp;TEXT(FORMULACIÓN!N94,"00,00%")&amp;CHAR(10)&amp;"Tn: "&amp;TEXT(FORMULACIÓN!O94,"00,00%"),IF(FORMULACIÓN!Q94=0,0,"PDI: "&amp;TEXT(FORMULACIÓN!Q94,"##.###")&amp;CHAR(10)&amp;CHAR(10)&amp;"T1: "&amp;TEXT(FORMULACIÓN!L94,"##.###")&amp;CHAR(10)&amp;"T2: "&amp;TEXT(FORMULACIÓN!M94,"##.###")&amp;CHAR(10)&amp;"T3: "&amp;TEXT(FORMULACIÓN!N94,"##.###")&amp;CHAR(10)&amp;"Tn: "&amp;TEXT(FORMULACIÓN!O94,"##.###")))</f>
        <v xml:space="preserve">PDI: 5
T1: 1
T2: 2
T3: 2
Tn: </v>
      </c>
      <c r="J94" s="122">
        <f>IF(FORMULACIÓN!K94&lt;&gt;"",FORMULACIÓN!K94,"")</f>
        <v>2</v>
      </c>
      <c r="K94" s="310">
        <v>6</v>
      </c>
      <c r="L94" s="58"/>
      <c r="M94" s="58"/>
      <c r="N94" s="58"/>
      <c r="O94" s="47">
        <f ca="1">IFERROR(IF($H94=Lists!$S$2,SUM('SEGUIMIENTO Y EVALUACIÓN'!J94:N94),IF('SEGUIMIENTO Y EVALUACIÓN'!$H94=Lists!$S$3,SUM('SEGUIMIENTO Y EVALUACIÓN'!K94:N94),IF('SEGUIMIENTO Y EVALUACIÓN'!$H94=Lists!$S$4,AVERAGE('SEGUIMIENTO Y EVALUACIÓN'!K94:N94),IF('SEGUIMIENTO Y EVALUACIÓN'!$H94=Lists!$S$5,OFFSET(J94,0,COUNTA(K94:N94)),IF($H94=Lists!$S$6,COUNTIF(K94:N94,"&lt;"&amp;FORMULACIÓN!Q94)/COUNT('SEGUIMIENTO Y EVALUACIÓN'!K94:N94),""))))),"")</f>
        <v>6</v>
      </c>
      <c r="P94" s="51" t="str">
        <f ca="1">IF($G94=Lists!$R$3,TEXT('SEGUIMIENTO Y EVALUACIÓN'!O94,"00,00%"),IF('SEGUIMIENTO Y EVALUACIÓN'!O94=0,0,TEXT('SEGUIMIENTO Y EVALUACIÓN'!O94,"##.###")))</f>
        <v>6</v>
      </c>
      <c r="Q94" s="209" t="str">
        <f>IF(FORMULACIÓN!R94&lt;&gt;"",FORMULACIÓN!R94,"")</f>
        <v>P2 - Consolidación del Centro de Investigaciones Científicas y Tecnológicas de la Universidad del Atlántico</v>
      </c>
      <c r="R94" s="209">
        <f>IF(FORMULACIÓN!S94&lt;&gt;"",FORMULACIÓN!S94,"")</f>
        <v>0.04</v>
      </c>
      <c r="S94" s="209" t="str">
        <f>IF(FORMULACIÓN!T94&lt;&gt;"",FORMULACIÓN!T94,"")</f>
        <v>Vicerrector de Investigación, Extensión y Proyección Social</v>
      </c>
      <c r="T94" s="42"/>
      <c r="U94" s="42"/>
      <c r="V94" s="42"/>
      <c r="W94" s="43" t="str">
        <f t="shared" si="9"/>
        <v/>
      </c>
      <c r="X94" s="42"/>
      <c r="Y94" s="42"/>
      <c r="Z94" s="42"/>
      <c r="AA94" s="43" t="str">
        <f t="shared" si="10"/>
        <v/>
      </c>
      <c r="AB94" s="42"/>
      <c r="AC94" s="42"/>
      <c r="AD94" s="42"/>
      <c r="AE94" s="43" t="str">
        <f t="shared" si="11"/>
        <v/>
      </c>
      <c r="AF94" s="42"/>
      <c r="AG94" s="42"/>
      <c r="AH94" s="42"/>
      <c r="AI94" s="46" t="str">
        <f t="shared" si="12"/>
        <v/>
      </c>
      <c r="AJ94" s="46" t="str">
        <f>IF(SUM(AA94,AE94,W94,AI94)=0,"",SUM((AA94,AE94,W94,AI94)))</f>
        <v/>
      </c>
      <c r="AK94"/>
      <c r="AL94" s="1" t="str">
        <f t="shared" si="13"/>
        <v>L2M3P2</v>
      </c>
      <c r="AM94" s="56" t="str">
        <f t="shared" si="14"/>
        <v xml:space="preserve">Proyectos de investigación desarrollados por grupos de investigación adscritos al CICIT que contienen desarrollo de patentes </v>
      </c>
      <c r="AN94" s="112" t="str">
        <f ca="1">IF($G94=Lists!$R$3,"T1: "&amp;TEXT(FORMULACIÓN!L94,"00,00%")&amp;CHAR(10)&amp;"T2: "&amp;TEXT(FORMULACIÓN!M94,"00,00%")&amp;CHAR(10)&amp;"T3: "&amp;TEXT(FORMULACIÓN!N94,"00,00%")&amp;CHAR(10)&amp;"Tn: "&amp;TEXT(FORMULACIÓN!O94,"00,00%"),IF(FORMULACIÓN!Q94=0,0,"T1: "&amp;TEXT(FORMULACIÓN!L94,"##.###")&amp;CHAR(10)&amp;"T2: "&amp;TEXT(FORMULACIÓN!M94,"##.###")&amp;CHAR(10)&amp;"T3: "&amp;TEXT(FORMULACIÓN!N94,"##.###")&amp;CHAR(10)&amp;"Tn: "&amp;TEXT(FORMULACIÓN!O94,"##.###")))</f>
        <v xml:space="preserve">T1: 1
T2: 2
T3: 2
Tn: </v>
      </c>
      <c r="AO94" s="117">
        <f>IFERROR(IF($H94=Lists!$S$6,IF(AND(FORMULACIÓN!L94&gt;K94,K94&gt;0),1,0),IF((K94/FORMULACIÓN!L94)&lt;&gt;0,K94/FORMULACIÓN!L94,0)),"")</f>
        <v>6</v>
      </c>
      <c r="AP94" s="117">
        <f>IFERROR(IF($H94=Lists!$S$6,IF(AND(FORMULACIÓN!M94&gt;L94,L94&gt;0),1,0),IF((L94/FORMULACIÓN!M94)&lt;&gt;0,L94/FORMULACIÓN!M94,0)),"")</f>
        <v>0</v>
      </c>
      <c r="AQ94" s="117">
        <f>IFERROR(IF($H94=Lists!$S$6,IF(AND(FORMULACIÓN!N94&gt;M94,M94&gt;0),1,0),IF((M94/FORMULACIÓN!N94)&lt;&gt;0,M94/FORMULACIÓN!N94,0)),"")</f>
        <v>0</v>
      </c>
      <c r="AR94" s="117" t="str">
        <f>IFERROR(IF($H94=Lists!$S$6,IF(AND(FORMULACIÓN!O94&gt;N94,N94&gt;0),1,0),IF((N94/FORMULACIÓN!O94)&lt;&gt;0,N94/FORMULACIÓN!O94,0)),"")</f>
        <v/>
      </c>
      <c r="AS94" s="110"/>
      <c r="AT94" s="118" t="str">
        <f ca="1">IF($H94=Lists!$S$6,TEXT(COUNTIF('SEGUIMIENTO Y EVALUACIÓN'!K94:N94,"&lt;"&amp;FORMULACIÓN!Q94),"##.###")&amp;" / "&amp;TEXT(COUNTIF('SEGUIMIENTO Y EVALUACIÓN'!K94:N94,"&gt;"&amp;0),"##.###"),IF($G94=Lists!$R$3,TEXT('SEGUIMIENTO Y EVALUACIÓN'!O94,"00,00%")&amp;" / "&amp;TEXT(FORMULACIÓN!P94,"00,00%"),IF('SEGUIMIENTO Y EVALUACIÓN'!O94=0,0,TEXT('SEGUIMIENTO Y EVALUACIÓN'!O94,"##.###")&amp;" / "&amp;TEXT(FORMULACIÓN!P94,"##.###"))))</f>
        <v>6 / 5</v>
      </c>
      <c r="AU94" s="57">
        <f ca="1">IFERROR(IF((P94/FORMULACIÓN!Q94)&lt;&gt;0,IF($H94=Lists!$S$6,COUNTIF('SEGUIMIENTO Y EVALUACIÓN'!K94:N94,"&lt;"&amp;FORMULACIÓN!Q94),'SEGUIMIENTO Y EVALUACIÓN'!P94)/IF($H94=Lists!$S$6,COUNTIF('SEGUIMIENTO Y EVALUACIÓN'!K94:N94,"&gt;"&amp;0),FORMULACIÓN!P94),0),0)</f>
        <v>1.2</v>
      </c>
      <c r="AV94" s="93">
        <f t="shared" ca="1" si="15"/>
        <v>0.04</v>
      </c>
      <c r="AW94" s="93" cm="1">
        <f t="array" ref="AW94">IF(INDEX(AO94:AU94,1,$AV$3)&gt;1,IF($AU$2=1,1,INDEX(AO94:AU94,1,$AV$3)),INDEX(AO94:AU94,1,$AV$3))</f>
        <v>1</v>
      </c>
      <c r="AX94"/>
      <c r="AY94" s="119" t="str">
        <f>IFERROR(IF((W94/FORMULACIÓN!X94)&lt;&gt;0,W94/FORMULACIÓN!X94,0),"")</f>
        <v/>
      </c>
      <c r="AZ94" s="119" t="str">
        <f>IFERROR(IF((AA94/FORMULACIÓN!AB94)&lt;&gt;0,AA94/FORMULACIÓN!AB94,0),"")</f>
        <v/>
      </c>
      <c r="BA94" s="119" t="str">
        <f>IFERROR(IF((AE94/FORMULACIÓN!AF94)&lt;&gt;0,(AE94/FORMULACIÓN!AF94),0),"")</f>
        <v/>
      </c>
      <c r="BB94" s="119" t="str">
        <f>IFERROR(IF((AI94/FORMULACIÓN!AJ94)&lt;&gt;0,AI94/FORMULACIÓN!AJ94,0),"")</f>
        <v/>
      </c>
      <c r="BC94" s="120" t="str">
        <f>IF('SEGUIMIENTO Y EVALUACIÓN'!AI94=0,0,TEXT('SEGUIMIENTO Y EVALUACIÓN'!AI94,"$ ##.###")&amp;" / "&amp;TEXT(FORMULACIÓN!AK94,"$ ##.###"))</f>
        <v xml:space="preserve"> / $ 915.796.990</v>
      </c>
      <c r="BD94" s="57">
        <f>IFERROR(IF((AJ94/FORMULACIÓN!AK94)&lt;&gt;0,AJ94/FORMULACIÓN!AK94,0),0)</f>
        <v>0</v>
      </c>
      <c r="CL94" s="7"/>
    </row>
    <row r="95" spans="1:90" s="1" customFormat="1" ht="99.95" customHeight="1">
      <c r="A95" s="45">
        <f>IF(FORMULACIÓN!A95="","",FORMULACIÓN!A95)</f>
        <v>84</v>
      </c>
      <c r="B95" s="45" t="str">
        <f>IF(FORMULACIÓN!B95="","",FORMULACIÓN!B95)</f>
        <v>L2 - Investigación y Redes de conocimiento para el desarrollo de la sociedad</v>
      </c>
      <c r="C95" s="45" t="str">
        <f>IF(FORMULACIÓN!E95="","",FORMULACIÓN!E95)</f>
        <v>M3 - Innovación y desarrollo tecnológico.</v>
      </c>
      <c r="D95" s="45" t="str">
        <f>IF(FORMULACIÓN!F95="","",FORMULACIÓN!F95)</f>
        <v>Operacionalizar el Parque Tecnológico del Caribe PTC e integrar el ecosistema de ciencia, tecnología e innovación del Caribe, vinculando el PTC y el Centro de Investigaciones Científicas y Tecnológicas de la Universidad del Atlántico CICIT, así como otros laboratorios de investigación para impactar a las empresas de base tecnológica a través de servicios de investigación alcanzando 5 proyectos que involucren propiedad industrial, 10 contratos con empresas de base tecnológica, 10 proyectos con financiación internacional</v>
      </c>
      <c r="E95" s="45" t="str">
        <f>IF(FORMULACIÓN!G95="","",FORMULACIÓN!G95)</f>
        <v>Contratos y/o convenios en alianzas con empresas de base tecnológica para ejecución de proyectos de investigación en alianza con el CICIT, así como otros laboratorios de investigación con el PTC</v>
      </c>
      <c r="F95" s="45" t="str">
        <f>IF(FORMULACIÓN!H95="","",FORMULACIÓN!H95)</f>
        <v>N° de contratos y/o convenios con empresas de base tecnológica</v>
      </c>
      <c r="G95" s="45" t="str">
        <f>IF(FORMULACIÓN!I95="","",FORMULACIÓN!I95)</f>
        <v>Unidad</v>
      </c>
      <c r="H95" s="45" t="str">
        <f>IF(FORMULACIÓN!J95="","",FORMULACIÓN!J95)</f>
        <v>Nuevo gestionado durante la vigencia</v>
      </c>
      <c r="I95" s="188" t="str">
        <f ca="1">IF($G95=Lists!$R$3,"PDI: "&amp;TEXT(FORMULACIÓN!Q95,"00,00%")&amp;CHAR(10)&amp;CHAR(10)&amp;"T1: "&amp;TEXT(FORMULACIÓN!L95,"00,00%")&amp;CHAR(10)&amp;"T2: "&amp;TEXT(FORMULACIÓN!M95,"00,00%")&amp;CHAR(10)&amp;"T3: "&amp;TEXT(FORMULACIÓN!N95,"00,00%")&amp;CHAR(10)&amp;"Tn: "&amp;TEXT(FORMULACIÓN!O95,"00,00%"),IF(FORMULACIÓN!Q95=0,0,"PDI: "&amp;TEXT(FORMULACIÓN!Q95,"##.###")&amp;CHAR(10)&amp;CHAR(10)&amp;"T1: "&amp;TEXT(FORMULACIÓN!L95,"##.###")&amp;CHAR(10)&amp;"T2: "&amp;TEXT(FORMULACIÓN!M95,"##.###")&amp;CHAR(10)&amp;"T3: "&amp;TEXT(FORMULACIÓN!N95,"##.###")&amp;CHAR(10)&amp;"Tn: "&amp;TEXT(FORMULACIÓN!O95,"##.###")))</f>
        <v>PDI: 10
T1: 3
T2: 3
T3: 3
Tn: 1</v>
      </c>
      <c r="J95" s="122">
        <f>IF(FORMULACIÓN!K95&lt;&gt;"",FORMULACIÓN!K95,"")</f>
        <v>5</v>
      </c>
      <c r="K95" s="310">
        <v>3</v>
      </c>
      <c r="L95" s="58"/>
      <c r="M95" s="58"/>
      <c r="N95" s="58"/>
      <c r="O95" s="47">
        <f ca="1">IFERROR(IF($H95=Lists!$S$2,SUM('SEGUIMIENTO Y EVALUACIÓN'!J95:N95),IF('SEGUIMIENTO Y EVALUACIÓN'!$H95=Lists!$S$3,SUM('SEGUIMIENTO Y EVALUACIÓN'!K95:N95),IF('SEGUIMIENTO Y EVALUACIÓN'!$H95=Lists!$S$4,AVERAGE('SEGUIMIENTO Y EVALUACIÓN'!K95:N95),IF('SEGUIMIENTO Y EVALUACIÓN'!$H95=Lists!$S$5,OFFSET(J95,0,COUNTA(K95:N95)),IF($H95=Lists!$S$6,COUNTIF(K95:N95,"&lt;"&amp;FORMULACIÓN!Q95)/COUNT('SEGUIMIENTO Y EVALUACIÓN'!K95:N95),""))))),"")</f>
        <v>3</v>
      </c>
      <c r="P95" s="51" t="str">
        <f ca="1">IF($G95=Lists!$R$3,TEXT('SEGUIMIENTO Y EVALUACIÓN'!O95,"00,00%"),IF('SEGUIMIENTO Y EVALUACIÓN'!O95=0,0,TEXT('SEGUIMIENTO Y EVALUACIÓN'!O95,"##.###")))</f>
        <v>3</v>
      </c>
      <c r="Q95" s="209" t="str">
        <f>IF(FORMULACIÓN!R95&lt;&gt;"",FORMULACIÓN!R95,"")</f>
        <v>P2 - Consolidación del Centro de Investigaciones Científicas y Tecnológicas de la Universidad del Atlántico</v>
      </c>
      <c r="R95" s="209">
        <f>IF(FORMULACIÓN!S95&lt;&gt;"",FORMULACIÓN!S95,"")</f>
        <v>0.04</v>
      </c>
      <c r="S95" s="209" t="str">
        <f>IF(FORMULACIÓN!T95&lt;&gt;"",FORMULACIÓN!T95,"")</f>
        <v>Vicerrector de Investigación, Extensión y Proyección Social</v>
      </c>
      <c r="T95" s="42"/>
      <c r="U95" s="42"/>
      <c r="V95" s="42"/>
      <c r="W95" s="43" t="str">
        <f t="shared" si="9"/>
        <v/>
      </c>
      <c r="X95" s="42"/>
      <c r="Y95" s="42"/>
      <c r="Z95" s="42"/>
      <c r="AA95" s="43" t="str">
        <f t="shared" si="10"/>
        <v/>
      </c>
      <c r="AB95" s="42"/>
      <c r="AC95" s="42"/>
      <c r="AD95" s="42"/>
      <c r="AE95" s="43" t="str">
        <f t="shared" si="11"/>
        <v/>
      </c>
      <c r="AF95" s="42"/>
      <c r="AG95" s="42"/>
      <c r="AH95" s="42"/>
      <c r="AI95" s="46" t="str">
        <f t="shared" si="12"/>
        <v/>
      </c>
      <c r="AJ95" s="46" t="str">
        <f>IF(SUM(AA95,AE95,W95,AI95)=0,"",SUM((AA95,AE95,W95,AI95)))</f>
        <v/>
      </c>
      <c r="AK95"/>
      <c r="AL95" s="1" t="str">
        <f t="shared" si="13"/>
        <v>L2M3P2</v>
      </c>
      <c r="AM95" s="56" t="str">
        <f t="shared" si="14"/>
        <v>Contratos y/o convenios en alianzas con empresas de base tecnológica para ejecución de proyectos de investigación en alianza con el CICIT, así como otros laboratorios de investigación con el PTC</v>
      </c>
      <c r="AN95" s="112" t="str">
        <f ca="1">IF($G95=Lists!$R$3,"T1: "&amp;TEXT(FORMULACIÓN!L95,"00,00%")&amp;CHAR(10)&amp;"T2: "&amp;TEXT(FORMULACIÓN!M95,"00,00%")&amp;CHAR(10)&amp;"T3: "&amp;TEXT(FORMULACIÓN!N95,"00,00%")&amp;CHAR(10)&amp;"Tn: "&amp;TEXT(FORMULACIÓN!O95,"00,00%"),IF(FORMULACIÓN!Q95=0,0,"T1: "&amp;TEXT(FORMULACIÓN!L95,"##.###")&amp;CHAR(10)&amp;"T2: "&amp;TEXT(FORMULACIÓN!M95,"##.###")&amp;CHAR(10)&amp;"T3: "&amp;TEXT(FORMULACIÓN!N95,"##.###")&amp;CHAR(10)&amp;"Tn: "&amp;TEXT(FORMULACIÓN!O95,"##.###")))</f>
        <v>T1: 3
T2: 3
T3: 3
Tn: 1</v>
      </c>
      <c r="AO95" s="117">
        <f>IFERROR(IF($H95=Lists!$S$6,IF(AND(FORMULACIÓN!L95&gt;K95,K95&gt;0),1,0),IF((K95/FORMULACIÓN!L95)&lt;&gt;0,K95/FORMULACIÓN!L95,0)),"")</f>
        <v>1</v>
      </c>
      <c r="AP95" s="117">
        <f>IFERROR(IF($H95=Lists!$S$6,IF(AND(FORMULACIÓN!M95&gt;L95,L95&gt;0),1,0),IF((L95/FORMULACIÓN!M95)&lt;&gt;0,L95/FORMULACIÓN!M95,0)),"")</f>
        <v>0</v>
      </c>
      <c r="AQ95" s="117">
        <f>IFERROR(IF($H95=Lists!$S$6,IF(AND(FORMULACIÓN!N95&gt;M95,M95&gt;0),1,0),IF((M95/FORMULACIÓN!N95)&lt;&gt;0,M95/FORMULACIÓN!N95,0)),"")</f>
        <v>0</v>
      </c>
      <c r="AR95" s="117">
        <f>IFERROR(IF($H95=Lists!$S$6,IF(AND(FORMULACIÓN!O95&gt;N95,N95&gt;0),1,0),IF((N95/FORMULACIÓN!O95)&lt;&gt;0,N95/FORMULACIÓN!O95,0)),"")</f>
        <v>0</v>
      </c>
      <c r="AS95" s="110"/>
      <c r="AT95" s="118" t="str">
        <f ca="1">IF($H95=Lists!$S$6,TEXT(COUNTIF('SEGUIMIENTO Y EVALUACIÓN'!K95:N95,"&lt;"&amp;FORMULACIÓN!Q95),"##.###")&amp;" / "&amp;TEXT(COUNTIF('SEGUIMIENTO Y EVALUACIÓN'!K95:N95,"&gt;"&amp;0),"##.###"),IF($G95=Lists!$R$3,TEXT('SEGUIMIENTO Y EVALUACIÓN'!O95,"00,00%")&amp;" / "&amp;TEXT(FORMULACIÓN!P95,"00,00%"),IF('SEGUIMIENTO Y EVALUACIÓN'!O95=0,0,TEXT('SEGUIMIENTO Y EVALUACIÓN'!O95,"##.###")&amp;" / "&amp;TEXT(FORMULACIÓN!P95,"##.###"))))</f>
        <v>3 / 10</v>
      </c>
      <c r="AU95" s="57">
        <f ca="1">IFERROR(IF((P95/FORMULACIÓN!Q95)&lt;&gt;0,IF($H95=Lists!$S$6,COUNTIF('SEGUIMIENTO Y EVALUACIÓN'!K95:N95,"&lt;"&amp;FORMULACIÓN!Q95),'SEGUIMIENTO Y EVALUACIÓN'!P95)/IF($H95=Lists!$S$6,COUNTIF('SEGUIMIENTO Y EVALUACIÓN'!K95:N95,"&gt;"&amp;0),FORMULACIÓN!P95),0),0)</f>
        <v>0.3</v>
      </c>
      <c r="AV95" s="93">
        <f t="shared" ca="1" si="15"/>
        <v>1.2E-2</v>
      </c>
      <c r="AW95" s="93" cm="1">
        <f t="array" ref="AW95">IF(INDEX(AO95:AU95,1,$AV$3)&gt;1,IF($AU$2=1,1,INDEX(AO95:AU95,1,$AV$3)),INDEX(AO95:AU95,1,$AV$3))</f>
        <v>1</v>
      </c>
      <c r="AX95"/>
      <c r="AY95" s="119" t="str">
        <f>IFERROR(IF((W95/FORMULACIÓN!X95)&lt;&gt;0,W95/FORMULACIÓN!X95,0),"")</f>
        <v/>
      </c>
      <c r="AZ95" s="119" t="str">
        <f>IFERROR(IF((AA95/FORMULACIÓN!AB95)&lt;&gt;0,AA95/FORMULACIÓN!AB95,0),"")</f>
        <v/>
      </c>
      <c r="BA95" s="119" t="str">
        <f>IFERROR(IF((AE95/FORMULACIÓN!AF95)&lt;&gt;0,(AE95/FORMULACIÓN!AF95),0),"")</f>
        <v/>
      </c>
      <c r="BB95" s="119" t="str">
        <f>IFERROR(IF((AI95/FORMULACIÓN!AJ95)&lt;&gt;0,AI95/FORMULACIÓN!AJ95,0),"")</f>
        <v/>
      </c>
      <c r="BC95" s="120" t="str">
        <f>IF('SEGUIMIENTO Y EVALUACIÓN'!AI95=0,0,TEXT('SEGUIMIENTO Y EVALUACIÓN'!AI95,"$ ##.###")&amp;" / "&amp;TEXT(FORMULACIÓN!AK95,"$ ##.###"))</f>
        <v xml:space="preserve"> / $ 1.174.862.617</v>
      </c>
      <c r="BD95" s="57">
        <f>IFERROR(IF((AJ95/FORMULACIÓN!AK95)&lt;&gt;0,AJ95/FORMULACIÓN!AK95,0),0)</f>
        <v>0</v>
      </c>
      <c r="CL95" s="7"/>
    </row>
    <row r="96" spans="1:90" s="1" customFormat="1" ht="99.95" customHeight="1">
      <c r="A96" s="45">
        <f>IF(FORMULACIÓN!A96="","",FORMULACIÓN!A96)</f>
        <v>85</v>
      </c>
      <c r="B96" s="45" t="str">
        <f>IF(FORMULACIÓN!B96="","",FORMULACIÓN!B96)</f>
        <v>L2 - Investigación y Redes de conocimiento para el desarrollo de la sociedad</v>
      </c>
      <c r="C96" s="45" t="str">
        <f>IF(FORMULACIÓN!E96="","",FORMULACIÓN!E96)</f>
        <v>M3 - Innovación y desarrollo tecnológico.</v>
      </c>
      <c r="D96" s="45" t="str">
        <f>IF(FORMULACIÓN!F96="","",FORMULACIÓN!F96)</f>
        <v>Operacionalizar el Parque Tecnológico del Caribe PTC e integrar el ecosistema de ciencia, tecnología e innovación del Caribe, vinculando el PTC y el Centro de Investigaciones Científicas y Tecnológicas de la Universidad del Atlántico CICIT, así como otros laboratorios de investigación para impactar a las empresas de base tecnológica a través de servicios de investigación alcanzando 5 proyectos que involucren propiedad industrial, 10 contratos con empresas de base tecnológica, 10 proyectos con financiación internacional</v>
      </c>
      <c r="E96" s="45" t="str">
        <f>IF(FORMULACIÓN!G96="","",FORMULACIÓN!G96)</f>
        <v xml:space="preserve">Proyectos I+D+i en ejecución con participación de pares internacionales y/o financiación con recursos internacionales </v>
      </c>
      <c r="F96" s="45" t="str">
        <f>IF(FORMULACIÓN!H96="","",FORMULACIÓN!H96)</f>
        <v xml:space="preserve">N° Proyectos I+D+i en ejecución con participación de pares internacionales y/o financiación con recursos internacionales </v>
      </c>
      <c r="G96" s="45" t="str">
        <f>IF(FORMULACIÓN!I96="","",FORMULACIÓN!I96)</f>
        <v>Unidad</v>
      </c>
      <c r="H96" s="45" t="str">
        <f>IF(FORMULACIÓN!J96="","",FORMULACIÓN!J96)</f>
        <v>Nuevo gestionado durante la vigencia</v>
      </c>
      <c r="I96" s="188" t="str">
        <f ca="1">IF($G96=Lists!$R$3,"PDI: "&amp;TEXT(FORMULACIÓN!Q96,"00,00%")&amp;CHAR(10)&amp;CHAR(10)&amp;"T1: "&amp;TEXT(FORMULACIÓN!L96,"00,00%")&amp;CHAR(10)&amp;"T2: "&amp;TEXT(FORMULACIÓN!M96,"00,00%")&amp;CHAR(10)&amp;"T3: "&amp;TEXT(FORMULACIÓN!N96,"00,00%")&amp;CHAR(10)&amp;"Tn: "&amp;TEXT(FORMULACIÓN!O96,"00,00%"),IF(FORMULACIÓN!Q96=0,0,"PDI: "&amp;TEXT(FORMULACIÓN!Q96,"##.###")&amp;CHAR(10)&amp;CHAR(10)&amp;"T1: "&amp;TEXT(FORMULACIÓN!L96,"##.###")&amp;CHAR(10)&amp;"T2: "&amp;TEXT(FORMULACIÓN!M96,"##.###")&amp;CHAR(10)&amp;"T3: "&amp;TEXT(FORMULACIÓN!N96,"##.###")&amp;CHAR(10)&amp;"Tn: "&amp;TEXT(FORMULACIÓN!O96,"##.###")))</f>
        <v>PDI: 10
T1: 3
T2: 3
T3: 3
Tn: 1</v>
      </c>
      <c r="J96" s="122">
        <f>IF(FORMULACIÓN!K96&lt;&gt;"",FORMULACIÓN!K96,"")</f>
        <v>4</v>
      </c>
      <c r="K96" s="310">
        <v>8</v>
      </c>
      <c r="L96" s="58"/>
      <c r="M96" s="58"/>
      <c r="N96" s="58"/>
      <c r="O96" s="47">
        <f ca="1">IFERROR(IF($H96=Lists!$S$2,SUM('SEGUIMIENTO Y EVALUACIÓN'!J96:N96),IF('SEGUIMIENTO Y EVALUACIÓN'!$H96=Lists!$S$3,SUM('SEGUIMIENTO Y EVALUACIÓN'!K96:N96),IF('SEGUIMIENTO Y EVALUACIÓN'!$H96=Lists!$S$4,AVERAGE('SEGUIMIENTO Y EVALUACIÓN'!K96:N96),IF('SEGUIMIENTO Y EVALUACIÓN'!$H96=Lists!$S$5,OFFSET(J96,0,COUNTA(K96:N96)),IF($H96=Lists!$S$6,COUNTIF(K96:N96,"&lt;"&amp;FORMULACIÓN!Q96)/COUNT('SEGUIMIENTO Y EVALUACIÓN'!K96:N96),""))))),"")</f>
        <v>8</v>
      </c>
      <c r="P96" s="51" t="str">
        <f ca="1">IF($G96=Lists!$R$3,TEXT('SEGUIMIENTO Y EVALUACIÓN'!O96,"00,00%"),IF('SEGUIMIENTO Y EVALUACIÓN'!O96=0,0,TEXT('SEGUIMIENTO Y EVALUACIÓN'!O96,"##.###")))</f>
        <v>8</v>
      </c>
      <c r="Q96" s="209" t="str">
        <f>IF(FORMULACIÓN!R96&lt;&gt;"",FORMULACIÓN!R96,"")</f>
        <v>P2 - Consolidación del Centro de Investigaciones Científicas y Tecnológicas de la Universidad del Atlántico</v>
      </c>
      <c r="R96" s="209">
        <f>IF(FORMULACIÓN!S96&lt;&gt;"",FORMULACIÓN!S96,"")</f>
        <v>0.04</v>
      </c>
      <c r="S96" s="209" t="str">
        <f>IF(FORMULACIÓN!T96&lt;&gt;"",FORMULACIÓN!T96,"")</f>
        <v>Vicerrector de Investigación, Extensión y Proyección Social</v>
      </c>
      <c r="T96" s="42"/>
      <c r="U96" s="42"/>
      <c r="V96" s="42"/>
      <c r="W96" s="43" t="str">
        <f t="shared" si="9"/>
        <v/>
      </c>
      <c r="X96" s="42"/>
      <c r="Y96" s="42"/>
      <c r="Z96" s="42"/>
      <c r="AA96" s="43" t="str">
        <f t="shared" si="10"/>
        <v/>
      </c>
      <c r="AB96" s="42"/>
      <c r="AC96" s="42"/>
      <c r="AD96" s="42"/>
      <c r="AE96" s="43" t="str">
        <f t="shared" si="11"/>
        <v/>
      </c>
      <c r="AF96" s="42"/>
      <c r="AG96" s="42"/>
      <c r="AH96" s="42"/>
      <c r="AI96" s="46" t="str">
        <f t="shared" si="12"/>
        <v/>
      </c>
      <c r="AJ96" s="46" t="str">
        <f>IF(SUM(AA96,AE96,W96,AI96)=0,"",SUM((AA96,AE96,W96,AI96)))</f>
        <v/>
      </c>
      <c r="AK96"/>
      <c r="AL96" s="1" t="str">
        <f t="shared" si="13"/>
        <v>L2M3P2</v>
      </c>
      <c r="AM96" s="56" t="str">
        <f t="shared" si="14"/>
        <v xml:space="preserve">Proyectos I+D+i en ejecución con participación de pares internacionales y/o financiación con recursos internacionales </v>
      </c>
      <c r="AN96" s="112" t="str">
        <f ca="1">IF($G96=Lists!$R$3,"T1: "&amp;TEXT(FORMULACIÓN!L96,"00,00%")&amp;CHAR(10)&amp;"T2: "&amp;TEXT(FORMULACIÓN!M96,"00,00%")&amp;CHAR(10)&amp;"T3: "&amp;TEXT(FORMULACIÓN!N96,"00,00%")&amp;CHAR(10)&amp;"Tn: "&amp;TEXT(FORMULACIÓN!O96,"00,00%"),IF(FORMULACIÓN!Q96=0,0,"T1: "&amp;TEXT(FORMULACIÓN!L96,"##.###")&amp;CHAR(10)&amp;"T2: "&amp;TEXT(FORMULACIÓN!M96,"##.###")&amp;CHAR(10)&amp;"T3: "&amp;TEXT(FORMULACIÓN!N96,"##.###")&amp;CHAR(10)&amp;"Tn: "&amp;TEXT(FORMULACIÓN!O96,"##.###")))</f>
        <v>T1: 3
T2: 3
T3: 3
Tn: 1</v>
      </c>
      <c r="AO96" s="117">
        <f>IFERROR(IF($H96=Lists!$S$6,IF(AND(FORMULACIÓN!L96&gt;K96,K96&gt;0),1,0),IF((K96/FORMULACIÓN!L96)&lt;&gt;0,K96/FORMULACIÓN!L96,0)),"")</f>
        <v>2.6666666666666665</v>
      </c>
      <c r="AP96" s="117">
        <f>IFERROR(IF($H96=Lists!$S$6,IF(AND(FORMULACIÓN!M96&gt;L96,L96&gt;0),1,0),IF((L96/FORMULACIÓN!M96)&lt;&gt;0,L96/FORMULACIÓN!M96,0)),"")</f>
        <v>0</v>
      </c>
      <c r="AQ96" s="117">
        <f>IFERROR(IF($H96=Lists!$S$6,IF(AND(FORMULACIÓN!N96&gt;M96,M96&gt;0),1,0),IF((M96/FORMULACIÓN!N96)&lt;&gt;0,M96/FORMULACIÓN!N96,0)),"")</f>
        <v>0</v>
      </c>
      <c r="AR96" s="117">
        <f>IFERROR(IF($H96=Lists!$S$6,IF(AND(FORMULACIÓN!O96&gt;N96,N96&gt;0),1,0),IF((N96/FORMULACIÓN!O96)&lt;&gt;0,N96/FORMULACIÓN!O96,0)),"")</f>
        <v>0</v>
      </c>
      <c r="AS96" s="110"/>
      <c r="AT96" s="118" t="str">
        <f ca="1">IF($H96=Lists!$S$6,TEXT(COUNTIF('SEGUIMIENTO Y EVALUACIÓN'!K96:N96,"&lt;"&amp;FORMULACIÓN!Q96),"##.###")&amp;" / "&amp;TEXT(COUNTIF('SEGUIMIENTO Y EVALUACIÓN'!K96:N96,"&gt;"&amp;0),"##.###"),IF($G96=Lists!$R$3,TEXT('SEGUIMIENTO Y EVALUACIÓN'!O96,"00,00%")&amp;" / "&amp;TEXT(FORMULACIÓN!P96,"00,00%"),IF('SEGUIMIENTO Y EVALUACIÓN'!O96=0,0,TEXT('SEGUIMIENTO Y EVALUACIÓN'!O96,"##.###")&amp;" / "&amp;TEXT(FORMULACIÓN!P96,"##.###"))))</f>
        <v>8 / 10</v>
      </c>
      <c r="AU96" s="57">
        <f ca="1">IFERROR(IF((P96/FORMULACIÓN!Q96)&lt;&gt;0,IF($H96=Lists!$S$6,COUNTIF('SEGUIMIENTO Y EVALUACIÓN'!K96:N96,"&lt;"&amp;FORMULACIÓN!Q96),'SEGUIMIENTO Y EVALUACIÓN'!P96)/IF($H96=Lists!$S$6,COUNTIF('SEGUIMIENTO Y EVALUACIÓN'!K96:N96,"&gt;"&amp;0),FORMULACIÓN!P96),0),0)</f>
        <v>0.8</v>
      </c>
      <c r="AV96" s="93">
        <f t="shared" ca="1" si="15"/>
        <v>3.2000000000000001E-2</v>
      </c>
      <c r="AW96" s="93" cm="1">
        <f t="array" ref="AW96">IF(INDEX(AO96:AU96,1,$AV$3)&gt;1,IF($AU$2=1,1,INDEX(AO96:AU96,1,$AV$3)),INDEX(AO96:AU96,1,$AV$3))</f>
        <v>1</v>
      </c>
      <c r="AX96"/>
      <c r="AY96" s="119" t="str">
        <f>IFERROR(IF((W96/FORMULACIÓN!X96)&lt;&gt;0,W96/FORMULACIÓN!X96,0),"")</f>
        <v/>
      </c>
      <c r="AZ96" s="119" t="str">
        <f>IFERROR(IF((AA96/FORMULACIÓN!AB96)&lt;&gt;0,AA96/FORMULACIÓN!AB96,0),"")</f>
        <v/>
      </c>
      <c r="BA96" s="119" t="str">
        <f>IFERROR(IF((AE96/FORMULACIÓN!AF96)&lt;&gt;0,(AE96/FORMULACIÓN!AF96),0),"")</f>
        <v/>
      </c>
      <c r="BB96" s="119" t="str">
        <f>IFERROR(IF((AI96/FORMULACIÓN!AJ96)&lt;&gt;0,AI96/FORMULACIÓN!AJ96,0),"")</f>
        <v/>
      </c>
      <c r="BC96" s="120" t="str">
        <f>IF('SEGUIMIENTO Y EVALUACIÓN'!AI96=0,0,TEXT('SEGUIMIENTO Y EVALUACIÓN'!AI96,"$ ##.###")&amp;" / "&amp;TEXT(FORMULACIÓN!AK96,"$ ##.###"))</f>
        <v xml:space="preserve"> / $ 1.036.262.506</v>
      </c>
      <c r="BD96" s="57">
        <f>IFERROR(IF((AJ96/FORMULACIÓN!AK96)&lt;&gt;0,AJ96/FORMULACIÓN!AK96,0),0)</f>
        <v>0</v>
      </c>
      <c r="CL96" s="7"/>
    </row>
    <row r="97" spans="1:90" s="1" customFormat="1" ht="99.95" customHeight="1">
      <c r="A97" s="45">
        <f>IF(FORMULACIÓN!A97="","",FORMULACIÓN!A97)</f>
        <v>86</v>
      </c>
      <c r="B97" s="45" t="str">
        <f>IF(FORMULACIÓN!B97="","",FORMULACIÓN!B97)</f>
        <v>L2 - Investigación y Redes de conocimiento para el desarrollo de la sociedad</v>
      </c>
      <c r="C97" s="45" t="str">
        <f>IF(FORMULACIÓN!E97="","",FORMULACIÓN!E97)</f>
        <v>M3 - Innovación y desarrollo tecnológico.</v>
      </c>
      <c r="D97" s="45" t="str">
        <f>IF(FORMULACIÓN!F97="","",FORMULACIÓN!F97)</f>
        <v xml:space="preserve">Certificación de 15 laboratorios para prestación de servicios de investigación </v>
      </c>
      <c r="E97" s="45" t="str">
        <f>IF(FORMULACIÓN!G97="","",FORMULACIÓN!G97)</f>
        <v>Laboratorios con certificación para la prestación de servicios de investigación</v>
      </c>
      <c r="F97" s="45" t="str">
        <f>IF(FORMULACIÓN!H97="","",FORMULACIÓN!H97)</f>
        <v>Número de laboratorios con certificación para la prestación de servicios de investigación</v>
      </c>
      <c r="G97" s="45" t="str">
        <f>IF(FORMULACIÓN!I97="","",FORMULACIÓN!I97)</f>
        <v>Unidad</v>
      </c>
      <c r="H97" s="45" t="str">
        <f>IF(FORMULACIÓN!J97="","",FORMULACIÓN!J97)</f>
        <v>Nuevo gestionado durante la vigencia</v>
      </c>
      <c r="I97" s="188" t="str">
        <f ca="1">IF($G97=Lists!$R$3,"PDI: "&amp;TEXT(FORMULACIÓN!Q97,"00,00%")&amp;CHAR(10)&amp;CHAR(10)&amp;"T1: "&amp;TEXT(FORMULACIÓN!L97,"00,00%")&amp;CHAR(10)&amp;"T2: "&amp;TEXT(FORMULACIÓN!M97,"00,00%")&amp;CHAR(10)&amp;"T3: "&amp;TEXT(FORMULACIÓN!N97,"00,00%")&amp;CHAR(10)&amp;"Tn: "&amp;TEXT(FORMULACIÓN!O97,"00,00%"),IF(FORMULACIÓN!Q97=0,0,"PDI: "&amp;TEXT(FORMULACIÓN!Q97,"##.###")&amp;CHAR(10)&amp;CHAR(10)&amp;"T1: "&amp;TEXT(FORMULACIÓN!L97,"##.###")&amp;CHAR(10)&amp;"T2: "&amp;TEXT(FORMULACIÓN!M97,"##.###")&amp;CHAR(10)&amp;"T3: "&amp;TEXT(FORMULACIÓN!N97,"##.###")&amp;CHAR(10)&amp;"Tn: "&amp;TEXT(FORMULACIÓN!O97,"##.###")))</f>
        <v xml:space="preserve">PDI: 15
T1: 7
T2: 4
T3: 4
Tn: </v>
      </c>
      <c r="J97" s="122">
        <f>IF(FORMULACIÓN!K97&lt;&gt;"",FORMULACIÓN!K97,"")</f>
        <v>0</v>
      </c>
      <c r="K97" s="310">
        <v>0</v>
      </c>
      <c r="L97" s="58"/>
      <c r="M97" s="58"/>
      <c r="N97" s="58"/>
      <c r="O97" s="47">
        <f ca="1">IFERROR(IF($H97=Lists!$S$2,SUM('SEGUIMIENTO Y EVALUACIÓN'!J97:N97),IF('SEGUIMIENTO Y EVALUACIÓN'!$H97=Lists!$S$3,SUM('SEGUIMIENTO Y EVALUACIÓN'!K97:N97),IF('SEGUIMIENTO Y EVALUACIÓN'!$H97=Lists!$S$4,AVERAGE('SEGUIMIENTO Y EVALUACIÓN'!K97:N97),IF('SEGUIMIENTO Y EVALUACIÓN'!$H97=Lists!$S$5,OFFSET(J97,0,COUNTA(K97:N97)),IF($H97=Lists!$S$6,COUNTIF(K97:N97,"&lt;"&amp;FORMULACIÓN!Q97)/COUNT('SEGUIMIENTO Y EVALUACIÓN'!K97:N97),""))))),"")</f>
        <v>0</v>
      </c>
      <c r="P97" s="51">
        <f ca="1">IF($G97=Lists!$R$3,TEXT('SEGUIMIENTO Y EVALUACIÓN'!O97,"00,00%"),IF('SEGUIMIENTO Y EVALUACIÓN'!O97=0,0,TEXT('SEGUIMIENTO Y EVALUACIÓN'!O97,"##.###")))</f>
        <v>0</v>
      </c>
      <c r="Q97" s="209" t="str">
        <f>IF(FORMULACIÓN!R97&lt;&gt;"",FORMULACIÓN!R97,"")</f>
        <v>P2 - Consolidación del Centro de Investigaciones Científicas y Tecnológicas de la Universidad del Atlántico</v>
      </c>
      <c r="R97" s="209">
        <f>IF(FORMULACIÓN!S97&lt;&gt;"",FORMULACIÓN!S97,"")</f>
        <v>0.04</v>
      </c>
      <c r="S97" s="209" t="str">
        <f>IF(FORMULACIÓN!T97&lt;&gt;"",FORMULACIÓN!T97,"")</f>
        <v>Vicerrector de Investigación, Extensión y Proyección Social</v>
      </c>
      <c r="T97" s="42"/>
      <c r="U97" s="42"/>
      <c r="V97" s="42"/>
      <c r="W97" s="43" t="str">
        <f t="shared" si="9"/>
        <v/>
      </c>
      <c r="X97" s="42"/>
      <c r="Y97" s="42"/>
      <c r="Z97" s="42"/>
      <c r="AA97" s="43" t="str">
        <f t="shared" si="10"/>
        <v/>
      </c>
      <c r="AB97" s="42"/>
      <c r="AC97" s="42"/>
      <c r="AD97" s="42"/>
      <c r="AE97" s="43" t="str">
        <f t="shared" si="11"/>
        <v/>
      </c>
      <c r="AF97" s="42"/>
      <c r="AG97" s="42"/>
      <c r="AH97" s="42"/>
      <c r="AI97" s="46" t="str">
        <f t="shared" si="12"/>
        <v/>
      </c>
      <c r="AJ97" s="46" t="str">
        <f>IF(SUM(AA97,AE97,W97,AI97)=0,"",SUM((AA97,AE97,W97,AI97)))</f>
        <v/>
      </c>
      <c r="AK97"/>
      <c r="AL97" s="1" t="str">
        <f t="shared" si="13"/>
        <v>L2M3P2</v>
      </c>
      <c r="AM97" s="56" t="str">
        <f t="shared" si="14"/>
        <v>Laboratorios con certificación para la prestación de servicios de investigación</v>
      </c>
      <c r="AN97" s="112" t="str">
        <f ca="1">IF($G97=Lists!$R$3,"T1: "&amp;TEXT(FORMULACIÓN!L97,"00,00%")&amp;CHAR(10)&amp;"T2: "&amp;TEXT(FORMULACIÓN!M97,"00,00%")&amp;CHAR(10)&amp;"T3: "&amp;TEXT(FORMULACIÓN!N97,"00,00%")&amp;CHAR(10)&amp;"Tn: "&amp;TEXT(FORMULACIÓN!O97,"00,00%"),IF(FORMULACIÓN!Q97=0,0,"T1: "&amp;TEXT(FORMULACIÓN!L97,"##.###")&amp;CHAR(10)&amp;"T2: "&amp;TEXT(FORMULACIÓN!M97,"##.###")&amp;CHAR(10)&amp;"T3: "&amp;TEXT(FORMULACIÓN!N97,"##.###")&amp;CHAR(10)&amp;"Tn: "&amp;TEXT(FORMULACIÓN!O97,"##.###")))</f>
        <v xml:space="preserve">T1: 7
T2: 4
T3: 4
Tn: </v>
      </c>
      <c r="AO97" s="117">
        <f>IFERROR(IF($H97=Lists!$S$6,IF(AND(FORMULACIÓN!L97&gt;K97,K97&gt;0),1,0),IF((K97/FORMULACIÓN!L97)&lt;&gt;0,K97/FORMULACIÓN!L97,0)),"")</f>
        <v>0</v>
      </c>
      <c r="AP97" s="117">
        <f>IFERROR(IF($H97=Lists!$S$6,IF(AND(FORMULACIÓN!M97&gt;L97,L97&gt;0),1,0),IF((L97/FORMULACIÓN!M97)&lt;&gt;0,L97/FORMULACIÓN!M97,0)),"")</f>
        <v>0</v>
      </c>
      <c r="AQ97" s="117">
        <f>IFERROR(IF($H97=Lists!$S$6,IF(AND(FORMULACIÓN!N97&gt;M97,M97&gt;0),1,0),IF((M97/FORMULACIÓN!N97)&lt;&gt;0,M97/FORMULACIÓN!N97,0)),"")</f>
        <v>0</v>
      </c>
      <c r="AR97" s="117" t="str">
        <f>IFERROR(IF($H97=Lists!$S$6,IF(AND(FORMULACIÓN!O97&gt;N97,N97&gt;0),1,0),IF((N97/FORMULACIÓN!O97)&lt;&gt;0,N97/FORMULACIÓN!O97,0)),"")</f>
        <v/>
      </c>
      <c r="AS97" s="110"/>
      <c r="AT97" s="118">
        <f ca="1">IF($H97=Lists!$S$6,TEXT(COUNTIF('SEGUIMIENTO Y EVALUACIÓN'!K97:N97,"&lt;"&amp;FORMULACIÓN!Q97),"##.###")&amp;" / "&amp;TEXT(COUNTIF('SEGUIMIENTO Y EVALUACIÓN'!K97:N97,"&gt;"&amp;0),"##.###"),IF($G97=Lists!$R$3,TEXT('SEGUIMIENTO Y EVALUACIÓN'!O97,"00,00%")&amp;" / "&amp;TEXT(FORMULACIÓN!P97,"00,00%"),IF('SEGUIMIENTO Y EVALUACIÓN'!O97=0,0,TEXT('SEGUIMIENTO Y EVALUACIÓN'!O97,"##.###")&amp;" / "&amp;TEXT(FORMULACIÓN!P97,"##.###"))))</f>
        <v>0</v>
      </c>
      <c r="AU97" s="57">
        <f ca="1">IFERROR(IF((P97/FORMULACIÓN!Q97)&lt;&gt;0,IF($H97=Lists!$S$6,COUNTIF('SEGUIMIENTO Y EVALUACIÓN'!K97:N97,"&lt;"&amp;FORMULACIÓN!Q97),'SEGUIMIENTO Y EVALUACIÓN'!P97)/IF($H97=Lists!$S$6,COUNTIF('SEGUIMIENTO Y EVALUACIÓN'!K97:N97,"&gt;"&amp;0),FORMULACIÓN!P97),0),0)</f>
        <v>0</v>
      </c>
      <c r="AV97" s="93">
        <f t="shared" ca="1" si="15"/>
        <v>0</v>
      </c>
      <c r="AW97" s="93" cm="1">
        <f t="array" ref="AW97">IF(INDEX(AO97:AU97,1,$AV$3)&gt;1,IF($AU$2=1,1,INDEX(AO97:AU97,1,$AV$3)),INDEX(AO97:AU97,1,$AV$3))</f>
        <v>0</v>
      </c>
      <c r="AX97"/>
      <c r="AY97" s="119" t="str">
        <f>IFERROR(IF((W97/FORMULACIÓN!X97)&lt;&gt;0,W97/FORMULACIÓN!X97,0),"")</f>
        <v/>
      </c>
      <c r="AZ97" s="119" t="str">
        <f>IFERROR(IF((AA97/FORMULACIÓN!AB97)&lt;&gt;0,AA97/FORMULACIÓN!AB97,0),"")</f>
        <v/>
      </c>
      <c r="BA97" s="119" t="str">
        <f>IFERROR(IF((AE97/FORMULACIÓN!AF97)&lt;&gt;0,(AE97/FORMULACIÓN!AF97),0),"")</f>
        <v/>
      </c>
      <c r="BB97" s="119" t="str">
        <f>IFERROR(IF((AI97/FORMULACIÓN!AJ97)&lt;&gt;0,AI97/FORMULACIÓN!AJ97,0),"")</f>
        <v/>
      </c>
      <c r="BC97" s="120" t="str">
        <f>IF('SEGUIMIENTO Y EVALUACIÓN'!AI97=0,0,TEXT('SEGUIMIENTO Y EVALUACIÓN'!AI97,"$ ##.###")&amp;" / "&amp;TEXT(FORMULACIÓN!AK97,"$ ##.###"))</f>
        <v xml:space="preserve"> / $ 1.554.393.760</v>
      </c>
      <c r="BD97" s="57">
        <f>IFERROR(IF((AJ97/FORMULACIÓN!AK97)&lt;&gt;0,AJ97/FORMULACIÓN!AK97,0),0)</f>
        <v>0</v>
      </c>
      <c r="CL97" s="7"/>
    </row>
    <row r="98" spans="1:90" s="1" customFormat="1" ht="99.95" customHeight="1">
      <c r="A98" s="45">
        <f>IF(FORMULACIÓN!A98="","",FORMULACIÓN!A98)</f>
        <v>87</v>
      </c>
      <c r="B98" s="45" t="str">
        <f>IF(FORMULACIÓN!B98="","",FORMULACIÓN!B98)</f>
        <v>L3 - Impacto regional, Nacional e Internacional desde la Extensión y proyección social</v>
      </c>
      <c r="C98" s="45" t="str">
        <f>IF(FORMULACIÓN!E98="","",FORMULACIÓN!E98)</f>
        <v xml:space="preserve">M1 - Educación continua y formación avanzada con enfoque global. </v>
      </c>
      <c r="D98" s="45" t="str">
        <f>IF(FORMULACIÓN!F98="","",FORMULACIÓN!F98)</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98" s="45" t="str">
        <f>IF(FORMULACIÓN!G98="","",FORMULACIÓN!G98)</f>
        <v xml:space="preserve">Centro de lenguas nativas y extranjeras constituido </v>
      </c>
      <c r="F98" s="45" t="str">
        <f>IF(FORMULACIÓN!H98="","",FORMULACIÓN!H98)</f>
        <v>Centros de lenguas nativas y extranjeras constituido</v>
      </c>
      <c r="G98" s="45" t="str">
        <f>IF(FORMULACIÓN!I98="","",FORMULACIÓN!I98)</f>
        <v>Unidad</v>
      </c>
      <c r="H98" s="45" t="str">
        <f>IF(FORMULACIÓN!J98="","",FORMULACIÓN!J98)</f>
        <v>Nuevo gestionado durante la vigencia</v>
      </c>
      <c r="I98" s="188" t="str">
        <f ca="1">IF($G98=Lists!$R$3,"PDI: "&amp;TEXT(FORMULACIÓN!Q98,"00,00%")&amp;CHAR(10)&amp;CHAR(10)&amp;"T1: "&amp;TEXT(FORMULACIÓN!L98,"00,00%")&amp;CHAR(10)&amp;"T2: "&amp;TEXT(FORMULACIÓN!M98,"00,00%")&amp;CHAR(10)&amp;"T3: "&amp;TEXT(FORMULACIÓN!N98,"00,00%")&amp;CHAR(10)&amp;"Tn: "&amp;TEXT(FORMULACIÓN!O98,"00,00%"),IF(FORMULACIÓN!Q98=0,0,"PDI: "&amp;TEXT(FORMULACIÓN!Q98,"##.###")&amp;CHAR(10)&amp;CHAR(10)&amp;"T1: "&amp;TEXT(FORMULACIÓN!L98,"##.###")&amp;CHAR(10)&amp;"T2: "&amp;TEXT(FORMULACIÓN!M98,"##.###")&amp;CHAR(10)&amp;"T3: "&amp;TEXT(FORMULACIÓN!N98,"##.###")&amp;CHAR(10)&amp;"Tn: "&amp;TEXT(FORMULACIÓN!O98,"##.###")))</f>
        <v xml:space="preserve">PDI: 1
T1: 1
T2: 
T3: 
Tn: </v>
      </c>
      <c r="J98" s="122">
        <f>IF(FORMULACIÓN!K98&lt;&gt;"",FORMULACIÓN!K98,"")</f>
        <v>0</v>
      </c>
      <c r="K98" s="310">
        <v>0</v>
      </c>
      <c r="L98" s="58"/>
      <c r="M98" s="58"/>
      <c r="N98" s="58"/>
      <c r="O98" s="47">
        <f ca="1">IFERROR(IF($H98=Lists!$S$2,SUM('SEGUIMIENTO Y EVALUACIÓN'!J98:N98),IF('SEGUIMIENTO Y EVALUACIÓN'!$H98=Lists!$S$3,SUM('SEGUIMIENTO Y EVALUACIÓN'!K98:N98),IF('SEGUIMIENTO Y EVALUACIÓN'!$H98=Lists!$S$4,AVERAGE('SEGUIMIENTO Y EVALUACIÓN'!K98:N98),IF('SEGUIMIENTO Y EVALUACIÓN'!$H98=Lists!$S$5,OFFSET(J98,0,COUNTA(K98:N98)),IF($H98=Lists!$S$6,COUNTIF(K98:N98,"&lt;"&amp;FORMULACIÓN!Q98)/COUNT('SEGUIMIENTO Y EVALUACIÓN'!K98:N98),""))))),"")</f>
        <v>0</v>
      </c>
      <c r="P98" s="51">
        <f ca="1">IF($G98=Lists!$R$3,TEXT('SEGUIMIENTO Y EVALUACIÓN'!O98,"00,00%"),IF('SEGUIMIENTO Y EVALUACIÓN'!O98=0,0,TEXT('SEGUIMIENTO Y EVALUACIÓN'!O98,"##.###")))</f>
        <v>0</v>
      </c>
      <c r="Q98" s="209" t="str">
        <f>IF(FORMULACIÓN!R98&lt;&gt;"",FORMULACIÓN!R98,"")</f>
        <v xml:space="preserve">P1 - Fortalecimiento de los programas de educación continua con  pertinencia regional, nacional e internacional a través de la modernización de los procesos. </v>
      </c>
      <c r="R98" s="209">
        <f>IF(FORMULACIÓN!S98&lt;&gt;"",FORMULACIÓN!S98,"")</f>
        <v>2.5000000000000001E-2</v>
      </c>
      <c r="S98" s="209" t="str">
        <f>IF(FORMULACIÓN!T98&lt;&gt;"",FORMULACIÓN!T98,"")</f>
        <v>Vicerrector de Investigación, Extensión y Proyección Social</v>
      </c>
      <c r="T98" s="42"/>
      <c r="U98" s="42"/>
      <c r="V98" s="42"/>
      <c r="W98" s="43" t="str">
        <f t="shared" si="9"/>
        <v/>
      </c>
      <c r="X98" s="42"/>
      <c r="Y98" s="42"/>
      <c r="Z98" s="42"/>
      <c r="AA98" s="43" t="str">
        <f t="shared" si="10"/>
        <v/>
      </c>
      <c r="AB98" s="42"/>
      <c r="AC98" s="42"/>
      <c r="AD98" s="42"/>
      <c r="AE98" s="43" t="str">
        <f t="shared" si="11"/>
        <v/>
      </c>
      <c r="AF98" s="42"/>
      <c r="AG98" s="42"/>
      <c r="AH98" s="42"/>
      <c r="AI98" s="46" t="str">
        <f t="shared" si="12"/>
        <v/>
      </c>
      <c r="AJ98" s="46" t="str">
        <f>IF(SUM(AA98,AE98,W98,AI98)=0,"",SUM((AA98,AE98,W98,AI98)))</f>
        <v/>
      </c>
      <c r="AK98"/>
      <c r="AL98" s="1" t="str">
        <f t="shared" si="13"/>
        <v>L3M1P1</v>
      </c>
      <c r="AM98" s="56" t="str">
        <f t="shared" si="14"/>
        <v xml:space="preserve">Centro de lenguas nativas y extranjeras constituido </v>
      </c>
      <c r="AN98" s="112" t="str">
        <f ca="1">IF($G98=Lists!$R$3,"T1: "&amp;TEXT(FORMULACIÓN!L98,"00,00%")&amp;CHAR(10)&amp;"T2: "&amp;TEXT(FORMULACIÓN!M98,"00,00%")&amp;CHAR(10)&amp;"T3: "&amp;TEXT(FORMULACIÓN!N98,"00,00%")&amp;CHAR(10)&amp;"Tn: "&amp;TEXT(FORMULACIÓN!O98,"00,00%"),IF(FORMULACIÓN!Q98=0,0,"T1: "&amp;TEXT(FORMULACIÓN!L98,"##.###")&amp;CHAR(10)&amp;"T2: "&amp;TEXT(FORMULACIÓN!M98,"##.###")&amp;CHAR(10)&amp;"T3: "&amp;TEXT(FORMULACIÓN!N98,"##.###")&amp;CHAR(10)&amp;"Tn: "&amp;TEXT(FORMULACIÓN!O98,"##.###")))</f>
        <v xml:space="preserve">T1: 1
T2: 
T3: 
Tn: </v>
      </c>
      <c r="AO98" s="117">
        <f>IFERROR(IF($H98=Lists!$S$6,IF(AND(FORMULACIÓN!L98&gt;K98,K98&gt;0),1,0),IF((K98/FORMULACIÓN!L98)&lt;&gt;0,K98/FORMULACIÓN!L98,0)),"")</f>
        <v>0</v>
      </c>
      <c r="AP98" s="117" t="str">
        <f>IFERROR(IF($H98=Lists!$S$6,IF(AND(FORMULACIÓN!M98&gt;L98,L98&gt;0),1,0),IF((L98/FORMULACIÓN!M98)&lt;&gt;0,L98/FORMULACIÓN!M98,0)),"")</f>
        <v/>
      </c>
      <c r="AQ98" s="117" t="str">
        <f>IFERROR(IF($H98=Lists!$S$6,IF(AND(FORMULACIÓN!N98&gt;M98,M98&gt;0),1,0),IF((M98/FORMULACIÓN!N98)&lt;&gt;0,M98/FORMULACIÓN!N98,0)),"")</f>
        <v/>
      </c>
      <c r="AR98" s="117" t="str">
        <f>IFERROR(IF($H98=Lists!$S$6,IF(AND(FORMULACIÓN!O98&gt;N98,N98&gt;0),1,0),IF((N98/FORMULACIÓN!O98)&lt;&gt;0,N98/FORMULACIÓN!O98,0)),"")</f>
        <v/>
      </c>
      <c r="AS98" s="110"/>
      <c r="AT98" s="118">
        <f ca="1">IF($H98=Lists!$S$6,TEXT(COUNTIF('SEGUIMIENTO Y EVALUACIÓN'!K98:N98,"&lt;"&amp;FORMULACIÓN!Q98),"##.###")&amp;" / "&amp;TEXT(COUNTIF('SEGUIMIENTO Y EVALUACIÓN'!K98:N98,"&gt;"&amp;0),"##.###"),IF($G98=Lists!$R$3,TEXT('SEGUIMIENTO Y EVALUACIÓN'!O98,"00,00%")&amp;" / "&amp;TEXT(FORMULACIÓN!P98,"00,00%"),IF('SEGUIMIENTO Y EVALUACIÓN'!O98=0,0,TEXT('SEGUIMIENTO Y EVALUACIÓN'!O98,"##.###")&amp;" / "&amp;TEXT(FORMULACIÓN!P98,"##.###"))))</f>
        <v>0</v>
      </c>
      <c r="AU98" s="57">
        <f ca="1">IFERROR(IF((P98/FORMULACIÓN!Q98)&lt;&gt;0,IF($H98=Lists!$S$6,COUNTIF('SEGUIMIENTO Y EVALUACIÓN'!K98:N98,"&lt;"&amp;FORMULACIÓN!Q98),'SEGUIMIENTO Y EVALUACIÓN'!P98)/IF($H98=Lists!$S$6,COUNTIF('SEGUIMIENTO Y EVALUACIÓN'!K98:N98,"&gt;"&amp;0),FORMULACIÓN!P98),0),0)</f>
        <v>0</v>
      </c>
      <c r="AV98" s="93">
        <f t="shared" ca="1" si="15"/>
        <v>0</v>
      </c>
      <c r="AW98" s="93" cm="1">
        <f t="array" ref="AW98">IF(INDEX(AO98:AU98,1,$AV$3)&gt;1,IF($AU$2=1,1,INDEX(AO98:AU98,1,$AV$3)),INDEX(AO98:AU98,1,$AV$3))</f>
        <v>0</v>
      </c>
      <c r="AX98"/>
      <c r="AY98" s="119" t="str">
        <f>IFERROR(IF((W98/FORMULACIÓN!X98)&lt;&gt;0,W98/FORMULACIÓN!X98,0),"")</f>
        <v/>
      </c>
      <c r="AZ98" s="119" t="str">
        <f>IFERROR(IF((AA98/FORMULACIÓN!AB98)&lt;&gt;0,AA98/FORMULACIÓN!AB98,0),"")</f>
        <v/>
      </c>
      <c r="BA98" s="119" t="str">
        <f>IFERROR(IF((AE98/FORMULACIÓN!AF98)&lt;&gt;0,(AE98/FORMULACIÓN!AF98),0),"")</f>
        <v/>
      </c>
      <c r="BB98" s="119" t="str">
        <f>IFERROR(IF((AI98/FORMULACIÓN!AJ98)&lt;&gt;0,AI98/FORMULACIÓN!AJ98,0),"")</f>
        <v/>
      </c>
      <c r="BC98" s="120" t="str">
        <f>IF('SEGUIMIENTO Y EVALUACIÓN'!AI98=0,0,TEXT('SEGUIMIENTO Y EVALUACIÓN'!AI98,"$ ##.###")&amp;" / "&amp;TEXT(FORMULACIÓN!AK98,"$ ##.###"))</f>
        <v xml:space="preserve"> / $ 9.583.376.281</v>
      </c>
      <c r="BD98" s="57">
        <f>IFERROR(IF((AJ98/FORMULACIÓN!AK98)&lt;&gt;0,AJ98/FORMULACIÓN!AK98,0),0)</f>
        <v>0</v>
      </c>
      <c r="CL98" s="7"/>
    </row>
    <row r="99" spans="1:90" s="1" customFormat="1" ht="99.95" customHeight="1">
      <c r="A99" s="45">
        <f>IF(FORMULACIÓN!A99="","",FORMULACIÓN!A99)</f>
        <v>88</v>
      </c>
      <c r="B99" s="45" t="str">
        <f>IF(FORMULACIÓN!B99="","",FORMULACIÓN!B99)</f>
        <v>L3 - Impacto regional, Nacional e Internacional desde la Extensión y proyección social</v>
      </c>
      <c r="C99" s="45" t="str">
        <f>IF(FORMULACIÓN!E99="","",FORMULACIÓN!E99)</f>
        <v xml:space="preserve">M1 - Educación continua y formación avanzada con enfoque global. </v>
      </c>
      <c r="D99" s="45" t="str">
        <f>IF(FORMULACIÓN!F99="","",FORMULACIÓN!F99)</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99" s="45" t="str">
        <f>IF(FORMULACIÓN!G99="","",FORMULACIÓN!G99)</f>
        <v>Ambientes de aprendizaje innovadores implementados para la apropiación de lenguas nativas y extranjeras</v>
      </c>
      <c r="F99" s="45" t="str">
        <f>IF(FORMULACIÓN!H99="","",FORMULACIÓN!H99)</f>
        <v>N° de ambientes de aprendizaje innovadores implementados para la apropiación de lenguas nativas y extranjeras</v>
      </c>
      <c r="G99" s="45" t="str">
        <f>IF(FORMULACIÓN!I99="","",FORMULACIÓN!I99)</f>
        <v>Unidad</v>
      </c>
      <c r="H99" s="45" t="str">
        <f>IF(FORMULACIÓN!J99="","",FORMULACIÓN!J99)</f>
        <v>Nuevo gestionado durante la vigencia</v>
      </c>
      <c r="I99" s="188" t="str">
        <f ca="1">IF($G99=Lists!$R$3,"PDI: "&amp;TEXT(FORMULACIÓN!Q99,"00,00%")&amp;CHAR(10)&amp;CHAR(10)&amp;"T1: "&amp;TEXT(FORMULACIÓN!L99,"00,00%")&amp;CHAR(10)&amp;"T2: "&amp;TEXT(FORMULACIÓN!M99,"00,00%")&amp;CHAR(10)&amp;"T3: "&amp;TEXT(FORMULACIÓN!N99,"00,00%")&amp;CHAR(10)&amp;"Tn: "&amp;TEXT(FORMULACIÓN!O99,"00,00%"),IF(FORMULACIÓN!Q99=0,0,"PDI: "&amp;TEXT(FORMULACIÓN!Q99,"##.###")&amp;CHAR(10)&amp;CHAR(10)&amp;"T1: "&amp;TEXT(FORMULACIÓN!L99,"##.###")&amp;CHAR(10)&amp;"T2: "&amp;TEXT(FORMULACIÓN!M99,"##.###")&amp;CHAR(10)&amp;"T3: "&amp;TEXT(FORMULACIÓN!N99,"##.###")&amp;CHAR(10)&amp;"Tn: "&amp;TEXT(FORMULACIÓN!O99,"##.###")))</f>
        <v xml:space="preserve">PDI: 5
T1: 1
T2: 2
T3: 2
Tn: </v>
      </c>
      <c r="J99" s="122">
        <f>IF(FORMULACIÓN!K99&lt;&gt;"",FORMULACIÓN!K99,"")</f>
        <v>0</v>
      </c>
      <c r="K99" s="310">
        <v>18</v>
      </c>
      <c r="L99" s="58"/>
      <c r="M99" s="58"/>
      <c r="N99" s="58"/>
      <c r="O99" s="47">
        <f ca="1">IFERROR(IF($H99=Lists!$S$2,SUM('SEGUIMIENTO Y EVALUACIÓN'!J99:N99),IF('SEGUIMIENTO Y EVALUACIÓN'!$H99=Lists!$S$3,SUM('SEGUIMIENTO Y EVALUACIÓN'!K99:N99),IF('SEGUIMIENTO Y EVALUACIÓN'!$H99=Lists!$S$4,AVERAGE('SEGUIMIENTO Y EVALUACIÓN'!K99:N99),IF('SEGUIMIENTO Y EVALUACIÓN'!$H99=Lists!$S$5,OFFSET(J99,0,COUNTA(K99:N99)),IF($H99=Lists!$S$6,COUNTIF(K99:N99,"&lt;"&amp;FORMULACIÓN!Q99)/COUNT('SEGUIMIENTO Y EVALUACIÓN'!K99:N99),""))))),"")</f>
        <v>18</v>
      </c>
      <c r="P99" s="51" t="str">
        <f ca="1">IF($G99=Lists!$R$3,TEXT('SEGUIMIENTO Y EVALUACIÓN'!O99,"00,00%"),IF('SEGUIMIENTO Y EVALUACIÓN'!O99=0,0,TEXT('SEGUIMIENTO Y EVALUACIÓN'!O99,"##.###")))</f>
        <v>18</v>
      </c>
      <c r="Q99" s="209" t="str">
        <f>IF(FORMULACIÓN!R99&lt;&gt;"",FORMULACIÓN!R99,"")</f>
        <v xml:space="preserve">P1 - Fortalecimiento de los programas de educación continua con  pertinencia regional, nacional e internacional a través de la modernización de los procesos. </v>
      </c>
      <c r="R99" s="209">
        <f>IF(FORMULACIÓN!S99&lt;&gt;"",FORMULACIÓN!S99,"")</f>
        <v>2.5000000000000001E-2</v>
      </c>
      <c r="S99" s="209" t="str">
        <f>IF(FORMULACIÓN!T99&lt;&gt;"",FORMULACIÓN!T99,"")</f>
        <v>Vicerrector de Investigación, Extensión y Proyección Social</v>
      </c>
      <c r="T99" s="42"/>
      <c r="U99" s="42"/>
      <c r="V99" s="42"/>
      <c r="W99" s="43" t="str">
        <f t="shared" si="9"/>
        <v/>
      </c>
      <c r="X99" s="42"/>
      <c r="Y99" s="42"/>
      <c r="Z99" s="42"/>
      <c r="AA99" s="43" t="str">
        <f t="shared" si="10"/>
        <v/>
      </c>
      <c r="AB99" s="42"/>
      <c r="AC99" s="42"/>
      <c r="AD99" s="42"/>
      <c r="AE99" s="43" t="str">
        <f t="shared" si="11"/>
        <v/>
      </c>
      <c r="AF99" s="42"/>
      <c r="AG99" s="42"/>
      <c r="AH99" s="42"/>
      <c r="AI99" s="46" t="str">
        <f t="shared" si="12"/>
        <v/>
      </c>
      <c r="AJ99" s="46" t="str">
        <f>IF(SUM(AA99,AE99,W99,AI99)=0,"",SUM((AA99,AE99,W99,AI99)))</f>
        <v/>
      </c>
      <c r="AK99"/>
      <c r="AL99" s="1" t="str">
        <f t="shared" si="13"/>
        <v>L3M1P1</v>
      </c>
      <c r="AM99" s="56" t="str">
        <f t="shared" si="14"/>
        <v>Ambientes de aprendizaje innovadores implementados para la apropiación de lenguas nativas y extranjeras</v>
      </c>
      <c r="AN99" s="112" t="str">
        <f ca="1">IF($G99=Lists!$R$3,"T1: "&amp;TEXT(FORMULACIÓN!L99,"00,00%")&amp;CHAR(10)&amp;"T2: "&amp;TEXT(FORMULACIÓN!M99,"00,00%")&amp;CHAR(10)&amp;"T3: "&amp;TEXT(FORMULACIÓN!N99,"00,00%")&amp;CHAR(10)&amp;"Tn: "&amp;TEXT(FORMULACIÓN!O99,"00,00%"),IF(FORMULACIÓN!Q99=0,0,"T1: "&amp;TEXT(FORMULACIÓN!L99,"##.###")&amp;CHAR(10)&amp;"T2: "&amp;TEXT(FORMULACIÓN!M99,"##.###")&amp;CHAR(10)&amp;"T3: "&amp;TEXT(FORMULACIÓN!N99,"##.###")&amp;CHAR(10)&amp;"Tn: "&amp;TEXT(FORMULACIÓN!O99,"##.###")))</f>
        <v xml:space="preserve">T1: 1
T2: 2
T3: 2
Tn: </v>
      </c>
      <c r="AO99" s="117">
        <f>IFERROR(IF($H99=Lists!$S$6,IF(AND(FORMULACIÓN!L99&gt;K99,K99&gt;0),1,0),IF((K99/FORMULACIÓN!L99)&lt;&gt;0,K99/FORMULACIÓN!L99,0)),"")</f>
        <v>18</v>
      </c>
      <c r="AP99" s="117">
        <f>IFERROR(IF($H99=Lists!$S$6,IF(AND(FORMULACIÓN!M99&gt;L99,L99&gt;0),1,0),IF((L99/FORMULACIÓN!M99)&lt;&gt;0,L99/FORMULACIÓN!M99,0)),"")</f>
        <v>0</v>
      </c>
      <c r="AQ99" s="117">
        <f>IFERROR(IF($H99=Lists!$S$6,IF(AND(FORMULACIÓN!N99&gt;M99,M99&gt;0),1,0),IF((M99/FORMULACIÓN!N99)&lt;&gt;0,M99/FORMULACIÓN!N99,0)),"")</f>
        <v>0</v>
      </c>
      <c r="AR99" s="117" t="str">
        <f>IFERROR(IF($H99=Lists!$S$6,IF(AND(FORMULACIÓN!O99&gt;N99,N99&gt;0),1,0),IF((N99/FORMULACIÓN!O99)&lt;&gt;0,N99/FORMULACIÓN!O99,0)),"")</f>
        <v/>
      </c>
      <c r="AS99" s="110"/>
      <c r="AT99" s="118" t="str">
        <f ca="1">IF($H99=Lists!$S$6,TEXT(COUNTIF('SEGUIMIENTO Y EVALUACIÓN'!K99:N99,"&lt;"&amp;FORMULACIÓN!Q99),"##.###")&amp;" / "&amp;TEXT(COUNTIF('SEGUIMIENTO Y EVALUACIÓN'!K99:N99,"&gt;"&amp;0),"##.###"),IF($G99=Lists!$R$3,TEXT('SEGUIMIENTO Y EVALUACIÓN'!O99,"00,00%")&amp;" / "&amp;TEXT(FORMULACIÓN!P99,"00,00%"),IF('SEGUIMIENTO Y EVALUACIÓN'!O99=0,0,TEXT('SEGUIMIENTO Y EVALUACIÓN'!O99,"##.###")&amp;" / "&amp;TEXT(FORMULACIÓN!P99,"##.###"))))</f>
        <v>18 / 5</v>
      </c>
      <c r="AU99" s="57">
        <f ca="1">IFERROR(IF((P99/FORMULACIÓN!Q99)&lt;&gt;0,IF($H99=Lists!$S$6,COUNTIF('SEGUIMIENTO Y EVALUACIÓN'!K99:N99,"&lt;"&amp;FORMULACIÓN!Q99),'SEGUIMIENTO Y EVALUACIÓN'!P99)/IF($H99=Lists!$S$6,COUNTIF('SEGUIMIENTO Y EVALUACIÓN'!K99:N99,"&gt;"&amp;0),FORMULACIÓN!P99),0),0)</f>
        <v>3.6</v>
      </c>
      <c r="AV99" s="93">
        <f t="shared" ca="1" si="15"/>
        <v>2.5000000000000001E-2</v>
      </c>
      <c r="AW99" s="93" cm="1">
        <f t="array" ref="AW99">IF(INDEX(AO99:AU99,1,$AV$3)&gt;1,IF($AU$2=1,1,INDEX(AO99:AU99,1,$AV$3)),INDEX(AO99:AU99,1,$AV$3))</f>
        <v>1</v>
      </c>
      <c r="AX99"/>
      <c r="AY99" s="119" t="str">
        <f>IFERROR(IF((W99/FORMULACIÓN!X99)&lt;&gt;0,W99/FORMULACIÓN!X99,0),"")</f>
        <v/>
      </c>
      <c r="AZ99" s="119" t="str">
        <f>IFERROR(IF((AA99/FORMULACIÓN!AB99)&lt;&gt;0,AA99/FORMULACIÓN!AB99,0),"")</f>
        <v/>
      </c>
      <c r="BA99" s="119" t="str">
        <f>IFERROR(IF((AE99/FORMULACIÓN!AF99)&lt;&gt;0,(AE99/FORMULACIÓN!AF99),0),"")</f>
        <v/>
      </c>
      <c r="BB99" s="119" t="str">
        <f>IFERROR(IF((AI99/FORMULACIÓN!AJ99)&lt;&gt;0,AI99/FORMULACIÓN!AJ99,0),"")</f>
        <v/>
      </c>
      <c r="BC99" s="120" t="str">
        <f>IF('SEGUIMIENTO Y EVALUACIÓN'!AI99=0,0,TEXT('SEGUIMIENTO Y EVALUACIÓN'!AI99,"$ ##.###")&amp;" / "&amp;TEXT(FORMULACIÓN!AK99,"$ ##.###"))</f>
        <v xml:space="preserve"> / $ 4.441.036.986</v>
      </c>
      <c r="BD99" s="57">
        <f>IFERROR(IF((AJ99/FORMULACIÓN!AK99)&lt;&gt;0,AJ99/FORMULACIÓN!AK99,0),0)</f>
        <v>0</v>
      </c>
      <c r="CL99" s="7"/>
    </row>
    <row r="100" spans="1:90" s="1" customFormat="1" ht="99.95" customHeight="1">
      <c r="A100" s="45">
        <f>IF(FORMULACIÓN!A100="","",FORMULACIÓN!A100)</f>
        <v>89</v>
      </c>
      <c r="B100" s="45" t="str">
        <f>IF(FORMULACIÓN!B100="","",FORMULACIÓN!B100)</f>
        <v>L3 - Impacto regional, Nacional e Internacional desde la Extensión y proyección social</v>
      </c>
      <c r="C100" s="45" t="str">
        <f>IF(FORMULACIÓN!E100="","",FORMULACIÓN!E100)</f>
        <v xml:space="preserve">M1 - Educación continua y formación avanzada con enfoque global. </v>
      </c>
      <c r="D100" s="45" t="str">
        <f>IF(FORMULACIÓN!F100="","",FORMULACIÓN!F100)</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100" s="45" t="str">
        <f>IF(FORMULACIÓN!G100="","",FORMULACIÓN!G100)</f>
        <v>Oferta de programas de educación continua en modalidades (presencial, semipresencial, virtual y a distancia)</v>
      </c>
      <c r="F100" s="45" t="str">
        <f>IF(FORMULACIÓN!H100="","",FORMULACIÓN!H100)</f>
        <v>N° de programas de educación continua en modalidad presencial</v>
      </c>
      <c r="G100" s="45" t="str">
        <f>IF(FORMULACIÓN!I100="","",FORMULACIÓN!I100)</f>
        <v>Unidad</v>
      </c>
      <c r="H100" s="45" t="str">
        <f>IF(FORMULACIÓN!J100="","",FORMULACIÓN!J100)</f>
        <v>Nuevo gestionado durante la vigencia</v>
      </c>
      <c r="I100" s="188" t="str">
        <f ca="1">IF($G100=Lists!$R$3,"PDI: "&amp;TEXT(FORMULACIÓN!Q100,"00,00%")&amp;CHAR(10)&amp;CHAR(10)&amp;"T1: "&amp;TEXT(FORMULACIÓN!L100,"00,00%")&amp;CHAR(10)&amp;"T2: "&amp;TEXT(FORMULACIÓN!M100,"00,00%")&amp;CHAR(10)&amp;"T3: "&amp;TEXT(FORMULACIÓN!N100,"00,00%")&amp;CHAR(10)&amp;"Tn: "&amp;TEXT(FORMULACIÓN!O100,"00,00%"),IF(FORMULACIÓN!Q100=0,0,"PDI: "&amp;TEXT(FORMULACIÓN!Q100,"##.###")&amp;CHAR(10)&amp;CHAR(10)&amp;"T1: "&amp;TEXT(FORMULACIÓN!L100,"##.###")&amp;CHAR(10)&amp;"T2: "&amp;TEXT(FORMULACIÓN!M100,"##.###")&amp;CHAR(10)&amp;"T3: "&amp;TEXT(FORMULACIÓN!N100,"##.###")&amp;CHAR(10)&amp;"Tn: "&amp;TEXT(FORMULACIÓN!O100,"##.###")))</f>
        <v>PDI: 600
T1: 100
T2: 200
T3: 250
Tn: 50</v>
      </c>
      <c r="J100" s="122">
        <f>IF(FORMULACIÓN!K100&lt;&gt;"",FORMULACIÓN!K100,"")</f>
        <v>10</v>
      </c>
      <c r="K100" s="310">
        <v>1973</v>
      </c>
      <c r="L100" s="58"/>
      <c r="M100" s="58"/>
      <c r="N100" s="58"/>
      <c r="O100" s="47">
        <f ca="1">IFERROR(IF($H100=Lists!$S$2,SUM('SEGUIMIENTO Y EVALUACIÓN'!J100:N100),IF('SEGUIMIENTO Y EVALUACIÓN'!$H100=Lists!$S$3,SUM('SEGUIMIENTO Y EVALUACIÓN'!K100:N100),IF('SEGUIMIENTO Y EVALUACIÓN'!$H100=Lists!$S$4,AVERAGE('SEGUIMIENTO Y EVALUACIÓN'!K100:N100),IF('SEGUIMIENTO Y EVALUACIÓN'!$H100=Lists!$S$5,OFFSET(J100,0,COUNTA(K100:N100)),IF($H100=Lists!$S$6,COUNTIF(K100:N100,"&lt;"&amp;FORMULACIÓN!Q100)/COUNT('SEGUIMIENTO Y EVALUACIÓN'!K100:N100),""))))),"")</f>
        <v>1973</v>
      </c>
      <c r="P100" s="51" t="str">
        <f ca="1">IF($G100=Lists!$R$3,TEXT('SEGUIMIENTO Y EVALUACIÓN'!O100,"00,00%"),IF('SEGUIMIENTO Y EVALUACIÓN'!O100=0,0,TEXT('SEGUIMIENTO Y EVALUACIÓN'!O100,"##.###")))</f>
        <v>1.973</v>
      </c>
      <c r="Q100" s="209" t="str">
        <f>IF(FORMULACIÓN!R100&lt;&gt;"",FORMULACIÓN!R100,"")</f>
        <v xml:space="preserve">P1 - Fortalecimiento de los programas de educación continua con  pertinencia regional, nacional e internacional a través de la modernización de los procesos. </v>
      </c>
      <c r="R100" s="209">
        <f>IF(FORMULACIÓN!S100&lt;&gt;"",FORMULACIÓN!S100,"")</f>
        <v>2.5000000000000001E-2</v>
      </c>
      <c r="S100" s="209" t="str">
        <f>IF(FORMULACIÓN!T100&lt;&gt;"",FORMULACIÓN!T100,"")</f>
        <v>Vicerrector de Investigación, Extensión y Proyección Social</v>
      </c>
      <c r="T100" s="42"/>
      <c r="U100" s="42"/>
      <c r="V100" s="42"/>
      <c r="W100" s="43" t="str">
        <f t="shared" si="9"/>
        <v/>
      </c>
      <c r="X100" s="42"/>
      <c r="Y100" s="42"/>
      <c r="Z100" s="42"/>
      <c r="AA100" s="43" t="str">
        <f t="shared" si="10"/>
        <v/>
      </c>
      <c r="AB100" s="42"/>
      <c r="AC100" s="42"/>
      <c r="AD100" s="42"/>
      <c r="AE100" s="43" t="str">
        <f t="shared" si="11"/>
        <v/>
      </c>
      <c r="AF100" s="42"/>
      <c r="AG100" s="42"/>
      <c r="AH100" s="42"/>
      <c r="AI100" s="46" t="str">
        <f t="shared" si="12"/>
        <v/>
      </c>
      <c r="AJ100" s="46" t="str">
        <f>IF(SUM(AA100,AE100,W100,AI100)=0,"",SUM((AA100,AE100,W100,AI100)))</f>
        <v/>
      </c>
      <c r="AK100"/>
      <c r="AL100" s="1" t="str">
        <f t="shared" si="13"/>
        <v>L3M1P1</v>
      </c>
      <c r="AM100" s="56" t="str">
        <f t="shared" si="14"/>
        <v>Oferta de programas de educación continua en modalidades (presencial, semipresencial, virtual y a distancia)</v>
      </c>
      <c r="AN100" s="112" t="str">
        <f ca="1">IF($G100=Lists!$R$3,"T1: "&amp;TEXT(FORMULACIÓN!L100,"00,00%")&amp;CHAR(10)&amp;"T2: "&amp;TEXT(FORMULACIÓN!M100,"00,00%")&amp;CHAR(10)&amp;"T3: "&amp;TEXT(FORMULACIÓN!N100,"00,00%")&amp;CHAR(10)&amp;"Tn: "&amp;TEXT(FORMULACIÓN!O100,"00,00%"),IF(FORMULACIÓN!Q100=0,0,"T1: "&amp;TEXT(FORMULACIÓN!L100,"##.###")&amp;CHAR(10)&amp;"T2: "&amp;TEXT(FORMULACIÓN!M100,"##.###")&amp;CHAR(10)&amp;"T3: "&amp;TEXT(FORMULACIÓN!N100,"##.###")&amp;CHAR(10)&amp;"Tn: "&amp;TEXT(FORMULACIÓN!O100,"##.###")))</f>
        <v>T1: 100
T2: 200
T3: 250
Tn: 50</v>
      </c>
      <c r="AO100" s="117">
        <f>IFERROR(IF($H100=Lists!$S$6,IF(AND(FORMULACIÓN!L100&gt;K100,K100&gt;0),1,0),IF((K100/FORMULACIÓN!L100)&lt;&gt;0,K100/FORMULACIÓN!L100,0)),"")</f>
        <v>19.73</v>
      </c>
      <c r="AP100" s="117">
        <f>IFERROR(IF($H100=Lists!$S$6,IF(AND(FORMULACIÓN!M100&gt;L100,L100&gt;0),1,0),IF((L100/FORMULACIÓN!M100)&lt;&gt;0,L100/FORMULACIÓN!M100,0)),"")</f>
        <v>0</v>
      </c>
      <c r="AQ100" s="117">
        <f>IFERROR(IF($H100=Lists!$S$6,IF(AND(FORMULACIÓN!N100&gt;M100,M100&gt;0),1,0),IF((M100/FORMULACIÓN!N100)&lt;&gt;0,M100/FORMULACIÓN!N100,0)),"")</f>
        <v>0</v>
      </c>
      <c r="AR100" s="117">
        <f>IFERROR(IF($H100=Lists!$S$6,IF(AND(FORMULACIÓN!O100&gt;N100,N100&gt;0),1,0),IF((N100/FORMULACIÓN!O100)&lt;&gt;0,N100/FORMULACIÓN!O100,0)),"")</f>
        <v>0</v>
      </c>
      <c r="AS100" s="110"/>
      <c r="AT100" s="118" t="str">
        <f ca="1">IF($H100=Lists!$S$6,TEXT(COUNTIF('SEGUIMIENTO Y EVALUACIÓN'!K100:N100,"&lt;"&amp;FORMULACIÓN!Q100),"##.###")&amp;" / "&amp;TEXT(COUNTIF('SEGUIMIENTO Y EVALUACIÓN'!K100:N100,"&gt;"&amp;0),"##.###"),IF($G100=Lists!$R$3,TEXT('SEGUIMIENTO Y EVALUACIÓN'!O100,"00,00%")&amp;" / "&amp;TEXT(FORMULACIÓN!P100,"00,00%"),IF('SEGUIMIENTO Y EVALUACIÓN'!O100=0,0,TEXT('SEGUIMIENTO Y EVALUACIÓN'!O100,"##.###")&amp;" / "&amp;TEXT(FORMULACIÓN!P100,"##.###"))))</f>
        <v>1.973 / 600</v>
      </c>
      <c r="AU100" s="57">
        <f ca="1">IFERROR(IF((P100/FORMULACIÓN!Q100)&lt;&gt;0,IF($H100=Lists!$S$6,COUNTIF('SEGUIMIENTO Y EVALUACIÓN'!K100:N100,"&lt;"&amp;FORMULACIÓN!Q100),'SEGUIMIENTO Y EVALUACIÓN'!P100)/IF($H100=Lists!$S$6,COUNTIF('SEGUIMIENTO Y EVALUACIÓN'!K100:N100,"&gt;"&amp;0),FORMULACIÓN!P100),0),0)</f>
        <v>3.2883333333333336</v>
      </c>
      <c r="AV100" s="93">
        <f t="shared" ca="1" si="15"/>
        <v>2.5000000000000001E-2</v>
      </c>
      <c r="AW100" s="93" cm="1">
        <f t="array" ref="AW100">IF(INDEX(AO100:AU100,1,$AV$3)&gt;1,IF($AU$2=1,1,INDEX(AO100:AU100,1,$AV$3)),INDEX(AO100:AU100,1,$AV$3))</f>
        <v>1</v>
      </c>
      <c r="AX100"/>
      <c r="AY100" s="119" t="str">
        <f>IFERROR(IF((W100/FORMULACIÓN!X100)&lt;&gt;0,W100/FORMULACIÓN!X100,0),"")</f>
        <v/>
      </c>
      <c r="AZ100" s="119" t="str">
        <f>IFERROR(IF((AA100/FORMULACIÓN!AB100)&lt;&gt;0,AA100/FORMULACIÓN!AB100,0),"")</f>
        <v/>
      </c>
      <c r="BA100" s="119" t="str">
        <f>IFERROR(IF((AE100/FORMULACIÓN!AF100)&lt;&gt;0,(AE100/FORMULACIÓN!AF100),0),"")</f>
        <v/>
      </c>
      <c r="BB100" s="119" t="str">
        <f>IFERROR(IF((AI100/FORMULACIÓN!AJ100)&lt;&gt;0,AI100/FORMULACIÓN!AJ100,0),"")</f>
        <v/>
      </c>
      <c r="BC100" s="120" t="str">
        <f>IF('SEGUIMIENTO Y EVALUACIÓN'!AI100=0,0,TEXT('SEGUIMIENTO Y EVALUACIÓN'!AI100,"$ ##.###")&amp;" / "&amp;TEXT(FORMULACIÓN!AK100,"$ ##.###"))</f>
        <v xml:space="preserve"> / $ 6.250.028.010</v>
      </c>
      <c r="BD100" s="57">
        <f>IFERROR(IF((AJ100/FORMULACIÓN!AK100)&lt;&gt;0,AJ100/FORMULACIÓN!AK100,0),0)</f>
        <v>0</v>
      </c>
      <c r="CL100" s="7"/>
    </row>
    <row r="101" spans="1:90" s="1" customFormat="1" ht="99.95" customHeight="1">
      <c r="A101" s="45">
        <f>IF(FORMULACIÓN!A101="","",FORMULACIÓN!A101)</f>
        <v>90</v>
      </c>
      <c r="B101" s="45" t="str">
        <f>IF(FORMULACIÓN!B101="","",FORMULACIÓN!B101)</f>
        <v>L3 - Impacto regional, Nacional e Internacional desde la Extensión y proyección social</v>
      </c>
      <c r="C101" s="45" t="str">
        <f>IF(FORMULACIÓN!E101="","",FORMULACIÓN!E101)</f>
        <v xml:space="preserve">M1 - Educación continua y formación avanzada con enfoque global. </v>
      </c>
      <c r="D101" s="45" t="str">
        <f>IF(FORMULACIÓN!F101="","",FORMULACIÓN!F101)</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101" s="45" t="str">
        <f>IF(FORMULACIÓN!G101="","",FORMULACIÓN!G101)</f>
        <v>Oferta de programas de educación continua en modalidades (presencial, semipresencial, virtual y a distancia)</v>
      </c>
      <c r="F101" s="45" t="str">
        <f>IF(FORMULACIÓN!H101="","",FORMULACIÓN!H101)</f>
        <v>N° de programas de educación continua en modalidad semipresencial</v>
      </c>
      <c r="G101" s="45" t="str">
        <f>IF(FORMULACIÓN!I101="","",FORMULACIÓN!I101)</f>
        <v>Unidad</v>
      </c>
      <c r="H101" s="45" t="str">
        <f>IF(FORMULACIÓN!J101="","",FORMULACIÓN!J101)</f>
        <v>Nuevo gestionado durante la vigencia</v>
      </c>
      <c r="I101" s="188" t="str">
        <f ca="1">IF($G101=Lists!$R$3,"PDI: "&amp;TEXT(FORMULACIÓN!Q101,"00,00%")&amp;CHAR(10)&amp;CHAR(10)&amp;"T1: "&amp;TEXT(FORMULACIÓN!L101,"00,00%")&amp;CHAR(10)&amp;"T2: "&amp;TEXT(FORMULACIÓN!M101,"00,00%")&amp;CHAR(10)&amp;"T3: "&amp;TEXT(FORMULACIÓN!N101,"00,00%")&amp;CHAR(10)&amp;"Tn: "&amp;TEXT(FORMULACIÓN!O101,"00,00%"),IF(FORMULACIÓN!Q101=0,0,"PDI: "&amp;TEXT(FORMULACIÓN!Q101,"##.###")&amp;CHAR(10)&amp;CHAR(10)&amp;"T1: "&amp;TEXT(FORMULACIÓN!L101,"##.###")&amp;CHAR(10)&amp;"T2: "&amp;TEXT(FORMULACIÓN!M101,"##.###")&amp;CHAR(10)&amp;"T3: "&amp;TEXT(FORMULACIÓN!N101,"##.###")&amp;CHAR(10)&amp;"Tn: "&amp;TEXT(FORMULACIÓN!O101,"##.###")))</f>
        <v>PDI: 10
T1: 3
T2: 3
T3: 3
Tn: 1</v>
      </c>
      <c r="J101" s="122">
        <f>IF(FORMULACIÓN!K101&lt;&gt;"",FORMULACIÓN!K101,"")</f>
        <v>0</v>
      </c>
      <c r="K101" s="310">
        <v>21</v>
      </c>
      <c r="L101" s="58"/>
      <c r="M101" s="58"/>
      <c r="N101" s="58"/>
      <c r="O101" s="47">
        <f ca="1">IFERROR(IF($H101=Lists!$S$2,SUM('SEGUIMIENTO Y EVALUACIÓN'!J101:N101),IF('SEGUIMIENTO Y EVALUACIÓN'!$H101=Lists!$S$3,SUM('SEGUIMIENTO Y EVALUACIÓN'!K101:N101),IF('SEGUIMIENTO Y EVALUACIÓN'!$H101=Lists!$S$4,AVERAGE('SEGUIMIENTO Y EVALUACIÓN'!K101:N101),IF('SEGUIMIENTO Y EVALUACIÓN'!$H101=Lists!$S$5,OFFSET(J101,0,COUNTA(K101:N101)),IF($H101=Lists!$S$6,COUNTIF(K101:N101,"&lt;"&amp;FORMULACIÓN!Q101)/COUNT('SEGUIMIENTO Y EVALUACIÓN'!K101:N101),""))))),"")</f>
        <v>21</v>
      </c>
      <c r="P101" s="51" t="str">
        <f ca="1">IF($G101=Lists!$R$3,TEXT('SEGUIMIENTO Y EVALUACIÓN'!O101,"00,00%"),IF('SEGUIMIENTO Y EVALUACIÓN'!O101=0,0,TEXT('SEGUIMIENTO Y EVALUACIÓN'!O101,"##.###")))</f>
        <v>21</v>
      </c>
      <c r="Q101" s="209" t="str">
        <f>IF(FORMULACIÓN!R101&lt;&gt;"",FORMULACIÓN!R101,"")</f>
        <v xml:space="preserve">P1 - Fortalecimiento de los programas de educación continua con  pertinencia regional, nacional e internacional a través de la modernización de los procesos. </v>
      </c>
      <c r="R101" s="209">
        <f>IF(FORMULACIÓN!S101&lt;&gt;"",FORMULACIÓN!S101,"")</f>
        <v>2.5000000000000001E-2</v>
      </c>
      <c r="S101" s="209" t="str">
        <f>IF(FORMULACIÓN!T101&lt;&gt;"",FORMULACIÓN!T101,"")</f>
        <v>Vicerrector de Investigación, Extensión y Proyección Social</v>
      </c>
      <c r="T101" s="42"/>
      <c r="U101" s="42"/>
      <c r="V101" s="42"/>
      <c r="W101" s="43" t="str">
        <f t="shared" si="9"/>
        <v/>
      </c>
      <c r="X101" s="42"/>
      <c r="Y101" s="42"/>
      <c r="Z101" s="42"/>
      <c r="AA101" s="43" t="str">
        <f t="shared" si="10"/>
        <v/>
      </c>
      <c r="AB101" s="42"/>
      <c r="AC101" s="42"/>
      <c r="AD101" s="42"/>
      <c r="AE101" s="43" t="str">
        <f t="shared" si="11"/>
        <v/>
      </c>
      <c r="AF101" s="42"/>
      <c r="AG101" s="42"/>
      <c r="AH101" s="42"/>
      <c r="AI101" s="46" t="str">
        <f t="shared" si="12"/>
        <v/>
      </c>
      <c r="AJ101" s="46" t="str">
        <f>IF(SUM(AA101,AE101,W101,AI101)=0,"",SUM((AA101,AE101,W101,AI101)))</f>
        <v/>
      </c>
      <c r="AK101"/>
      <c r="AL101" s="1" t="str">
        <f t="shared" si="13"/>
        <v>L3M1P1</v>
      </c>
      <c r="AM101" s="56" t="str">
        <f t="shared" si="14"/>
        <v>Oferta de programas de educación continua en modalidades (presencial, semipresencial, virtual y a distancia)</v>
      </c>
      <c r="AN101" s="112" t="str">
        <f ca="1">IF($G101=Lists!$R$3,"T1: "&amp;TEXT(FORMULACIÓN!L101,"00,00%")&amp;CHAR(10)&amp;"T2: "&amp;TEXT(FORMULACIÓN!M101,"00,00%")&amp;CHAR(10)&amp;"T3: "&amp;TEXT(FORMULACIÓN!N101,"00,00%")&amp;CHAR(10)&amp;"Tn: "&amp;TEXT(FORMULACIÓN!O101,"00,00%"),IF(FORMULACIÓN!Q101=0,0,"T1: "&amp;TEXT(FORMULACIÓN!L101,"##.###")&amp;CHAR(10)&amp;"T2: "&amp;TEXT(FORMULACIÓN!M101,"##.###")&amp;CHAR(10)&amp;"T3: "&amp;TEXT(FORMULACIÓN!N101,"##.###")&amp;CHAR(10)&amp;"Tn: "&amp;TEXT(FORMULACIÓN!O101,"##.###")))</f>
        <v>T1: 3
T2: 3
T3: 3
Tn: 1</v>
      </c>
      <c r="AO101" s="117">
        <f>IFERROR(IF($H101=Lists!$S$6,IF(AND(FORMULACIÓN!L101&gt;K101,K101&gt;0),1,0),IF((K101/FORMULACIÓN!L101)&lt;&gt;0,K101/FORMULACIÓN!L101,0)),"")</f>
        <v>7</v>
      </c>
      <c r="AP101" s="117">
        <f>IFERROR(IF($H101=Lists!$S$6,IF(AND(FORMULACIÓN!M101&gt;L101,L101&gt;0),1,0),IF((L101/FORMULACIÓN!M101)&lt;&gt;0,L101/FORMULACIÓN!M101,0)),"")</f>
        <v>0</v>
      </c>
      <c r="AQ101" s="117">
        <f>IFERROR(IF($H101=Lists!$S$6,IF(AND(FORMULACIÓN!N101&gt;M101,M101&gt;0),1,0),IF((M101/FORMULACIÓN!N101)&lt;&gt;0,M101/FORMULACIÓN!N101,0)),"")</f>
        <v>0</v>
      </c>
      <c r="AR101" s="117">
        <f>IFERROR(IF($H101=Lists!$S$6,IF(AND(FORMULACIÓN!O101&gt;N101,N101&gt;0),1,0),IF((N101/FORMULACIÓN!O101)&lt;&gt;0,N101/FORMULACIÓN!O101,0)),"")</f>
        <v>0</v>
      </c>
      <c r="AS101" s="110"/>
      <c r="AT101" s="118" t="str">
        <f ca="1">IF($H101=Lists!$S$6,TEXT(COUNTIF('SEGUIMIENTO Y EVALUACIÓN'!K101:N101,"&lt;"&amp;FORMULACIÓN!Q101),"##.###")&amp;" / "&amp;TEXT(COUNTIF('SEGUIMIENTO Y EVALUACIÓN'!K101:N101,"&gt;"&amp;0),"##.###"),IF($G101=Lists!$R$3,TEXT('SEGUIMIENTO Y EVALUACIÓN'!O101,"00,00%")&amp;" / "&amp;TEXT(FORMULACIÓN!P101,"00,00%"),IF('SEGUIMIENTO Y EVALUACIÓN'!O101=0,0,TEXT('SEGUIMIENTO Y EVALUACIÓN'!O101,"##.###")&amp;" / "&amp;TEXT(FORMULACIÓN!P101,"##.###"))))</f>
        <v>21 / 10</v>
      </c>
      <c r="AU101" s="57">
        <f ca="1">IFERROR(IF((P101/FORMULACIÓN!Q101)&lt;&gt;0,IF($H101=Lists!$S$6,COUNTIF('SEGUIMIENTO Y EVALUACIÓN'!K101:N101,"&lt;"&amp;FORMULACIÓN!Q101),'SEGUIMIENTO Y EVALUACIÓN'!P101)/IF($H101=Lists!$S$6,COUNTIF('SEGUIMIENTO Y EVALUACIÓN'!K101:N101,"&gt;"&amp;0),FORMULACIÓN!P101),0),0)</f>
        <v>2.1</v>
      </c>
      <c r="AV101" s="93">
        <f t="shared" ca="1" si="15"/>
        <v>2.5000000000000001E-2</v>
      </c>
      <c r="AW101" s="93" cm="1">
        <f t="array" ref="AW101">IF(INDEX(AO101:AU101,1,$AV$3)&gt;1,IF($AU$2=1,1,INDEX(AO101:AU101,1,$AV$3)),INDEX(AO101:AU101,1,$AV$3))</f>
        <v>1</v>
      </c>
      <c r="AX101"/>
      <c r="AY101" s="119" t="str">
        <f>IFERROR(IF((W101/FORMULACIÓN!X101)&lt;&gt;0,W101/FORMULACIÓN!X101,0),"")</f>
        <v/>
      </c>
      <c r="AZ101" s="119" t="str">
        <f>IFERROR(IF((AA101/FORMULACIÓN!AB101)&lt;&gt;0,AA101/FORMULACIÓN!AB101,0),"")</f>
        <v/>
      </c>
      <c r="BA101" s="119" t="str">
        <f>IFERROR(IF((AE101/FORMULACIÓN!AF101)&lt;&gt;0,(AE101/FORMULACIÓN!AF101),0),"")</f>
        <v/>
      </c>
      <c r="BB101" s="119" t="str">
        <f>IFERROR(IF((AI101/FORMULACIÓN!AJ101)&lt;&gt;0,AI101/FORMULACIÓN!AJ101,0),"")</f>
        <v/>
      </c>
      <c r="BC101" s="120" t="str">
        <f>IF('SEGUIMIENTO Y EVALUACIÓN'!AI101=0,0,TEXT('SEGUIMIENTO Y EVALUACIÓN'!AI101,"$ ##.###")&amp;" / "&amp;TEXT(FORMULACIÓN!AK101,"$ ##.###"))</f>
        <v xml:space="preserve"> / $ 8.333.370.679</v>
      </c>
      <c r="BD101" s="57">
        <f>IFERROR(IF((AJ101/FORMULACIÓN!AK101)&lt;&gt;0,AJ101/FORMULACIÓN!AK101,0),0)</f>
        <v>0</v>
      </c>
      <c r="CL101" s="7"/>
    </row>
    <row r="102" spans="1:90" s="1" customFormat="1" ht="99.95" customHeight="1">
      <c r="A102" s="45">
        <f>IF(FORMULACIÓN!A102="","",FORMULACIÓN!A102)</f>
        <v>91</v>
      </c>
      <c r="B102" s="45" t="str">
        <f>IF(FORMULACIÓN!B102="","",FORMULACIÓN!B102)</f>
        <v>L3 - Impacto regional, Nacional e Internacional desde la Extensión y proyección social</v>
      </c>
      <c r="C102" s="45" t="str">
        <f>IF(FORMULACIÓN!E102="","",FORMULACIÓN!E102)</f>
        <v xml:space="preserve">M1 - Educación continua y formación avanzada con enfoque global. </v>
      </c>
      <c r="D102" s="45" t="str">
        <f>IF(FORMULACIÓN!F102="","",FORMULACIÓN!F102)</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102" s="45" t="str">
        <f>IF(FORMULACIÓN!G102="","",FORMULACIÓN!G102)</f>
        <v>Oferta de programas de educación continua en modalidades (presencial, semipresencial, virtual y a distancia)</v>
      </c>
      <c r="F102" s="45" t="str">
        <f>IF(FORMULACIÓN!H102="","",FORMULACIÓN!H102)</f>
        <v>N° de programas de educación continua en modalidad virtual y a distancia</v>
      </c>
      <c r="G102" s="45" t="str">
        <f>IF(FORMULACIÓN!I102="","",FORMULACIÓN!I102)</f>
        <v>Unidad</v>
      </c>
      <c r="H102" s="45" t="str">
        <f>IF(FORMULACIÓN!J102="","",FORMULACIÓN!J102)</f>
        <v>Nuevo gestionado durante la vigencia</v>
      </c>
      <c r="I102" s="188" t="str">
        <f ca="1">IF($G102=Lists!$R$3,"PDI: "&amp;TEXT(FORMULACIÓN!Q102,"00,00%")&amp;CHAR(10)&amp;CHAR(10)&amp;"T1: "&amp;TEXT(FORMULACIÓN!L102,"00,00%")&amp;CHAR(10)&amp;"T2: "&amp;TEXT(FORMULACIÓN!M102,"00,00%")&amp;CHAR(10)&amp;"T3: "&amp;TEXT(FORMULACIÓN!N102,"00,00%")&amp;CHAR(10)&amp;"Tn: "&amp;TEXT(FORMULACIÓN!O102,"00,00%"),IF(FORMULACIÓN!Q102=0,0,"PDI: "&amp;TEXT(FORMULACIÓN!Q102,"##.###")&amp;CHAR(10)&amp;CHAR(10)&amp;"T1: "&amp;TEXT(FORMULACIÓN!L102,"##.###")&amp;CHAR(10)&amp;"T2: "&amp;TEXT(FORMULACIÓN!M102,"##.###")&amp;CHAR(10)&amp;"T3: "&amp;TEXT(FORMULACIÓN!N102,"##.###")&amp;CHAR(10)&amp;"Tn: "&amp;TEXT(FORMULACIÓN!O102,"##.###")))</f>
        <v>PDI: 30
T1: 9
T2: 9
T3: 9
Tn: 3</v>
      </c>
      <c r="J102" s="122">
        <f>IF(FORMULACIÓN!K102&lt;&gt;"",FORMULACIÓN!K102,"")</f>
        <v>0</v>
      </c>
      <c r="K102" s="310">
        <v>304</v>
      </c>
      <c r="L102" s="58"/>
      <c r="M102" s="58"/>
      <c r="N102" s="58"/>
      <c r="O102" s="47">
        <f ca="1">IFERROR(IF($H102=Lists!$S$2,SUM('SEGUIMIENTO Y EVALUACIÓN'!J102:N102),IF('SEGUIMIENTO Y EVALUACIÓN'!$H102=Lists!$S$3,SUM('SEGUIMIENTO Y EVALUACIÓN'!K102:N102),IF('SEGUIMIENTO Y EVALUACIÓN'!$H102=Lists!$S$4,AVERAGE('SEGUIMIENTO Y EVALUACIÓN'!K102:N102),IF('SEGUIMIENTO Y EVALUACIÓN'!$H102=Lists!$S$5,OFFSET(J102,0,COUNTA(K102:N102)),IF($H102=Lists!$S$6,COUNTIF(K102:N102,"&lt;"&amp;FORMULACIÓN!Q102)/COUNT('SEGUIMIENTO Y EVALUACIÓN'!K102:N102),""))))),"")</f>
        <v>304</v>
      </c>
      <c r="P102" s="51" t="str">
        <f ca="1">IF($G102=Lists!$R$3,TEXT('SEGUIMIENTO Y EVALUACIÓN'!O102,"00,00%"),IF('SEGUIMIENTO Y EVALUACIÓN'!O102=0,0,TEXT('SEGUIMIENTO Y EVALUACIÓN'!O102,"##.###")))</f>
        <v>304</v>
      </c>
      <c r="Q102" s="209" t="str">
        <f>IF(FORMULACIÓN!R102&lt;&gt;"",FORMULACIÓN!R102,"")</f>
        <v xml:space="preserve">P1 - Fortalecimiento de los programas de educación continua con  pertinencia regional, nacional e internacional a través de la modernización de los procesos. </v>
      </c>
      <c r="R102" s="209">
        <f>IF(FORMULACIÓN!S102&lt;&gt;"",FORMULACIÓN!S102,"")</f>
        <v>2.5000000000000001E-2</v>
      </c>
      <c r="S102" s="209" t="str">
        <f>IF(FORMULACIÓN!T102&lt;&gt;"",FORMULACIÓN!T102,"")</f>
        <v>Vicerrector de Investigación, Extensión y Proyección Social</v>
      </c>
      <c r="T102" s="42"/>
      <c r="U102" s="42"/>
      <c r="V102" s="42"/>
      <c r="W102" s="43" t="str">
        <f t="shared" si="9"/>
        <v/>
      </c>
      <c r="X102" s="42"/>
      <c r="Y102" s="42"/>
      <c r="Z102" s="42"/>
      <c r="AA102" s="43" t="str">
        <f t="shared" si="10"/>
        <v/>
      </c>
      <c r="AB102" s="42"/>
      <c r="AC102" s="42"/>
      <c r="AD102" s="42"/>
      <c r="AE102" s="43" t="str">
        <f t="shared" si="11"/>
        <v/>
      </c>
      <c r="AF102" s="42"/>
      <c r="AG102" s="42"/>
      <c r="AH102" s="42"/>
      <c r="AI102" s="46" t="str">
        <f t="shared" si="12"/>
        <v/>
      </c>
      <c r="AJ102" s="46" t="str">
        <f>IF(SUM(AA102,AE102,W102,AI102)=0,"",SUM((AA102,AE102,W102,AI102)))</f>
        <v/>
      </c>
      <c r="AK102"/>
      <c r="AL102" s="1" t="str">
        <f t="shared" si="13"/>
        <v>L3M1P1</v>
      </c>
      <c r="AM102" s="56" t="str">
        <f t="shared" si="14"/>
        <v>Oferta de programas de educación continua en modalidades (presencial, semipresencial, virtual y a distancia)</v>
      </c>
      <c r="AN102" s="112" t="str">
        <f ca="1">IF($G102=Lists!$R$3,"T1: "&amp;TEXT(FORMULACIÓN!L102,"00,00%")&amp;CHAR(10)&amp;"T2: "&amp;TEXT(FORMULACIÓN!M102,"00,00%")&amp;CHAR(10)&amp;"T3: "&amp;TEXT(FORMULACIÓN!N102,"00,00%")&amp;CHAR(10)&amp;"Tn: "&amp;TEXT(FORMULACIÓN!O102,"00,00%"),IF(FORMULACIÓN!Q102=0,0,"T1: "&amp;TEXT(FORMULACIÓN!L102,"##.###")&amp;CHAR(10)&amp;"T2: "&amp;TEXT(FORMULACIÓN!M102,"##.###")&amp;CHAR(10)&amp;"T3: "&amp;TEXT(FORMULACIÓN!N102,"##.###")&amp;CHAR(10)&amp;"Tn: "&amp;TEXT(FORMULACIÓN!O102,"##.###")))</f>
        <v>T1: 9
T2: 9
T3: 9
Tn: 3</v>
      </c>
      <c r="AO102" s="117">
        <f>IFERROR(IF($H102=Lists!$S$6,IF(AND(FORMULACIÓN!L102&gt;K102,K102&gt;0),1,0),IF((K102/FORMULACIÓN!L102)&lt;&gt;0,K102/FORMULACIÓN!L102,0)),"")</f>
        <v>33.777777777777779</v>
      </c>
      <c r="AP102" s="117">
        <f>IFERROR(IF($H102=Lists!$S$6,IF(AND(FORMULACIÓN!M102&gt;L102,L102&gt;0),1,0),IF((L102/FORMULACIÓN!M102)&lt;&gt;0,L102/FORMULACIÓN!M102,0)),"")</f>
        <v>0</v>
      </c>
      <c r="AQ102" s="117">
        <f>IFERROR(IF($H102=Lists!$S$6,IF(AND(FORMULACIÓN!N102&gt;M102,M102&gt;0),1,0),IF((M102/FORMULACIÓN!N102)&lt;&gt;0,M102/FORMULACIÓN!N102,0)),"")</f>
        <v>0</v>
      </c>
      <c r="AR102" s="117">
        <f>IFERROR(IF($H102=Lists!$S$6,IF(AND(FORMULACIÓN!O102&gt;N102,N102&gt;0),1,0),IF((N102/FORMULACIÓN!O102)&lt;&gt;0,N102/FORMULACIÓN!O102,0)),"")</f>
        <v>0</v>
      </c>
      <c r="AS102" s="110"/>
      <c r="AT102" s="118" t="str">
        <f ca="1">IF($H102=Lists!$S$6,TEXT(COUNTIF('SEGUIMIENTO Y EVALUACIÓN'!K102:N102,"&lt;"&amp;FORMULACIÓN!Q102),"##.###")&amp;" / "&amp;TEXT(COUNTIF('SEGUIMIENTO Y EVALUACIÓN'!K102:N102,"&gt;"&amp;0),"##.###"),IF($G102=Lists!$R$3,TEXT('SEGUIMIENTO Y EVALUACIÓN'!O102,"00,00%")&amp;" / "&amp;TEXT(FORMULACIÓN!P102,"00,00%"),IF('SEGUIMIENTO Y EVALUACIÓN'!O102=0,0,TEXT('SEGUIMIENTO Y EVALUACIÓN'!O102,"##.###")&amp;" / "&amp;TEXT(FORMULACIÓN!P102,"##.###"))))</f>
        <v>304 / 30</v>
      </c>
      <c r="AU102" s="57">
        <f ca="1">IFERROR(IF((P102/FORMULACIÓN!Q102)&lt;&gt;0,IF($H102=Lists!$S$6,COUNTIF('SEGUIMIENTO Y EVALUACIÓN'!K102:N102,"&lt;"&amp;FORMULACIÓN!Q102),'SEGUIMIENTO Y EVALUACIÓN'!P102)/IF($H102=Lists!$S$6,COUNTIF('SEGUIMIENTO Y EVALUACIÓN'!K102:N102,"&gt;"&amp;0),FORMULACIÓN!P102),0),0)</f>
        <v>10.133333333333333</v>
      </c>
      <c r="AV102" s="93">
        <f t="shared" ca="1" si="15"/>
        <v>2.5000000000000001E-2</v>
      </c>
      <c r="AW102" s="93" cm="1">
        <f t="array" ref="AW102">IF(INDEX(AO102:AU102,1,$AV$3)&gt;1,IF($AU$2=1,1,INDEX(AO102:AU102,1,$AV$3)),INDEX(AO102:AU102,1,$AV$3))</f>
        <v>1</v>
      </c>
      <c r="AX102"/>
      <c r="AY102" s="119" t="str">
        <f>IFERROR(IF((W102/FORMULACIÓN!X102)&lt;&gt;0,W102/FORMULACIÓN!X102,0),"")</f>
        <v/>
      </c>
      <c r="AZ102" s="119" t="str">
        <f>IFERROR(IF((AA102/FORMULACIÓN!AB102)&lt;&gt;0,AA102/FORMULACIÓN!AB102,0),"")</f>
        <v/>
      </c>
      <c r="BA102" s="119" t="str">
        <f>IFERROR(IF((AE102/FORMULACIÓN!AF102)&lt;&gt;0,(AE102/FORMULACIÓN!AF102),0),"")</f>
        <v/>
      </c>
      <c r="BB102" s="119" t="str">
        <f>IFERROR(IF((AI102/FORMULACIÓN!AJ102)&lt;&gt;0,AI102/FORMULACIÓN!AJ102,0),"")</f>
        <v/>
      </c>
      <c r="BC102" s="120" t="str">
        <f>IF('SEGUIMIENTO Y EVALUACIÓN'!AI102=0,0,TEXT('SEGUIMIENTO Y EVALUACIÓN'!AI102,"$ ##.###")&amp;" / "&amp;TEXT(FORMULACIÓN!AK102,"$ ##.###"))</f>
        <v xml:space="preserve"> / $ 9.583.376.281</v>
      </c>
      <c r="BD102" s="57">
        <f>IFERROR(IF((AJ102/FORMULACIÓN!AK102)&lt;&gt;0,AJ102/FORMULACIÓN!AK102,0),0)</f>
        <v>0</v>
      </c>
      <c r="CL102" s="7"/>
    </row>
    <row r="103" spans="1:90" s="1" customFormat="1" ht="99.95" customHeight="1">
      <c r="A103" s="45">
        <f>IF(FORMULACIÓN!A103="","",FORMULACIÓN!A103)</f>
        <v>92</v>
      </c>
      <c r="B103" s="45" t="str">
        <f>IF(FORMULACIÓN!B103="","",FORMULACIÓN!B103)</f>
        <v>L3 - Impacto regional, Nacional e Internacional desde la Extensión y proyección social</v>
      </c>
      <c r="C103" s="45" t="str">
        <f>IF(FORMULACIÓN!E103="","",FORMULACIÓN!E103)</f>
        <v xml:space="preserve">M1 - Educación continua y formación avanzada con enfoque global. </v>
      </c>
      <c r="D103" s="45" t="str">
        <f>IF(FORMULACIÓN!F103="","",FORMULACIÓN!F103)</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103" s="45" t="str">
        <f>IF(FORMULACIÓN!G103="","",FORMULACIÓN!G103)</f>
        <v>Oferta de programas de educación continua con componente internacional</v>
      </c>
      <c r="F103" s="45" t="str">
        <f>IF(FORMULACIÓN!H103="","",FORMULACIÓN!H103)</f>
        <v>N° de programas con componente internacional</v>
      </c>
      <c r="G103" s="45" t="str">
        <f>IF(FORMULACIÓN!I103="","",FORMULACIÓN!I103)</f>
        <v>Unidad</v>
      </c>
      <c r="H103" s="45" t="str">
        <f>IF(FORMULACIÓN!J103="","",FORMULACIÓN!J103)</f>
        <v>Nuevo gestionado durante la vigencia</v>
      </c>
      <c r="I103" s="188" t="str">
        <f ca="1">IF($G103=Lists!$R$3,"PDI: "&amp;TEXT(FORMULACIÓN!Q103,"00,00%")&amp;CHAR(10)&amp;CHAR(10)&amp;"T1: "&amp;TEXT(FORMULACIÓN!L103,"00,00%")&amp;CHAR(10)&amp;"T2: "&amp;TEXT(FORMULACIÓN!M103,"00,00%")&amp;CHAR(10)&amp;"T3: "&amp;TEXT(FORMULACIÓN!N103,"00,00%")&amp;CHAR(10)&amp;"Tn: "&amp;TEXT(FORMULACIÓN!O103,"00,00%"),IF(FORMULACIÓN!Q103=0,0,"PDI: "&amp;TEXT(FORMULACIÓN!Q103,"##.###")&amp;CHAR(10)&amp;CHAR(10)&amp;"T1: "&amp;TEXT(FORMULACIÓN!L103,"##.###")&amp;CHAR(10)&amp;"T2: "&amp;TEXT(FORMULACIÓN!M103,"##.###")&amp;CHAR(10)&amp;"T3: "&amp;TEXT(FORMULACIÓN!N103,"##.###")&amp;CHAR(10)&amp;"Tn: "&amp;TEXT(FORMULACIÓN!O103,"##.###")))</f>
        <v>PDI: 10
T1: 3
T2: 3
T3: 3
Tn: 1</v>
      </c>
      <c r="J103" s="122">
        <f>IF(FORMULACIÓN!K103&lt;&gt;"",FORMULACIÓN!K103,"")</f>
        <v>4</v>
      </c>
      <c r="K103" s="310">
        <v>1111</v>
      </c>
      <c r="L103" s="58"/>
      <c r="M103" s="58"/>
      <c r="N103" s="58"/>
      <c r="O103" s="47">
        <f ca="1">IFERROR(IF($H103=Lists!$S$2,SUM('SEGUIMIENTO Y EVALUACIÓN'!J103:N103),IF('SEGUIMIENTO Y EVALUACIÓN'!$H103=Lists!$S$3,SUM('SEGUIMIENTO Y EVALUACIÓN'!K103:N103),IF('SEGUIMIENTO Y EVALUACIÓN'!$H103=Lists!$S$4,AVERAGE('SEGUIMIENTO Y EVALUACIÓN'!K103:N103),IF('SEGUIMIENTO Y EVALUACIÓN'!$H103=Lists!$S$5,OFFSET(J103,0,COUNTA(K103:N103)),IF($H103=Lists!$S$6,COUNTIF(K103:N103,"&lt;"&amp;FORMULACIÓN!Q103)/COUNT('SEGUIMIENTO Y EVALUACIÓN'!K103:N103),""))))),"")</f>
        <v>1111</v>
      </c>
      <c r="P103" s="51" t="str">
        <f ca="1">IF($G103=Lists!$R$3,TEXT('SEGUIMIENTO Y EVALUACIÓN'!O103,"00,00%"),IF('SEGUIMIENTO Y EVALUACIÓN'!O103=0,0,TEXT('SEGUIMIENTO Y EVALUACIÓN'!O103,"##.###")))</f>
        <v>1.111</v>
      </c>
      <c r="Q103" s="209" t="str">
        <f>IF(FORMULACIÓN!R103&lt;&gt;"",FORMULACIÓN!R103,"")</f>
        <v xml:space="preserve">P1 - Fortalecimiento de los programas de educación continua con  pertinencia regional, nacional e internacional a través de la modernización de los procesos. </v>
      </c>
      <c r="R103" s="209">
        <f>IF(FORMULACIÓN!S103&lt;&gt;"",FORMULACIÓN!S103,"")</f>
        <v>2.5000000000000001E-2</v>
      </c>
      <c r="S103" s="209" t="str">
        <f>IF(FORMULACIÓN!T103&lt;&gt;"",FORMULACIÓN!T103,"")</f>
        <v>Vicerrector de Investigación, Extensión y Proyección Social</v>
      </c>
      <c r="T103" s="42"/>
      <c r="U103" s="42"/>
      <c r="V103" s="42"/>
      <c r="W103" s="43" t="str">
        <f t="shared" si="9"/>
        <v/>
      </c>
      <c r="X103" s="42"/>
      <c r="Y103" s="42"/>
      <c r="Z103" s="42"/>
      <c r="AA103" s="43" t="str">
        <f t="shared" si="10"/>
        <v/>
      </c>
      <c r="AB103" s="42"/>
      <c r="AC103" s="42"/>
      <c r="AD103" s="42"/>
      <c r="AE103" s="43" t="str">
        <f t="shared" si="11"/>
        <v/>
      </c>
      <c r="AF103" s="42"/>
      <c r="AG103" s="42"/>
      <c r="AH103" s="42"/>
      <c r="AI103" s="46" t="str">
        <f t="shared" si="12"/>
        <v/>
      </c>
      <c r="AJ103" s="46" t="str">
        <f>IF(SUM(AA103,AE103,W103,AI103)=0,"",SUM((AA103,AE103,W103,AI103)))</f>
        <v/>
      </c>
      <c r="AK103"/>
      <c r="AL103" s="1" t="str">
        <f t="shared" si="13"/>
        <v>L3M1P1</v>
      </c>
      <c r="AM103" s="56" t="str">
        <f t="shared" si="14"/>
        <v>Oferta de programas de educación continua con componente internacional</v>
      </c>
      <c r="AN103" s="112" t="str">
        <f ca="1">IF($G103=Lists!$R$3,"T1: "&amp;TEXT(FORMULACIÓN!L103,"00,00%")&amp;CHAR(10)&amp;"T2: "&amp;TEXT(FORMULACIÓN!M103,"00,00%")&amp;CHAR(10)&amp;"T3: "&amp;TEXT(FORMULACIÓN!N103,"00,00%")&amp;CHAR(10)&amp;"Tn: "&amp;TEXT(FORMULACIÓN!O103,"00,00%"),IF(FORMULACIÓN!Q103=0,0,"T1: "&amp;TEXT(FORMULACIÓN!L103,"##.###")&amp;CHAR(10)&amp;"T2: "&amp;TEXT(FORMULACIÓN!M103,"##.###")&amp;CHAR(10)&amp;"T3: "&amp;TEXT(FORMULACIÓN!N103,"##.###")&amp;CHAR(10)&amp;"Tn: "&amp;TEXT(FORMULACIÓN!O103,"##.###")))</f>
        <v>T1: 3
T2: 3
T3: 3
Tn: 1</v>
      </c>
      <c r="AO103" s="117">
        <f>IFERROR(IF($H103=Lists!$S$6,IF(AND(FORMULACIÓN!L103&gt;K103,K103&gt;0),1,0),IF((K103/FORMULACIÓN!L103)&lt;&gt;0,K103/FORMULACIÓN!L103,0)),"")</f>
        <v>370.33333333333331</v>
      </c>
      <c r="AP103" s="117">
        <f>IFERROR(IF($H103=Lists!$S$6,IF(AND(FORMULACIÓN!M103&gt;L103,L103&gt;0),1,0),IF((L103/FORMULACIÓN!M103)&lt;&gt;0,L103/FORMULACIÓN!M103,0)),"")</f>
        <v>0</v>
      </c>
      <c r="AQ103" s="117">
        <f>IFERROR(IF($H103=Lists!$S$6,IF(AND(FORMULACIÓN!N103&gt;M103,M103&gt;0),1,0),IF((M103/FORMULACIÓN!N103)&lt;&gt;0,M103/FORMULACIÓN!N103,0)),"")</f>
        <v>0</v>
      </c>
      <c r="AR103" s="117">
        <f>IFERROR(IF($H103=Lists!$S$6,IF(AND(FORMULACIÓN!O103&gt;N103,N103&gt;0),1,0),IF((N103/FORMULACIÓN!O103)&lt;&gt;0,N103/FORMULACIÓN!O103,0)),"")</f>
        <v>0</v>
      </c>
      <c r="AS103" s="110"/>
      <c r="AT103" s="118" t="str">
        <f ca="1">IF($H103=Lists!$S$6,TEXT(COUNTIF('SEGUIMIENTO Y EVALUACIÓN'!K103:N103,"&lt;"&amp;FORMULACIÓN!Q103),"##.###")&amp;" / "&amp;TEXT(COUNTIF('SEGUIMIENTO Y EVALUACIÓN'!K103:N103,"&gt;"&amp;0),"##.###"),IF($G103=Lists!$R$3,TEXT('SEGUIMIENTO Y EVALUACIÓN'!O103,"00,00%")&amp;" / "&amp;TEXT(FORMULACIÓN!P103,"00,00%"),IF('SEGUIMIENTO Y EVALUACIÓN'!O103=0,0,TEXT('SEGUIMIENTO Y EVALUACIÓN'!O103,"##.###")&amp;" / "&amp;TEXT(FORMULACIÓN!P103,"##.###"))))</f>
        <v>1.111 / 10</v>
      </c>
      <c r="AU103" s="57">
        <f ca="1">IFERROR(IF((P103/FORMULACIÓN!Q103)&lt;&gt;0,IF($H103=Lists!$S$6,COUNTIF('SEGUIMIENTO Y EVALUACIÓN'!K103:N103,"&lt;"&amp;FORMULACIÓN!Q103),'SEGUIMIENTO Y EVALUACIÓN'!P103)/IF($H103=Lists!$S$6,COUNTIF('SEGUIMIENTO Y EVALUACIÓN'!K103:N103,"&gt;"&amp;0),FORMULACIÓN!P103),0),0)</f>
        <v>111.1</v>
      </c>
      <c r="AV103" s="93">
        <f t="shared" ca="1" si="15"/>
        <v>2.5000000000000001E-2</v>
      </c>
      <c r="AW103" s="93" cm="1">
        <f t="array" ref="AW103">IF(INDEX(AO103:AU103,1,$AV$3)&gt;1,IF($AU$2=1,1,INDEX(AO103:AU103,1,$AV$3)),INDEX(AO103:AU103,1,$AV$3))</f>
        <v>1</v>
      </c>
      <c r="AX103"/>
      <c r="AY103" s="119" t="str">
        <f>IFERROR(IF((W103/FORMULACIÓN!X103)&lt;&gt;0,W103/FORMULACIÓN!X103,0),"")</f>
        <v/>
      </c>
      <c r="AZ103" s="119" t="str">
        <f>IFERROR(IF((AA103/FORMULACIÓN!AB103)&lt;&gt;0,AA103/FORMULACIÓN!AB103,0),"")</f>
        <v/>
      </c>
      <c r="BA103" s="119" t="str">
        <f>IFERROR(IF((AE103/FORMULACIÓN!AF103)&lt;&gt;0,(AE103/FORMULACIÓN!AF103),0),"")</f>
        <v/>
      </c>
      <c r="BB103" s="119" t="str">
        <f>IFERROR(IF((AI103/FORMULACIÓN!AJ103)&lt;&gt;0,AI103/FORMULACIÓN!AJ103,0),"")</f>
        <v/>
      </c>
      <c r="BC103" s="120" t="str">
        <f>IF('SEGUIMIENTO Y EVALUACIÓN'!AI103=0,0,TEXT('SEGUIMIENTO Y EVALUACIÓN'!AI103,"$ ##.###")&amp;" / "&amp;TEXT(FORMULACIÓN!AK103,"$ ##.###"))</f>
        <v xml:space="preserve"> / $ 10.416.713.349</v>
      </c>
      <c r="BD103" s="57">
        <f>IFERROR(IF((AJ103/FORMULACIÓN!AK103)&lt;&gt;0,AJ103/FORMULACIÓN!AK103,0),0)</f>
        <v>0</v>
      </c>
      <c r="CL103" s="7"/>
    </row>
    <row r="104" spans="1:90" s="1" customFormat="1" ht="99.95" customHeight="1">
      <c r="A104" s="45">
        <f>IF(FORMULACIÓN!A104="","",FORMULACIÓN!A104)</f>
        <v>93</v>
      </c>
      <c r="B104" s="45" t="str">
        <f>IF(FORMULACIÓN!B104="","",FORMULACIÓN!B104)</f>
        <v>L3 - Impacto regional, Nacional e Internacional desde la Extensión y proyección social</v>
      </c>
      <c r="C104" s="45" t="str">
        <f>IF(FORMULACIÓN!E104="","",FORMULACIÓN!E104)</f>
        <v xml:space="preserve">M1 - Educación continua y formación avanzada con enfoque global. </v>
      </c>
      <c r="D104" s="45" t="str">
        <f>IF(FORMULACIÓN!F104="","",FORMULACIÓN!F104)</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104" s="45" t="str">
        <f>IF(FORMULACIÓN!G104="","",FORMULACIÓN!G104)</f>
        <v>Oferta de programas de educación continua con enfoque diferencial y/o capacidades diversas</v>
      </c>
      <c r="F104" s="45" t="str">
        <f>IF(FORMULACIÓN!H104="","",FORMULACIÓN!H104)</f>
        <v>N° de programas de educación continua con enfoque diferencial y/o capacidades diversas implementados</v>
      </c>
      <c r="G104" s="45" t="str">
        <f>IF(FORMULACIÓN!I104="","",FORMULACIÓN!I104)</f>
        <v>Unidad</v>
      </c>
      <c r="H104" s="45" t="str">
        <f>IF(FORMULACIÓN!J104="","",FORMULACIÓN!J104)</f>
        <v>Nuevo gestionado durante la vigencia</v>
      </c>
      <c r="I104" s="188" t="str">
        <f ca="1">IF($G104=Lists!$R$3,"PDI: "&amp;TEXT(FORMULACIÓN!Q104,"00,00%")&amp;CHAR(10)&amp;CHAR(10)&amp;"T1: "&amp;TEXT(FORMULACIÓN!L104,"00,00%")&amp;CHAR(10)&amp;"T2: "&amp;TEXT(FORMULACIÓN!M104,"00,00%")&amp;CHAR(10)&amp;"T3: "&amp;TEXT(FORMULACIÓN!N104,"00,00%")&amp;CHAR(10)&amp;"Tn: "&amp;TEXT(FORMULACIÓN!O104,"00,00%"),IF(FORMULACIÓN!Q104=0,0,"PDI: "&amp;TEXT(FORMULACIÓN!Q104,"##.###")&amp;CHAR(10)&amp;CHAR(10)&amp;"T1: "&amp;TEXT(FORMULACIÓN!L104,"##.###")&amp;CHAR(10)&amp;"T2: "&amp;TEXT(FORMULACIÓN!M104,"##.###")&amp;CHAR(10)&amp;"T3: "&amp;TEXT(FORMULACIÓN!N104,"##.###")&amp;CHAR(10)&amp;"Tn: "&amp;TEXT(FORMULACIÓN!O104,"##.###")))</f>
        <v>PDI: 5
T1: 1
T2: 2
T3: 1
Tn: 1</v>
      </c>
      <c r="J104" s="122">
        <f>IF(FORMULACIÓN!K104&lt;&gt;"",FORMULACIÓN!K104,"")</f>
        <v>1</v>
      </c>
      <c r="K104" s="310">
        <v>18</v>
      </c>
      <c r="L104" s="58"/>
      <c r="M104" s="58"/>
      <c r="N104" s="58"/>
      <c r="O104" s="47">
        <f ca="1">IFERROR(IF($H104=Lists!$S$2,SUM('SEGUIMIENTO Y EVALUACIÓN'!J104:N104),IF('SEGUIMIENTO Y EVALUACIÓN'!$H104=Lists!$S$3,SUM('SEGUIMIENTO Y EVALUACIÓN'!K104:N104),IF('SEGUIMIENTO Y EVALUACIÓN'!$H104=Lists!$S$4,AVERAGE('SEGUIMIENTO Y EVALUACIÓN'!K104:N104),IF('SEGUIMIENTO Y EVALUACIÓN'!$H104=Lists!$S$5,OFFSET(J104,0,COUNTA(K104:N104)),IF($H104=Lists!$S$6,COUNTIF(K104:N104,"&lt;"&amp;FORMULACIÓN!Q104)/COUNT('SEGUIMIENTO Y EVALUACIÓN'!K104:N104),""))))),"")</f>
        <v>18</v>
      </c>
      <c r="P104" s="51" t="str">
        <f ca="1">IF($G104=Lists!$R$3,TEXT('SEGUIMIENTO Y EVALUACIÓN'!O104,"00,00%"),IF('SEGUIMIENTO Y EVALUACIÓN'!O104=0,0,TEXT('SEGUIMIENTO Y EVALUACIÓN'!O104,"##.###")))</f>
        <v>18</v>
      </c>
      <c r="Q104" s="209" t="str">
        <f>IF(FORMULACIÓN!R104&lt;&gt;"",FORMULACIÓN!R104,"")</f>
        <v xml:space="preserve">P1 - Fortalecimiento de los programas de educación continua con  pertinencia regional, nacional e internacional a través de la modernización de los procesos. </v>
      </c>
      <c r="R104" s="209">
        <f>IF(FORMULACIÓN!S104&lt;&gt;"",FORMULACIÓN!S104,"")</f>
        <v>2.5000000000000001E-2</v>
      </c>
      <c r="S104" s="209" t="str">
        <f>IF(FORMULACIÓN!T104&lt;&gt;"",FORMULACIÓN!T104,"")</f>
        <v>Vicerrector de Investigación, Extensión y Proyección Social</v>
      </c>
      <c r="T104" s="42"/>
      <c r="U104" s="42"/>
      <c r="V104" s="42"/>
      <c r="W104" s="43" t="str">
        <f t="shared" si="9"/>
        <v/>
      </c>
      <c r="X104" s="42"/>
      <c r="Y104" s="42"/>
      <c r="Z104" s="42"/>
      <c r="AA104" s="43" t="str">
        <f t="shared" si="10"/>
        <v/>
      </c>
      <c r="AB104" s="42"/>
      <c r="AC104" s="42"/>
      <c r="AD104" s="42"/>
      <c r="AE104" s="43" t="str">
        <f t="shared" si="11"/>
        <v/>
      </c>
      <c r="AF104" s="42"/>
      <c r="AG104" s="42"/>
      <c r="AH104" s="42"/>
      <c r="AI104" s="46" t="str">
        <f t="shared" si="12"/>
        <v/>
      </c>
      <c r="AJ104" s="46" t="str">
        <f>IF(SUM(AA104,AE104,W104,AI104)=0,"",SUM((AA104,AE104,W104,AI104)))</f>
        <v/>
      </c>
      <c r="AK104"/>
      <c r="AL104" s="1" t="str">
        <f t="shared" si="13"/>
        <v>L3M1P1</v>
      </c>
      <c r="AM104" s="56" t="str">
        <f t="shared" si="14"/>
        <v>Oferta de programas de educación continua con enfoque diferencial y/o capacidades diversas</v>
      </c>
      <c r="AN104" s="112" t="str">
        <f ca="1">IF($G104=Lists!$R$3,"T1: "&amp;TEXT(FORMULACIÓN!L104,"00,00%")&amp;CHAR(10)&amp;"T2: "&amp;TEXT(FORMULACIÓN!M104,"00,00%")&amp;CHAR(10)&amp;"T3: "&amp;TEXT(FORMULACIÓN!N104,"00,00%")&amp;CHAR(10)&amp;"Tn: "&amp;TEXT(FORMULACIÓN!O104,"00,00%"),IF(FORMULACIÓN!Q104=0,0,"T1: "&amp;TEXT(FORMULACIÓN!L104,"##.###")&amp;CHAR(10)&amp;"T2: "&amp;TEXT(FORMULACIÓN!M104,"##.###")&amp;CHAR(10)&amp;"T3: "&amp;TEXT(FORMULACIÓN!N104,"##.###")&amp;CHAR(10)&amp;"Tn: "&amp;TEXT(FORMULACIÓN!O104,"##.###")))</f>
        <v>T1: 1
T2: 2
T3: 1
Tn: 1</v>
      </c>
      <c r="AO104" s="117">
        <f>IFERROR(IF($H104=Lists!$S$6,IF(AND(FORMULACIÓN!L104&gt;K104,K104&gt;0),1,0),IF((K104/FORMULACIÓN!L104)&lt;&gt;0,K104/FORMULACIÓN!L104,0)),"")</f>
        <v>18</v>
      </c>
      <c r="AP104" s="117">
        <f>IFERROR(IF($H104=Lists!$S$6,IF(AND(FORMULACIÓN!M104&gt;L104,L104&gt;0),1,0),IF((L104/FORMULACIÓN!M104)&lt;&gt;0,L104/FORMULACIÓN!M104,0)),"")</f>
        <v>0</v>
      </c>
      <c r="AQ104" s="117">
        <f>IFERROR(IF($H104=Lists!$S$6,IF(AND(FORMULACIÓN!N104&gt;M104,M104&gt;0),1,0),IF((M104/FORMULACIÓN!N104)&lt;&gt;0,M104/FORMULACIÓN!N104,0)),"")</f>
        <v>0</v>
      </c>
      <c r="AR104" s="117">
        <f>IFERROR(IF($H104=Lists!$S$6,IF(AND(FORMULACIÓN!O104&gt;N104,N104&gt;0),1,0),IF((N104/FORMULACIÓN!O104)&lt;&gt;0,N104/FORMULACIÓN!O104,0)),"")</f>
        <v>0</v>
      </c>
      <c r="AS104" s="110"/>
      <c r="AT104" s="118" t="str">
        <f ca="1">IF($H104=Lists!$S$6,TEXT(COUNTIF('SEGUIMIENTO Y EVALUACIÓN'!K104:N104,"&lt;"&amp;FORMULACIÓN!Q104),"##.###")&amp;" / "&amp;TEXT(COUNTIF('SEGUIMIENTO Y EVALUACIÓN'!K104:N104,"&gt;"&amp;0),"##.###"),IF($G104=Lists!$R$3,TEXT('SEGUIMIENTO Y EVALUACIÓN'!O104,"00,00%")&amp;" / "&amp;TEXT(FORMULACIÓN!P104,"00,00%"),IF('SEGUIMIENTO Y EVALUACIÓN'!O104=0,0,TEXT('SEGUIMIENTO Y EVALUACIÓN'!O104,"##.###")&amp;" / "&amp;TEXT(FORMULACIÓN!P104,"##.###"))))</f>
        <v>18 / 5</v>
      </c>
      <c r="AU104" s="57">
        <f ca="1">IFERROR(IF((P104/FORMULACIÓN!Q104)&lt;&gt;0,IF($H104=Lists!$S$6,COUNTIF('SEGUIMIENTO Y EVALUACIÓN'!K104:N104,"&lt;"&amp;FORMULACIÓN!Q104),'SEGUIMIENTO Y EVALUACIÓN'!P104)/IF($H104=Lists!$S$6,COUNTIF('SEGUIMIENTO Y EVALUACIÓN'!K104:N104,"&gt;"&amp;0),FORMULACIÓN!P104),0),0)</f>
        <v>3.6</v>
      </c>
      <c r="AV104" s="93">
        <f t="shared" ca="1" si="15"/>
        <v>2.5000000000000001E-2</v>
      </c>
      <c r="AW104" s="93" cm="1">
        <f t="array" ref="AW104">IF(INDEX(AO104:AU104,1,$AV$3)&gt;1,IF($AU$2=1,1,INDEX(AO104:AU104,1,$AV$3)),INDEX(AO104:AU104,1,$AV$3))</f>
        <v>1</v>
      </c>
      <c r="AX104"/>
      <c r="AY104" s="119" t="str">
        <f>IFERROR(IF((W104/FORMULACIÓN!X104)&lt;&gt;0,W104/FORMULACIÓN!X104,0),"")</f>
        <v/>
      </c>
      <c r="AZ104" s="119" t="str">
        <f>IFERROR(IF((AA104/FORMULACIÓN!AB104)&lt;&gt;0,AA104/FORMULACIÓN!AB104,0),"")</f>
        <v/>
      </c>
      <c r="BA104" s="119" t="str">
        <f>IFERROR(IF((AE104/FORMULACIÓN!AF104)&lt;&gt;0,(AE104/FORMULACIÓN!AF104),0),"")</f>
        <v/>
      </c>
      <c r="BB104" s="119" t="str">
        <f>IFERROR(IF((AI104/FORMULACIÓN!AJ104)&lt;&gt;0,AI104/FORMULACIÓN!AJ104,0),"")</f>
        <v/>
      </c>
      <c r="BC104" s="120" t="str">
        <f>IF('SEGUIMIENTO Y EVALUACIÓN'!AI104=0,0,TEXT('SEGUIMIENTO Y EVALUACIÓN'!AI104,"$ ##.###")&amp;" / "&amp;TEXT(FORMULACIÓN!AK104,"$ ##.###"))</f>
        <v xml:space="preserve"> / $ 7.500.033.611</v>
      </c>
      <c r="BD104" s="57">
        <f>IFERROR(IF((AJ104/FORMULACIÓN!AK104)&lt;&gt;0,AJ104/FORMULACIÓN!AK104,0),0)</f>
        <v>0</v>
      </c>
      <c r="CL104" s="7"/>
    </row>
    <row r="105" spans="1:90" s="1" customFormat="1" ht="99.95" customHeight="1">
      <c r="A105" s="45">
        <f>IF(FORMULACIÓN!A105="","",FORMULACIÓN!A105)</f>
        <v>94</v>
      </c>
      <c r="B105" s="45" t="str">
        <f>IF(FORMULACIÓN!B105="","",FORMULACIÓN!B105)</f>
        <v>L3 - Impacto regional, Nacional e Internacional desde la Extensión y proyección social</v>
      </c>
      <c r="C105" s="45" t="str">
        <f>IF(FORMULACIÓN!E105="","",FORMULACIÓN!E105)</f>
        <v xml:space="preserve">M1 - Educación continua y formación avanzada con enfoque global. </v>
      </c>
      <c r="D105" s="45" t="str">
        <f>IF(FORMULACIÓN!F105="","",FORMULACIÓN!F105)</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E105" s="45" t="str">
        <f>IF(FORMULACIÓN!G105="","",FORMULACIÓN!G105)</f>
        <v>Oferta de programas de educación continua basado en las necesidades específicas de entidades del sector público y/o privado</v>
      </c>
      <c r="F105" s="45" t="str">
        <f>IF(FORMULACIÓN!H105="","",FORMULACIÓN!H105)</f>
        <v>N° de programas de educación continua realizados en convenio con entidades del sector público y/o privado</v>
      </c>
      <c r="G105" s="45" t="str">
        <f>IF(FORMULACIÓN!I105="","",FORMULACIÓN!I105)</f>
        <v>Unidad</v>
      </c>
      <c r="H105" s="45" t="str">
        <f>IF(FORMULACIÓN!J105="","",FORMULACIÓN!J105)</f>
        <v>Nuevo gestionado durante la vigencia</v>
      </c>
      <c r="I105" s="188" t="str">
        <f ca="1">IF($G105=Lists!$R$3,"PDI: "&amp;TEXT(FORMULACIÓN!Q105,"00,00%")&amp;CHAR(10)&amp;CHAR(10)&amp;"T1: "&amp;TEXT(FORMULACIÓN!L105,"00,00%")&amp;CHAR(10)&amp;"T2: "&amp;TEXT(FORMULACIÓN!M105,"00,00%")&amp;CHAR(10)&amp;"T3: "&amp;TEXT(FORMULACIÓN!N105,"00,00%")&amp;CHAR(10)&amp;"Tn: "&amp;TEXT(FORMULACIÓN!O105,"00,00%"),IF(FORMULACIÓN!Q105=0,0,"PDI: "&amp;TEXT(FORMULACIÓN!Q105,"##.###")&amp;CHAR(10)&amp;CHAR(10)&amp;"T1: "&amp;TEXT(FORMULACIÓN!L105,"##.###")&amp;CHAR(10)&amp;"T2: "&amp;TEXT(FORMULACIÓN!M105,"##.###")&amp;CHAR(10)&amp;"T3: "&amp;TEXT(FORMULACIÓN!N105,"##.###")&amp;CHAR(10)&amp;"Tn: "&amp;TEXT(FORMULACIÓN!O105,"##.###")))</f>
        <v>PDI: 20
T1: 6
T2: 6
T3: 6
Tn: 2</v>
      </c>
      <c r="J105" s="122">
        <f>IF(FORMULACIÓN!K105&lt;&gt;"",FORMULACIÓN!K105,"")</f>
        <v>3</v>
      </c>
      <c r="K105" s="310">
        <v>147</v>
      </c>
      <c r="L105" s="58"/>
      <c r="M105" s="58"/>
      <c r="N105" s="58"/>
      <c r="O105" s="47">
        <f ca="1">IFERROR(IF($H105=Lists!$S$2,SUM('SEGUIMIENTO Y EVALUACIÓN'!J105:N105),IF('SEGUIMIENTO Y EVALUACIÓN'!$H105=Lists!$S$3,SUM('SEGUIMIENTO Y EVALUACIÓN'!K105:N105),IF('SEGUIMIENTO Y EVALUACIÓN'!$H105=Lists!$S$4,AVERAGE('SEGUIMIENTO Y EVALUACIÓN'!K105:N105),IF('SEGUIMIENTO Y EVALUACIÓN'!$H105=Lists!$S$5,OFFSET(J105,0,COUNTA(K105:N105)),IF($H105=Lists!$S$6,COUNTIF(K105:N105,"&lt;"&amp;FORMULACIÓN!Q105)/COUNT('SEGUIMIENTO Y EVALUACIÓN'!K105:N105),""))))),"")</f>
        <v>147</v>
      </c>
      <c r="P105" s="51" t="str">
        <f ca="1">IF($G105=Lists!$R$3,TEXT('SEGUIMIENTO Y EVALUACIÓN'!O105,"00,00%"),IF('SEGUIMIENTO Y EVALUACIÓN'!O105=0,0,TEXT('SEGUIMIENTO Y EVALUACIÓN'!O105,"##.###")))</f>
        <v>147</v>
      </c>
      <c r="Q105" s="209" t="str">
        <f>IF(FORMULACIÓN!R105&lt;&gt;"",FORMULACIÓN!R105,"")</f>
        <v xml:space="preserve">P1 - Fortalecimiento de los programas de educación continua con  pertinencia regional, nacional e internacional a través de la modernización de los procesos. </v>
      </c>
      <c r="R105" s="209">
        <f>IF(FORMULACIÓN!S105&lt;&gt;"",FORMULACIÓN!S105,"")</f>
        <v>2.5000000000000001E-2</v>
      </c>
      <c r="S105" s="209" t="str">
        <f>IF(FORMULACIÓN!T105&lt;&gt;"",FORMULACIÓN!T105,"")</f>
        <v>Vicerrector de Investigación, Extensión y Proyección Social</v>
      </c>
      <c r="T105" s="42"/>
      <c r="U105" s="42"/>
      <c r="V105" s="42"/>
      <c r="W105" s="43" t="str">
        <f t="shared" si="9"/>
        <v/>
      </c>
      <c r="X105" s="42"/>
      <c r="Y105" s="42"/>
      <c r="Z105" s="42"/>
      <c r="AA105" s="43" t="str">
        <f t="shared" si="10"/>
        <v/>
      </c>
      <c r="AB105" s="42"/>
      <c r="AC105" s="42"/>
      <c r="AD105" s="42"/>
      <c r="AE105" s="43" t="str">
        <f t="shared" si="11"/>
        <v/>
      </c>
      <c r="AF105" s="42"/>
      <c r="AG105" s="42"/>
      <c r="AH105" s="42"/>
      <c r="AI105" s="46" t="str">
        <f t="shared" si="12"/>
        <v/>
      </c>
      <c r="AJ105" s="46" t="str">
        <f>IF(SUM(AA105,AE105,W105,AI105)=0,"",SUM((AA105,AE105,W105,AI105)))</f>
        <v/>
      </c>
      <c r="AK105"/>
      <c r="AL105" s="1" t="str">
        <f t="shared" si="13"/>
        <v>L3M1P1</v>
      </c>
      <c r="AM105" s="56" t="str">
        <f t="shared" si="14"/>
        <v>Oferta de programas de educación continua basado en las necesidades específicas de entidades del sector público y/o privado</v>
      </c>
      <c r="AN105" s="112" t="str">
        <f ca="1">IF($G105=Lists!$R$3,"T1: "&amp;TEXT(FORMULACIÓN!L105,"00,00%")&amp;CHAR(10)&amp;"T2: "&amp;TEXT(FORMULACIÓN!M105,"00,00%")&amp;CHAR(10)&amp;"T3: "&amp;TEXT(FORMULACIÓN!N105,"00,00%")&amp;CHAR(10)&amp;"Tn: "&amp;TEXT(FORMULACIÓN!O105,"00,00%"),IF(FORMULACIÓN!Q105=0,0,"T1: "&amp;TEXT(FORMULACIÓN!L105,"##.###")&amp;CHAR(10)&amp;"T2: "&amp;TEXT(FORMULACIÓN!M105,"##.###")&amp;CHAR(10)&amp;"T3: "&amp;TEXT(FORMULACIÓN!N105,"##.###")&amp;CHAR(10)&amp;"Tn: "&amp;TEXT(FORMULACIÓN!O105,"##.###")))</f>
        <v>T1: 6
T2: 6
T3: 6
Tn: 2</v>
      </c>
      <c r="AO105" s="117">
        <f>IFERROR(IF($H105=Lists!$S$6,IF(AND(FORMULACIÓN!L105&gt;K105,K105&gt;0),1,0),IF((K105/FORMULACIÓN!L105)&lt;&gt;0,K105/FORMULACIÓN!L105,0)),"")</f>
        <v>24.5</v>
      </c>
      <c r="AP105" s="117">
        <f>IFERROR(IF($H105=Lists!$S$6,IF(AND(FORMULACIÓN!M105&gt;L105,L105&gt;0),1,0),IF((L105/FORMULACIÓN!M105)&lt;&gt;0,L105/FORMULACIÓN!M105,0)),"")</f>
        <v>0</v>
      </c>
      <c r="AQ105" s="117">
        <f>IFERROR(IF($H105=Lists!$S$6,IF(AND(FORMULACIÓN!N105&gt;M105,M105&gt;0),1,0),IF((M105/FORMULACIÓN!N105)&lt;&gt;0,M105/FORMULACIÓN!N105,0)),"")</f>
        <v>0</v>
      </c>
      <c r="AR105" s="117">
        <f>IFERROR(IF($H105=Lists!$S$6,IF(AND(FORMULACIÓN!O105&gt;N105,N105&gt;0),1,0),IF((N105/FORMULACIÓN!O105)&lt;&gt;0,N105/FORMULACIÓN!O105,0)),"")</f>
        <v>0</v>
      </c>
      <c r="AS105" s="110"/>
      <c r="AT105" s="118" t="str">
        <f ca="1">IF($H105=Lists!$S$6,TEXT(COUNTIF('SEGUIMIENTO Y EVALUACIÓN'!K105:N105,"&lt;"&amp;FORMULACIÓN!Q105),"##.###")&amp;" / "&amp;TEXT(COUNTIF('SEGUIMIENTO Y EVALUACIÓN'!K105:N105,"&gt;"&amp;0),"##.###"),IF($G105=Lists!$R$3,TEXT('SEGUIMIENTO Y EVALUACIÓN'!O105,"00,00%")&amp;" / "&amp;TEXT(FORMULACIÓN!P105,"00,00%"),IF('SEGUIMIENTO Y EVALUACIÓN'!O105=0,0,TEXT('SEGUIMIENTO Y EVALUACIÓN'!O105,"##.###")&amp;" / "&amp;TEXT(FORMULACIÓN!P105,"##.###"))))</f>
        <v>147 / 20</v>
      </c>
      <c r="AU105" s="57">
        <f ca="1">IFERROR(IF((P105/FORMULACIÓN!Q105)&lt;&gt;0,IF($H105=Lists!$S$6,COUNTIF('SEGUIMIENTO Y EVALUACIÓN'!K105:N105,"&lt;"&amp;FORMULACIÓN!Q105),'SEGUIMIENTO Y EVALUACIÓN'!P105)/IF($H105=Lists!$S$6,COUNTIF('SEGUIMIENTO Y EVALUACIÓN'!K105:N105,"&gt;"&amp;0),FORMULACIÓN!P105),0),0)</f>
        <v>7.35</v>
      </c>
      <c r="AV105" s="93">
        <f t="shared" ca="1" si="15"/>
        <v>2.5000000000000001E-2</v>
      </c>
      <c r="AW105" s="93" cm="1">
        <f t="array" ref="AW105">IF(INDEX(AO105:AU105,1,$AV$3)&gt;1,IF($AU$2=1,1,INDEX(AO105:AU105,1,$AV$3)),INDEX(AO105:AU105,1,$AV$3))</f>
        <v>1</v>
      </c>
      <c r="AX105"/>
      <c r="AY105" s="119" t="str">
        <f>IFERROR(IF((W105/FORMULACIÓN!X105)&lt;&gt;0,W105/FORMULACIÓN!X105,0),"")</f>
        <v/>
      </c>
      <c r="AZ105" s="119" t="str">
        <f>IFERROR(IF((AA105/FORMULACIÓN!AB105)&lt;&gt;0,AA105/FORMULACIÓN!AB105,0),"")</f>
        <v/>
      </c>
      <c r="BA105" s="119" t="str">
        <f>IFERROR(IF((AE105/FORMULACIÓN!AF105)&lt;&gt;0,(AE105/FORMULACIÓN!AF105),0),"")</f>
        <v/>
      </c>
      <c r="BB105" s="119" t="str">
        <f>IFERROR(IF((AI105/FORMULACIÓN!AJ105)&lt;&gt;0,AI105/FORMULACIÓN!AJ105,0),"")</f>
        <v/>
      </c>
      <c r="BC105" s="120" t="str">
        <f>IF('SEGUIMIENTO Y EVALUACIÓN'!AI105=0,0,TEXT('SEGUIMIENTO Y EVALUACIÓN'!AI105,"$ ##.###")&amp;" / "&amp;TEXT(FORMULACIÓN!AK105,"$ ##.###"))</f>
        <v xml:space="preserve"> / $ 4.166.685.340</v>
      </c>
      <c r="BD105" s="57">
        <f>IFERROR(IF((AJ105/FORMULACIÓN!AK105)&lt;&gt;0,AJ105/FORMULACIÓN!AK105,0),0)</f>
        <v>0</v>
      </c>
      <c r="CL105" s="7"/>
    </row>
    <row r="106" spans="1:90" s="1" customFormat="1" ht="99.95" customHeight="1">
      <c r="A106" s="45">
        <f>IF(FORMULACIÓN!A106="","",FORMULACIÓN!A106)</f>
        <v>95</v>
      </c>
      <c r="B106" s="45" t="str">
        <f>IF(FORMULACIÓN!B106="","",FORMULACIÓN!B106)</f>
        <v>L3 - Impacto regional, Nacional e Internacional desde la Extensión y proyección social</v>
      </c>
      <c r="C106" s="45" t="str">
        <f>IF(FORMULACIÓN!E106="","",FORMULACIÓN!E106)</f>
        <v>M2 - Articulación con el sector productivo y sociedad.</v>
      </c>
      <c r="D106" s="45" t="str">
        <f>IF(FORMULACIÓN!F106="","",FORMULACIÓN!F106)</f>
        <v>Concretar al menos 70 proyectos de extensión y proyección social remunerados con el sector público y/o privado a través de la gestión de alianzas y convenios a nivel nacional e internacional.</v>
      </c>
      <c r="E106" s="45" t="str">
        <f>IF(FORMULACIÓN!G106="","",FORMULACIÓN!G106)</f>
        <v>Proyectos de extensión y proyección social remunerados en alianza con el sector público y/o privado</v>
      </c>
      <c r="F106" s="45" t="str">
        <f>IF(FORMULACIÓN!H106="","",FORMULACIÓN!H106)</f>
        <v>N° de proyectos de extensión y proyección social suscritos con el sector público y/o privado</v>
      </c>
      <c r="G106" s="45" t="str">
        <f>IF(FORMULACIÓN!I106="","",FORMULACIÓN!I106)</f>
        <v>Unidad</v>
      </c>
      <c r="H106" s="45" t="str">
        <f>IF(FORMULACIÓN!J106="","",FORMULACIÓN!J106)</f>
        <v>Nuevo gestionado durante la vigencia</v>
      </c>
      <c r="I106" s="188" t="str">
        <f ca="1">IF($G106=Lists!$R$3,"PDI: "&amp;TEXT(FORMULACIÓN!Q106,"00,00%")&amp;CHAR(10)&amp;CHAR(10)&amp;"T1: "&amp;TEXT(FORMULACIÓN!L106,"00,00%")&amp;CHAR(10)&amp;"T2: "&amp;TEXT(FORMULACIÓN!M106,"00,00%")&amp;CHAR(10)&amp;"T3: "&amp;TEXT(FORMULACIÓN!N106,"00,00%")&amp;CHAR(10)&amp;"Tn: "&amp;TEXT(FORMULACIÓN!O106,"00,00%"),IF(FORMULACIÓN!Q106=0,0,"PDI: "&amp;TEXT(FORMULACIÓN!Q106,"##.###")&amp;CHAR(10)&amp;CHAR(10)&amp;"T1: "&amp;TEXT(FORMULACIÓN!L106,"##.###")&amp;CHAR(10)&amp;"T2: "&amp;TEXT(FORMULACIÓN!M106,"##.###")&amp;CHAR(10)&amp;"T3: "&amp;TEXT(FORMULACIÓN!N106,"##.###")&amp;CHAR(10)&amp;"Tn: "&amp;TEXT(FORMULACIÓN!O106,"##.###")))</f>
        <v>PDI: 70
T1: 21
T2: 21
T3: 21
Tn: 7</v>
      </c>
      <c r="J106" s="122">
        <f>IF(FORMULACIÓN!K106&lt;&gt;"",FORMULACIÓN!K106,"")</f>
        <v>9</v>
      </c>
      <c r="K106" s="310">
        <v>93</v>
      </c>
      <c r="L106" s="58"/>
      <c r="M106" s="58"/>
      <c r="N106" s="58"/>
      <c r="O106" s="47">
        <f ca="1">IFERROR(IF($H106=Lists!$S$2,SUM('SEGUIMIENTO Y EVALUACIÓN'!J106:N106),IF('SEGUIMIENTO Y EVALUACIÓN'!$H106=Lists!$S$3,SUM('SEGUIMIENTO Y EVALUACIÓN'!K106:N106),IF('SEGUIMIENTO Y EVALUACIÓN'!$H106=Lists!$S$4,AVERAGE('SEGUIMIENTO Y EVALUACIÓN'!K106:N106),IF('SEGUIMIENTO Y EVALUACIÓN'!$H106=Lists!$S$5,OFFSET(J106,0,COUNTA(K106:N106)),IF($H106=Lists!$S$6,COUNTIF(K106:N106,"&lt;"&amp;FORMULACIÓN!Q106)/COUNT('SEGUIMIENTO Y EVALUACIÓN'!K106:N106),""))))),"")</f>
        <v>93</v>
      </c>
      <c r="P106" s="51" t="str">
        <f ca="1">IF($G106=Lists!$R$3,TEXT('SEGUIMIENTO Y EVALUACIÓN'!O106,"00,00%"),IF('SEGUIMIENTO Y EVALUACIÓN'!O106=0,0,TEXT('SEGUIMIENTO Y EVALUACIÓN'!O106,"##.###")))</f>
        <v>93</v>
      </c>
      <c r="Q106" s="209" t="str">
        <f>IF(FORMULACIÓN!R106&lt;&gt;"",FORMULACIÓN!R106,"")</f>
        <v>P1 - Gestión de alianzas, convenios y proyectos para el  fomento del desarrollo  sostenible según la agenda (ODS), regional, nacional e internacional</v>
      </c>
      <c r="R106" s="209">
        <f>IF(FORMULACIÓN!S106&lt;&gt;"",FORMULACIÓN!S106,"")</f>
        <v>7.4999999999999997E-2</v>
      </c>
      <c r="S106" s="209" t="str">
        <f>IF(FORMULACIÓN!T106&lt;&gt;"",FORMULACIÓN!T106,"")</f>
        <v>Vicerrector de Investigación, Extensión y Proyección Social</v>
      </c>
      <c r="T106" s="42"/>
      <c r="U106" s="42"/>
      <c r="V106" s="42"/>
      <c r="W106" s="43" t="str">
        <f t="shared" si="9"/>
        <v/>
      </c>
      <c r="X106" s="42"/>
      <c r="Y106" s="42"/>
      <c r="Z106" s="42"/>
      <c r="AA106" s="43" t="str">
        <f t="shared" si="10"/>
        <v/>
      </c>
      <c r="AB106" s="42"/>
      <c r="AC106" s="42"/>
      <c r="AD106" s="42"/>
      <c r="AE106" s="43" t="str">
        <f t="shared" si="11"/>
        <v/>
      </c>
      <c r="AF106" s="42"/>
      <c r="AG106" s="42"/>
      <c r="AH106" s="42"/>
      <c r="AI106" s="46" t="str">
        <f t="shared" si="12"/>
        <v/>
      </c>
      <c r="AJ106" s="46" t="str">
        <f>IF(SUM(AA106,AE106,W106,AI106)=0,"",SUM((AA106,AE106,W106,AI106)))</f>
        <v/>
      </c>
      <c r="AK106"/>
      <c r="AL106" s="1" t="str">
        <f t="shared" si="13"/>
        <v>L3M2P1</v>
      </c>
      <c r="AM106" s="56" t="str">
        <f t="shared" si="14"/>
        <v>Proyectos de extensión y proyección social remunerados en alianza con el sector público y/o privado</v>
      </c>
      <c r="AN106" s="112" t="str">
        <f ca="1">IF($G106=Lists!$R$3,"T1: "&amp;TEXT(FORMULACIÓN!L106,"00,00%")&amp;CHAR(10)&amp;"T2: "&amp;TEXT(FORMULACIÓN!M106,"00,00%")&amp;CHAR(10)&amp;"T3: "&amp;TEXT(FORMULACIÓN!N106,"00,00%")&amp;CHAR(10)&amp;"Tn: "&amp;TEXT(FORMULACIÓN!O106,"00,00%"),IF(FORMULACIÓN!Q106=0,0,"T1: "&amp;TEXT(FORMULACIÓN!L106,"##.###")&amp;CHAR(10)&amp;"T2: "&amp;TEXT(FORMULACIÓN!M106,"##.###")&amp;CHAR(10)&amp;"T3: "&amp;TEXT(FORMULACIÓN!N106,"##.###")&amp;CHAR(10)&amp;"Tn: "&amp;TEXT(FORMULACIÓN!O106,"##.###")))</f>
        <v>T1: 21
T2: 21
T3: 21
Tn: 7</v>
      </c>
      <c r="AO106" s="117">
        <f>IFERROR(IF($H106=Lists!$S$6,IF(AND(FORMULACIÓN!L106&gt;K106,K106&gt;0),1,0),IF((K106/FORMULACIÓN!L106)&lt;&gt;0,K106/FORMULACIÓN!L106,0)),"")</f>
        <v>4.4285714285714288</v>
      </c>
      <c r="AP106" s="117">
        <f>IFERROR(IF($H106=Lists!$S$6,IF(AND(FORMULACIÓN!M106&gt;L106,L106&gt;0),1,0),IF((L106/FORMULACIÓN!M106)&lt;&gt;0,L106/FORMULACIÓN!M106,0)),"")</f>
        <v>0</v>
      </c>
      <c r="AQ106" s="117">
        <f>IFERROR(IF($H106=Lists!$S$6,IF(AND(FORMULACIÓN!N106&gt;M106,M106&gt;0),1,0),IF((M106/FORMULACIÓN!N106)&lt;&gt;0,M106/FORMULACIÓN!N106,0)),"")</f>
        <v>0</v>
      </c>
      <c r="AR106" s="117">
        <f>IFERROR(IF($H106=Lists!$S$6,IF(AND(FORMULACIÓN!O106&gt;N106,N106&gt;0),1,0),IF((N106/FORMULACIÓN!O106)&lt;&gt;0,N106/FORMULACIÓN!O106,0)),"")</f>
        <v>0</v>
      </c>
      <c r="AS106" s="110"/>
      <c r="AT106" s="118" t="str">
        <f ca="1">IF($H106=Lists!$S$6,TEXT(COUNTIF('SEGUIMIENTO Y EVALUACIÓN'!K106:N106,"&lt;"&amp;FORMULACIÓN!Q106),"##.###")&amp;" / "&amp;TEXT(COUNTIF('SEGUIMIENTO Y EVALUACIÓN'!K106:N106,"&gt;"&amp;0),"##.###"),IF($G106=Lists!$R$3,TEXT('SEGUIMIENTO Y EVALUACIÓN'!O106,"00,00%")&amp;" / "&amp;TEXT(FORMULACIÓN!P106,"00,00%"),IF('SEGUIMIENTO Y EVALUACIÓN'!O106=0,0,TEXT('SEGUIMIENTO Y EVALUACIÓN'!O106,"##.###")&amp;" / "&amp;TEXT(FORMULACIÓN!P106,"##.###"))))</f>
        <v>93 / 70</v>
      </c>
      <c r="AU106" s="57">
        <f ca="1">IFERROR(IF((P106/FORMULACIÓN!Q106)&lt;&gt;0,IF($H106=Lists!$S$6,COUNTIF('SEGUIMIENTO Y EVALUACIÓN'!K106:N106,"&lt;"&amp;FORMULACIÓN!Q106),'SEGUIMIENTO Y EVALUACIÓN'!P106)/IF($H106=Lists!$S$6,COUNTIF('SEGUIMIENTO Y EVALUACIÓN'!K106:N106,"&gt;"&amp;0),FORMULACIÓN!P106),0),0)</f>
        <v>1.3285714285714285</v>
      </c>
      <c r="AV106" s="93">
        <f t="shared" ca="1" si="15"/>
        <v>7.4999999999999997E-2</v>
      </c>
      <c r="AW106" s="93" cm="1">
        <f t="array" ref="AW106">IF(INDEX(AO106:AU106,1,$AV$3)&gt;1,IF($AU$2=1,1,INDEX(AO106:AU106,1,$AV$3)),INDEX(AO106:AU106,1,$AV$3))</f>
        <v>1</v>
      </c>
      <c r="AX106"/>
      <c r="AY106" s="119" t="str">
        <f>IFERROR(IF((W106/FORMULACIÓN!X106)&lt;&gt;0,W106/FORMULACIÓN!X106,0),"")</f>
        <v/>
      </c>
      <c r="AZ106" s="119" t="str">
        <f>IFERROR(IF((AA106/FORMULACIÓN!AB106)&lt;&gt;0,AA106/FORMULACIÓN!AB106,0),"")</f>
        <v/>
      </c>
      <c r="BA106" s="119" t="str">
        <f>IFERROR(IF((AE106/FORMULACIÓN!AF106)&lt;&gt;0,(AE106/FORMULACIÓN!AF106),0),"")</f>
        <v/>
      </c>
      <c r="BB106" s="119" t="str">
        <f>IFERROR(IF((AI106/FORMULACIÓN!AJ106)&lt;&gt;0,AI106/FORMULACIÓN!AJ106,0),"")</f>
        <v/>
      </c>
      <c r="BC106" s="120" t="str">
        <f>IF('SEGUIMIENTO Y EVALUACIÓN'!AI106=0,0,TEXT('SEGUIMIENTO Y EVALUACIÓN'!AI106,"$ ##.###")&amp;" / "&amp;TEXT(FORMULACIÓN!AK106,"$ ##.###"))</f>
        <v xml:space="preserve"> / $ 33.780.571.307</v>
      </c>
      <c r="BD106" s="57">
        <f>IFERROR(IF((AJ106/FORMULACIÓN!AK106)&lt;&gt;0,AJ106/FORMULACIÓN!AK106,0),0)</f>
        <v>0</v>
      </c>
      <c r="CL106" s="7"/>
    </row>
    <row r="107" spans="1:90" s="1" customFormat="1" ht="99.95" customHeight="1">
      <c r="A107" s="45">
        <f>IF(FORMULACIÓN!A107="","",FORMULACIÓN!A107)</f>
        <v>96</v>
      </c>
      <c r="B107" s="45" t="str">
        <f>IF(FORMULACIÓN!B107="","",FORMULACIÓN!B107)</f>
        <v>L3 - Impacto regional, Nacional e Internacional desde la Extensión y proyección social</v>
      </c>
      <c r="C107" s="45" t="str">
        <f>IF(FORMULACIÓN!E107="","",FORMULACIÓN!E107)</f>
        <v>M2 - Articulación con el sector productivo y sociedad.</v>
      </c>
      <c r="D107" s="45" t="str">
        <f>IF(FORMULACIÓN!F107="","",FORMULACIÓN!F107)</f>
        <v xml:space="preserve">Incrementar en un 20% los ingresos del Centro de Investigaciones Científicas y Tecnológicas (CICIT) y Parque Tecnológico del Caribe (PTC) por servicios científicos y tecnológicos </v>
      </c>
      <c r="E107" s="45" t="str">
        <f>IF(FORMULACIÓN!G107="","",FORMULACIÓN!G107)</f>
        <v>Tasa de variación de ingresos  del CICIT y PTC para la vigencia de 10 años</v>
      </c>
      <c r="F107" s="45" t="str">
        <f>IF(FORMULACIÓN!H107="","",FORMULACIÓN!H107)</f>
        <v>[(Ingresos por servicios científicos y tecnológicos del CICIT año 10 - Ingresos por servicios científicos y tecnológicos del CICIT año 1) / Ingresos por servicios científicos y tecnológicos del CICIT año 1) ] * 100</v>
      </c>
      <c r="G107" s="45" t="str">
        <f>IF(FORMULACIÓN!I107="","",FORMULACIÓN!I107)</f>
        <v>Porcentaje</v>
      </c>
      <c r="H107" s="45" t="str">
        <f>IF(FORMULACIÓN!J107="","",FORMULACIÓN!J107)</f>
        <v>Nuevo gestionado durante la vigencia</v>
      </c>
      <c r="I107" s="188" t="str">
        <f ca="1">IF($G107=Lists!$R$3,"PDI: "&amp;TEXT(FORMULACIÓN!Q107,"00,00%")&amp;CHAR(10)&amp;CHAR(10)&amp;"T1: "&amp;TEXT(FORMULACIÓN!L107,"00,00%")&amp;CHAR(10)&amp;"T2: "&amp;TEXT(FORMULACIÓN!M107,"00,00%")&amp;CHAR(10)&amp;"T3: "&amp;TEXT(FORMULACIÓN!N107,"00,00%")&amp;CHAR(10)&amp;"Tn: "&amp;TEXT(FORMULACIÓN!O107,"00,00%"),IF(FORMULACIÓN!Q107=0,0,"PDI: "&amp;TEXT(FORMULACIÓN!Q107,"##.###")&amp;CHAR(10)&amp;CHAR(10)&amp;"T1: "&amp;TEXT(FORMULACIÓN!L107,"##.###")&amp;CHAR(10)&amp;"T2: "&amp;TEXT(FORMULACIÓN!M107,"##.###")&amp;CHAR(10)&amp;"T3: "&amp;TEXT(FORMULACIÓN!N107,"##.###")&amp;CHAR(10)&amp;"Tn: "&amp;TEXT(FORMULACIÓN!O107,"##.###")))</f>
        <v>PDI: 20,00%
T1: 00,00%
T2: 00,00%
T3: 00,00%
Tn: 20,00%</v>
      </c>
      <c r="J107" s="122">
        <f>IF(FORMULACIÓN!K107&lt;&gt;"",FORMULACIÓN!K107,"")</f>
        <v>0</v>
      </c>
      <c r="K107" s="309">
        <v>0.61</v>
      </c>
      <c r="L107" s="58"/>
      <c r="M107" s="58"/>
      <c r="N107" s="58"/>
      <c r="O107" s="47">
        <f ca="1">IFERROR(IF($H107=Lists!$S$2,SUM('SEGUIMIENTO Y EVALUACIÓN'!J107:N107),IF('SEGUIMIENTO Y EVALUACIÓN'!$H107=Lists!$S$3,SUM('SEGUIMIENTO Y EVALUACIÓN'!K107:N107),IF('SEGUIMIENTO Y EVALUACIÓN'!$H107=Lists!$S$4,AVERAGE('SEGUIMIENTO Y EVALUACIÓN'!K107:N107),IF('SEGUIMIENTO Y EVALUACIÓN'!$H107=Lists!$S$5,OFFSET(J107,0,COUNTA(K107:N107)),IF($H107=Lists!$S$6,COUNTIF(K107:N107,"&lt;"&amp;FORMULACIÓN!Q107)/COUNT('SEGUIMIENTO Y EVALUACIÓN'!K107:N107),""))))),"")</f>
        <v>0.61</v>
      </c>
      <c r="P107" s="51" t="str">
        <f ca="1">IF($G107=Lists!$R$3,TEXT('SEGUIMIENTO Y EVALUACIÓN'!O107,"00,00%"),IF('SEGUIMIENTO Y EVALUACIÓN'!O107=0,0,TEXT('SEGUIMIENTO Y EVALUACIÓN'!O107,"##.###")))</f>
        <v>61,00%</v>
      </c>
      <c r="Q107" s="209" t="str">
        <f>IF(FORMULACIÓN!R107&lt;&gt;"",FORMULACIÓN!R107,"")</f>
        <v>P1 - Gestión de alianzas, convenios y proyectos para el  fomento del desarrollo  sostenible según la agenda (ODS), regional, nacional e internacional</v>
      </c>
      <c r="R107" s="209">
        <f>IF(FORMULACIÓN!S107&lt;&gt;"",FORMULACIÓN!S107,"")</f>
        <v>7.4999999999999997E-2</v>
      </c>
      <c r="S107" s="209" t="str">
        <f>IF(FORMULACIÓN!T107&lt;&gt;"",FORMULACIÓN!T107,"")</f>
        <v>Vicerrector de Investigación, Extensión y Proyección Social</v>
      </c>
      <c r="T107" s="42"/>
      <c r="U107" s="42"/>
      <c r="V107" s="42"/>
      <c r="W107" s="43" t="str">
        <f t="shared" si="9"/>
        <v/>
      </c>
      <c r="X107" s="42"/>
      <c r="Y107" s="42"/>
      <c r="Z107" s="42"/>
      <c r="AA107" s="43" t="str">
        <f t="shared" si="10"/>
        <v/>
      </c>
      <c r="AB107" s="42"/>
      <c r="AC107" s="42"/>
      <c r="AD107" s="42"/>
      <c r="AE107" s="43" t="str">
        <f t="shared" si="11"/>
        <v/>
      </c>
      <c r="AF107" s="42"/>
      <c r="AG107" s="42"/>
      <c r="AH107" s="42"/>
      <c r="AI107" s="46" t="str">
        <f t="shared" si="12"/>
        <v/>
      </c>
      <c r="AJ107" s="46" t="str">
        <f>IF(SUM(AA107,AE107,W107,AI107)=0,"",SUM((AA107,AE107,W107,AI107)))</f>
        <v/>
      </c>
      <c r="AK107"/>
      <c r="AL107" s="1" t="str">
        <f t="shared" si="13"/>
        <v>L3M2P1</v>
      </c>
      <c r="AM107" s="56" t="str">
        <f t="shared" si="14"/>
        <v>Tasa de variación de ingresos  del CICIT y PTC para la vigencia de 10 años</v>
      </c>
      <c r="AN107" s="112" t="str">
        <f>IF($G107=Lists!$R$3,"T1: "&amp;TEXT(FORMULACIÓN!L107,"00,00%")&amp;CHAR(10)&amp;"T2: "&amp;TEXT(FORMULACIÓN!M107,"00,00%")&amp;CHAR(10)&amp;"T3: "&amp;TEXT(FORMULACIÓN!N107,"00,00%")&amp;CHAR(10)&amp;"Tn: "&amp;TEXT(FORMULACIÓN!O107,"00,00%"),IF(FORMULACIÓN!Q107=0,0,"T1: "&amp;TEXT(FORMULACIÓN!L107,"##.###")&amp;CHAR(10)&amp;"T2: "&amp;TEXT(FORMULACIÓN!M107,"##.###")&amp;CHAR(10)&amp;"T3: "&amp;TEXT(FORMULACIÓN!N107,"##.###")&amp;CHAR(10)&amp;"Tn: "&amp;TEXT(FORMULACIÓN!O107,"##.###")))</f>
        <v>T1: 00,00%
T2: 00,00%
T3: 00,00%
Tn: 20,00%</v>
      </c>
      <c r="AO107" s="117" t="str">
        <f>IFERROR(IF($H107=Lists!$S$6,IF(AND(FORMULACIÓN!L107&gt;K107,K107&gt;0),1,0),IF((K107/FORMULACIÓN!L107)&lt;&gt;0,K107/FORMULACIÓN!L107,0)),"")</f>
        <v/>
      </c>
      <c r="AP107" s="117" t="str">
        <f>IFERROR(IF($H107=Lists!$S$6,IF(AND(FORMULACIÓN!M107&gt;L107,L107&gt;0),1,0),IF((L107/FORMULACIÓN!M107)&lt;&gt;0,L107/FORMULACIÓN!M107,0)),"")</f>
        <v/>
      </c>
      <c r="AQ107" s="117" t="str">
        <f>IFERROR(IF($H107=Lists!$S$6,IF(AND(FORMULACIÓN!N107&gt;M107,M107&gt;0),1,0),IF((M107/FORMULACIÓN!N107)&lt;&gt;0,M107/FORMULACIÓN!N107,0)),"")</f>
        <v/>
      </c>
      <c r="AR107" s="117">
        <f>IFERROR(IF($H107=Lists!$S$6,IF(AND(FORMULACIÓN!O107&gt;N107,N107&gt;0),1,0),IF((N107/FORMULACIÓN!O107)&lt;&gt;0,N107/FORMULACIÓN!O107,0)),"")</f>
        <v>0</v>
      </c>
      <c r="AS107" s="110"/>
      <c r="AT107" s="118" t="str">
        <f ca="1">IF($H107=Lists!$S$6,TEXT(COUNTIF('SEGUIMIENTO Y EVALUACIÓN'!K107:N107,"&lt;"&amp;FORMULACIÓN!Q107),"##.###")&amp;" / "&amp;TEXT(COUNTIF('SEGUIMIENTO Y EVALUACIÓN'!K107:N107,"&gt;"&amp;0),"##.###"),IF($G107=Lists!$R$3,TEXT('SEGUIMIENTO Y EVALUACIÓN'!O107,"00,00%")&amp;" / "&amp;TEXT(FORMULACIÓN!P107,"00,00%"),IF('SEGUIMIENTO Y EVALUACIÓN'!O107=0,0,TEXT('SEGUIMIENTO Y EVALUACIÓN'!O107,"##.###")&amp;" / "&amp;TEXT(FORMULACIÓN!P107,"##.###"))))</f>
        <v>61,00% / 20,00%</v>
      </c>
      <c r="AU107" s="57">
        <f ca="1">IFERROR(IF((P107/FORMULACIÓN!Q107)&lt;&gt;0,IF($H107=Lists!$S$6,COUNTIF('SEGUIMIENTO Y EVALUACIÓN'!K107:N107,"&lt;"&amp;FORMULACIÓN!Q107),'SEGUIMIENTO Y EVALUACIÓN'!P107)/IF($H107=Lists!$S$6,COUNTIF('SEGUIMIENTO Y EVALUACIÓN'!K107:N107,"&gt;"&amp;0),FORMULACIÓN!P107),0),0)</f>
        <v>3.05</v>
      </c>
      <c r="AV107" s="93">
        <f t="shared" ca="1" si="15"/>
        <v>7.4999999999999997E-2</v>
      </c>
      <c r="AW107" s="93" cm="1">
        <f t="array" ref="AW107">IF(INDEX(AO107:AU107,1,$AV$3)&gt;1,IF($AU$2=1,1,INDEX(AO107:AU107,1,$AV$3)),INDEX(AO107:AU107,1,$AV$3))</f>
        <v>1</v>
      </c>
      <c r="AX107"/>
      <c r="AY107" s="119" t="str">
        <f>IFERROR(IF((W107/FORMULACIÓN!X107)&lt;&gt;0,W107/FORMULACIÓN!X107,0),"")</f>
        <v/>
      </c>
      <c r="AZ107" s="119" t="str">
        <f>IFERROR(IF((AA107/FORMULACIÓN!AB107)&lt;&gt;0,AA107/FORMULACIÓN!AB107,0),"")</f>
        <v/>
      </c>
      <c r="BA107" s="119" t="str">
        <f>IFERROR(IF((AE107/FORMULACIÓN!AF107)&lt;&gt;0,(AE107/FORMULACIÓN!AF107),0),"")</f>
        <v/>
      </c>
      <c r="BB107" s="119" t="str">
        <f>IFERROR(IF((AI107/FORMULACIÓN!AJ107)&lt;&gt;0,AI107/FORMULACIÓN!AJ107,0),"")</f>
        <v/>
      </c>
      <c r="BC107" s="120" t="str">
        <f>IF('SEGUIMIENTO Y EVALUACIÓN'!AI107=0,0,TEXT('SEGUIMIENTO Y EVALUACIÓN'!AI107,"$ ##.###")&amp;" / "&amp;TEXT(FORMULACIÓN!AK107,"$ ##.###"))</f>
        <v xml:space="preserve"> / $ 50.670.856.960</v>
      </c>
      <c r="BD107" s="57">
        <f>IFERROR(IF((AJ107/FORMULACIÓN!AK107)&lt;&gt;0,AJ107/FORMULACIÓN!AK107,0),0)</f>
        <v>0</v>
      </c>
      <c r="CL107" s="7"/>
    </row>
    <row r="108" spans="1:90" s="1" customFormat="1" ht="99.95" customHeight="1">
      <c r="A108" s="45">
        <f>IF(FORMULACIÓN!A108="","",FORMULACIÓN!A108)</f>
        <v>97</v>
      </c>
      <c r="B108" s="45" t="str">
        <f>IF(FORMULACIÓN!B108="","",FORMULACIÓN!B108)</f>
        <v>L3 - Impacto regional, Nacional e Internacional desde la Extensión y proyección social</v>
      </c>
      <c r="C108" s="45" t="str">
        <f>IF(FORMULACIÓN!E108="","",FORMULACIÓN!E108)</f>
        <v>M2 - Articulación con el sector productivo y sociedad.</v>
      </c>
      <c r="D108" s="45" t="str">
        <f>IF(FORMULACIÓN!F108="","",FORMULACIÓN!F108)</f>
        <v>Formular e implementar la política de innovación, emprendimiento y transferencia tecnológica y gestionar 30 proyectos de innovación a nivel nacional e internacional, y aportar 7 productos de transferencia tecnológica</v>
      </c>
      <c r="E108" s="45" t="str">
        <f>IF(FORMULACIÓN!G108="","",FORMULACIÓN!G108)</f>
        <v xml:space="preserve">Política de innovación, emprendimiento y transferencia tecnológica </v>
      </c>
      <c r="F108" s="45" t="str">
        <f>IF(FORMULACIÓN!H108="","",FORMULACIÓN!H108)</f>
        <v>Porcentaje de avance en el diseño, aprobación e implementación de la Política de innovación, emprendimiento y transferencia tecnológica</v>
      </c>
      <c r="G108" s="45" t="str">
        <f>IF(FORMULACIÓN!I108="","",FORMULACIÓN!I108)</f>
        <v>Porcentaje</v>
      </c>
      <c r="H108" s="45" t="str">
        <f>IF(FORMULACIÓN!J108="","",FORMULACIÓN!J108)</f>
        <v>Acumulado</v>
      </c>
      <c r="I108" s="188" t="str">
        <f ca="1">IF($G108=Lists!$R$3,"PDI: "&amp;TEXT(FORMULACIÓN!Q108,"00,00%")&amp;CHAR(10)&amp;CHAR(10)&amp;"T1: "&amp;TEXT(FORMULACIÓN!L108,"00,00%")&amp;CHAR(10)&amp;"T2: "&amp;TEXT(FORMULACIÓN!M108,"00,00%")&amp;CHAR(10)&amp;"T3: "&amp;TEXT(FORMULACIÓN!N108,"00,00%")&amp;CHAR(10)&amp;"Tn: "&amp;TEXT(FORMULACIÓN!O108,"00,00%"),IF(FORMULACIÓN!Q108=0,0,"PDI: "&amp;TEXT(FORMULACIÓN!Q108,"##.###")&amp;CHAR(10)&amp;CHAR(10)&amp;"T1: "&amp;TEXT(FORMULACIÓN!L108,"##.###")&amp;CHAR(10)&amp;"T2: "&amp;TEXT(FORMULACIÓN!M108,"##.###")&amp;CHAR(10)&amp;"T3: "&amp;TEXT(FORMULACIÓN!N108,"##.###")&amp;CHAR(10)&amp;"Tn: "&amp;TEXT(FORMULACIÓN!O108,"##.###")))</f>
        <v>PDI: 100,00%
T1: 50,00%
T2: 20,00%
T3: 20,00%
Tn: 10,00%</v>
      </c>
      <c r="J108" s="122">
        <f>IF(FORMULACIÓN!K108&lt;&gt;"",FORMULACIÓN!K108,"")</f>
        <v>0</v>
      </c>
      <c r="K108" s="309">
        <v>0.5</v>
      </c>
      <c r="L108" s="58"/>
      <c r="M108" s="58"/>
      <c r="N108" s="58"/>
      <c r="O108" s="47">
        <f ca="1">IFERROR(IF($H108=Lists!$S$2,SUM('SEGUIMIENTO Y EVALUACIÓN'!J108:N108),IF('SEGUIMIENTO Y EVALUACIÓN'!$H108=Lists!$S$3,SUM('SEGUIMIENTO Y EVALUACIÓN'!K108:N108),IF('SEGUIMIENTO Y EVALUACIÓN'!$H108=Lists!$S$4,AVERAGE('SEGUIMIENTO Y EVALUACIÓN'!K108:N108),IF('SEGUIMIENTO Y EVALUACIÓN'!$H108=Lists!$S$5,OFFSET(J108,0,COUNTA(K108:N108)),IF($H108=Lists!$S$6,COUNTIF(K108:N108,"&lt;"&amp;FORMULACIÓN!Q108)/COUNT('SEGUIMIENTO Y EVALUACIÓN'!K108:N108),""))))),"")</f>
        <v>0.5</v>
      </c>
      <c r="P108" s="51" t="str">
        <f ca="1">IF($G108=Lists!$R$3,TEXT('SEGUIMIENTO Y EVALUACIÓN'!O108,"00,00%"),IF('SEGUIMIENTO Y EVALUACIÓN'!O108=0,0,TEXT('SEGUIMIENTO Y EVALUACIÓN'!O108,"##.###")))</f>
        <v>50,00%</v>
      </c>
      <c r="Q108" s="209" t="str">
        <f>IF(FORMULACIÓN!R108&lt;&gt;"",FORMULACIÓN!R108,"")</f>
        <v>P2 - Fortalecimiento de la gestión de la Innovación y emprendimiento</v>
      </c>
      <c r="R108" s="209">
        <f>IF(FORMULACIÓN!S108&lt;&gt;"",FORMULACIÓN!S108,"")</f>
        <v>2.5000000000000001E-2</v>
      </c>
      <c r="S108" s="209" t="str">
        <f>IF(FORMULACIÓN!T108&lt;&gt;"",FORMULACIÓN!T108,"")</f>
        <v>Vicerrector de Investigación, Extensión y Proyección Social</v>
      </c>
      <c r="T108" s="42"/>
      <c r="U108" s="42"/>
      <c r="V108" s="42"/>
      <c r="W108" s="43" t="str">
        <f t="shared" si="9"/>
        <v/>
      </c>
      <c r="X108" s="42"/>
      <c r="Y108" s="42"/>
      <c r="Z108" s="42"/>
      <c r="AA108" s="43" t="str">
        <f t="shared" si="10"/>
        <v/>
      </c>
      <c r="AB108" s="42"/>
      <c r="AC108" s="42"/>
      <c r="AD108" s="42"/>
      <c r="AE108" s="43" t="str">
        <f t="shared" si="11"/>
        <v/>
      </c>
      <c r="AF108" s="42"/>
      <c r="AG108" s="42"/>
      <c r="AH108" s="42"/>
      <c r="AI108" s="46" t="str">
        <f t="shared" si="12"/>
        <v/>
      </c>
      <c r="AJ108" s="46" t="str">
        <f>IF(SUM(AA108,AE108,W108,AI108)=0,"",SUM((AA108,AE108,W108,AI108)))</f>
        <v/>
      </c>
      <c r="AK108"/>
      <c r="AL108" s="1" t="str">
        <f t="shared" ref="AL108:AL139" si="16">LEFT($B108,2)&amp;LEFT($C108,2)&amp;LEFT($Q108,2)</f>
        <v>L3M2P2</v>
      </c>
      <c r="AM108" s="56" t="str">
        <f t="shared" ref="AM108:AM139" si="17">E108</f>
        <v xml:space="preserve">Política de innovación, emprendimiento y transferencia tecnológica </v>
      </c>
      <c r="AN108" s="112" t="str">
        <f>IF($G108=Lists!$R$3,"T1: "&amp;TEXT(FORMULACIÓN!L108,"00,00%")&amp;CHAR(10)&amp;"T2: "&amp;TEXT(FORMULACIÓN!M108,"00,00%")&amp;CHAR(10)&amp;"T3: "&amp;TEXT(FORMULACIÓN!N108,"00,00%")&amp;CHAR(10)&amp;"Tn: "&amp;TEXT(FORMULACIÓN!O108,"00,00%"),IF(FORMULACIÓN!Q108=0,0,"T1: "&amp;TEXT(FORMULACIÓN!L108,"##.###")&amp;CHAR(10)&amp;"T2: "&amp;TEXT(FORMULACIÓN!M108,"##.###")&amp;CHAR(10)&amp;"T3: "&amp;TEXT(FORMULACIÓN!N108,"##.###")&amp;CHAR(10)&amp;"Tn: "&amp;TEXT(FORMULACIÓN!O108,"##.###")))</f>
        <v>T1: 50,00%
T2: 20,00%
T3: 20,00%
Tn: 10,00%</v>
      </c>
      <c r="AO108" s="117">
        <f>IFERROR(IF($H108=Lists!$S$6,IF(AND(FORMULACIÓN!L108&gt;K108,K108&gt;0),1,0),IF((K108/FORMULACIÓN!L108)&lt;&gt;0,K108/FORMULACIÓN!L108,0)),"")</f>
        <v>1</v>
      </c>
      <c r="AP108" s="117">
        <f>IFERROR(IF($H108=Lists!$S$6,IF(AND(FORMULACIÓN!M108&gt;L108,L108&gt;0),1,0),IF((L108/FORMULACIÓN!M108)&lt;&gt;0,L108/FORMULACIÓN!M108,0)),"")</f>
        <v>0</v>
      </c>
      <c r="AQ108" s="117">
        <f>IFERROR(IF($H108=Lists!$S$6,IF(AND(FORMULACIÓN!N108&gt;M108,M108&gt;0),1,0),IF((M108/FORMULACIÓN!N108)&lt;&gt;0,M108/FORMULACIÓN!N108,0)),"")</f>
        <v>0</v>
      </c>
      <c r="AR108" s="117">
        <f>IFERROR(IF($H108=Lists!$S$6,IF(AND(FORMULACIÓN!O108&gt;N108,N108&gt;0),1,0),IF((N108/FORMULACIÓN!O108)&lt;&gt;0,N108/FORMULACIÓN!O108,0)),"")</f>
        <v>0</v>
      </c>
      <c r="AS108" s="110"/>
      <c r="AT108" s="118" t="str">
        <f ca="1">IF($H108=Lists!$S$6,TEXT(COUNTIF('SEGUIMIENTO Y EVALUACIÓN'!K108:N108,"&lt;"&amp;FORMULACIÓN!Q108),"##.###")&amp;" / "&amp;TEXT(COUNTIF('SEGUIMIENTO Y EVALUACIÓN'!K108:N108,"&gt;"&amp;0),"##.###"),IF($G108=Lists!$R$3,TEXT('SEGUIMIENTO Y EVALUACIÓN'!O108,"00,00%")&amp;" / "&amp;TEXT(FORMULACIÓN!P108,"00,00%"),IF('SEGUIMIENTO Y EVALUACIÓN'!O108=0,0,TEXT('SEGUIMIENTO Y EVALUACIÓN'!O108,"##.###")&amp;" / "&amp;TEXT(FORMULACIÓN!P108,"##.###"))))</f>
        <v>50,00% / 100,00%</v>
      </c>
      <c r="AU108" s="57">
        <f ca="1">IFERROR(IF((P108/FORMULACIÓN!Q108)&lt;&gt;0,IF($H108=Lists!$S$6,COUNTIF('SEGUIMIENTO Y EVALUACIÓN'!K108:N108,"&lt;"&amp;FORMULACIÓN!Q108),'SEGUIMIENTO Y EVALUACIÓN'!P108)/IF($H108=Lists!$S$6,COUNTIF('SEGUIMIENTO Y EVALUACIÓN'!K108:N108,"&gt;"&amp;0),FORMULACIÓN!P108),0),0)</f>
        <v>0.5</v>
      </c>
      <c r="AV108" s="93">
        <f t="shared" ca="1" si="15"/>
        <v>1.2500000000000001E-2</v>
      </c>
      <c r="AW108" s="93" cm="1">
        <f t="array" ref="AW108">IF(INDEX(AO108:AU108,1,$AV$3)&gt;1,IF($AU$2=1,1,INDEX(AO108:AU108,1,$AV$3)),INDEX(AO108:AU108,1,$AV$3))</f>
        <v>1</v>
      </c>
      <c r="AX108"/>
      <c r="AY108" s="119" t="str">
        <f>IFERROR(IF((W108/FORMULACIÓN!X108)&lt;&gt;0,W108/FORMULACIÓN!X108,0),"")</f>
        <v/>
      </c>
      <c r="AZ108" s="119" t="str">
        <f>IFERROR(IF((AA108/FORMULACIÓN!AB108)&lt;&gt;0,AA108/FORMULACIÓN!AB108,0),"")</f>
        <v/>
      </c>
      <c r="BA108" s="119" t="str">
        <f>IFERROR(IF((AE108/FORMULACIÓN!AF108)&lt;&gt;0,(AE108/FORMULACIÓN!AF108),0),"")</f>
        <v/>
      </c>
      <c r="BB108" s="119" t="str">
        <f>IFERROR(IF((AI108/FORMULACIÓN!AJ108)&lt;&gt;0,AI108/FORMULACIÓN!AJ108,0),"")</f>
        <v/>
      </c>
      <c r="BC108" s="120" t="str">
        <f>IF('SEGUIMIENTO Y EVALUACIÓN'!AI108=0,0,TEXT('SEGUIMIENTO Y EVALUACIÓN'!AI108,"$ ##.###")&amp;" / "&amp;TEXT(FORMULACIÓN!AK108,"$ ##.###"))</f>
        <v xml:space="preserve"> / $ 611.710.365</v>
      </c>
      <c r="BD108" s="57">
        <f>IFERROR(IF((AJ108/FORMULACIÓN!AK108)&lt;&gt;0,AJ108/FORMULACIÓN!AK108,0),0)</f>
        <v>0</v>
      </c>
      <c r="CL108" s="7"/>
    </row>
    <row r="109" spans="1:90" s="1" customFormat="1" ht="99.95" customHeight="1">
      <c r="A109" s="45">
        <f>IF(FORMULACIÓN!A109="","",FORMULACIÓN!A109)</f>
        <v>98</v>
      </c>
      <c r="B109" s="45" t="str">
        <f>IF(FORMULACIÓN!B109="","",FORMULACIÓN!B109)</f>
        <v>L3 - Impacto regional, Nacional e Internacional desde la Extensión y proyección social</v>
      </c>
      <c r="C109" s="45" t="str">
        <f>IF(FORMULACIÓN!E109="","",FORMULACIÓN!E109)</f>
        <v>M2 - Articulación con el sector productivo y sociedad.</v>
      </c>
      <c r="D109" s="45" t="str">
        <f>IF(FORMULACIÓN!F109="","",FORMULACIÓN!F109)</f>
        <v>Formular e implementar la política de innovación, emprendimiento y transferencia tecnológica y gestionar 30 proyectos de innovación a nivel nacional e internacional, y aportar 7 productos de transferencia tecnológica</v>
      </c>
      <c r="E109" s="45" t="str">
        <f>IF(FORMULACIÓN!G109="","",FORMULACIÓN!G109)</f>
        <v>Transferencias tecnológicas al sector público y/o privado</v>
      </c>
      <c r="F109" s="45" t="str">
        <f>IF(FORMULACIÓN!H109="","",FORMULACIÓN!H109)</f>
        <v>N° de tecnologías transferidas al sector público y/o privado</v>
      </c>
      <c r="G109" s="45" t="str">
        <f>IF(FORMULACIÓN!I109="","",FORMULACIÓN!I109)</f>
        <v>Unidad</v>
      </c>
      <c r="H109" s="45" t="str">
        <f>IF(FORMULACIÓN!J109="","",FORMULACIÓN!J109)</f>
        <v>Nuevo gestionado durante la vigencia</v>
      </c>
      <c r="I109" s="188" t="str">
        <f ca="1">IF($G109=Lists!$R$3,"PDI: "&amp;TEXT(FORMULACIÓN!Q109,"00,00%")&amp;CHAR(10)&amp;CHAR(10)&amp;"T1: "&amp;TEXT(FORMULACIÓN!L109,"00,00%")&amp;CHAR(10)&amp;"T2: "&amp;TEXT(FORMULACIÓN!M109,"00,00%")&amp;CHAR(10)&amp;"T3: "&amp;TEXT(FORMULACIÓN!N109,"00,00%")&amp;CHAR(10)&amp;"Tn: "&amp;TEXT(FORMULACIÓN!O109,"00,00%"),IF(FORMULACIÓN!Q109=0,0,"PDI: "&amp;TEXT(FORMULACIÓN!Q109,"##.###")&amp;CHAR(10)&amp;CHAR(10)&amp;"T1: "&amp;TEXT(FORMULACIÓN!L109,"##.###")&amp;CHAR(10)&amp;"T2: "&amp;TEXT(FORMULACIÓN!M109,"##.###")&amp;CHAR(10)&amp;"T3: "&amp;TEXT(FORMULACIÓN!N109,"##.###")&amp;CHAR(10)&amp;"Tn: "&amp;TEXT(FORMULACIÓN!O109,"##.###")))</f>
        <v>PDI: 7
T1: 2
T2: 2
T3: 2
Tn: 1</v>
      </c>
      <c r="J109" s="122">
        <f>IF(FORMULACIÓN!K109&lt;&gt;"",FORMULACIÓN!K109,"")</f>
        <v>3</v>
      </c>
      <c r="K109" s="310">
        <v>7</v>
      </c>
      <c r="L109" s="58"/>
      <c r="M109" s="58"/>
      <c r="N109" s="58"/>
      <c r="O109" s="47">
        <f ca="1">IFERROR(IF($H109=Lists!$S$2,SUM('SEGUIMIENTO Y EVALUACIÓN'!J109:N109),IF('SEGUIMIENTO Y EVALUACIÓN'!$H109=Lists!$S$3,SUM('SEGUIMIENTO Y EVALUACIÓN'!K109:N109),IF('SEGUIMIENTO Y EVALUACIÓN'!$H109=Lists!$S$4,AVERAGE('SEGUIMIENTO Y EVALUACIÓN'!K109:N109),IF('SEGUIMIENTO Y EVALUACIÓN'!$H109=Lists!$S$5,OFFSET(J109,0,COUNTA(K109:N109)),IF($H109=Lists!$S$6,COUNTIF(K109:N109,"&lt;"&amp;FORMULACIÓN!Q109)/COUNT('SEGUIMIENTO Y EVALUACIÓN'!K109:N109),""))))),"")</f>
        <v>7</v>
      </c>
      <c r="P109" s="51" t="str">
        <f ca="1">IF($G109=Lists!$R$3,TEXT('SEGUIMIENTO Y EVALUACIÓN'!O109,"00,00%"),IF('SEGUIMIENTO Y EVALUACIÓN'!O109=0,0,TEXT('SEGUIMIENTO Y EVALUACIÓN'!O109,"##.###")))</f>
        <v>7</v>
      </c>
      <c r="Q109" s="209" t="str">
        <f>IF(FORMULACIÓN!R109&lt;&gt;"",FORMULACIÓN!R109,"")</f>
        <v>P2 - Fortalecimiento de la gestión de la Innovación y emprendimiento</v>
      </c>
      <c r="R109" s="209">
        <f>IF(FORMULACIÓN!S109&lt;&gt;"",FORMULACIÓN!S109,"")</f>
        <v>2.5000000000000001E-2</v>
      </c>
      <c r="S109" s="209" t="str">
        <f>IF(FORMULACIÓN!T109&lt;&gt;"",FORMULACIÓN!T109,"")</f>
        <v>Vicerrector de Investigación, Extensión y Proyección Social</v>
      </c>
      <c r="T109" s="42"/>
      <c r="U109" s="42"/>
      <c r="V109" s="42"/>
      <c r="W109" s="43" t="str">
        <f t="shared" si="9"/>
        <v/>
      </c>
      <c r="X109" s="42"/>
      <c r="Y109" s="42"/>
      <c r="Z109" s="42"/>
      <c r="AA109" s="43" t="str">
        <f t="shared" si="10"/>
        <v/>
      </c>
      <c r="AB109" s="42"/>
      <c r="AC109" s="42"/>
      <c r="AD109" s="42"/>
      <c r="AE109" s="43" t="str">
        <f t="shared" si="11"/>
        <v/>
      </c>
      <c r="AF109" s="42"/>
      <c r="AG109" s="42"/>
      <c r="AH109" s="42"/>
      <c r="AI109" s="46" t="str">
        <f t="shared" si="12"/>
        <v/>
      </c>
      <c r="AJ109" s="46" t="str">
        <f>IF(SUM(AA109,AE109,W109,AI109)=0,"",SUM((AA109,AE109,W109,AI109)))</f>
        <v/>
      </c>
      <c r="AK109"/>
      <c r="AL109" s="1" t="str">
        <f t="shared" si="16"/>
        <v>L3M2P2</v>
      </c>
      <c r="AM109" s="56" t="str">
        <f t="shared" si="17"/>
        <v>Transferencias tecnológicas al sector público y/o privado</v>
      </c>
      <c r="AN109" s="112" t="str">
        <f ca="1">IF($G109=Lists!$R$3,"T1: "&amp;TEXT(FORMULACIÓN!L109,"00,00%")&amp;CHAR(10)&amp;"T2: "&amp;TEXT(FORMULACIÓN!M109,"00,00%")&amp;CHAR(10)&amp;"T3: "&amp;TEXT(FORMULACIÓN!N109,"00,00%")&amp;CHAR(10)&amp;"Tn: "&amp;TEXT(FORMULACIÓN!O109,"00,00%"),IF(FORMULACIÓN!Q109=0,0,"T1: "&amp;TEXT(FORMULACIÓN!L109,"##.###")&amp;CHAR(10)&amp;"T2: "&amp;TEXT(FORMULACIÓN!M109,"##.###")&amp;CHAR(10)&amp;"T3: "&amp;TEXT(FORMULACIÓN!N109,"##.###")&amp;CHAR(10)&amp;"Tn: "&amp;TEXT(FORMULACIÓN!O109,"##.###")))</f>
        <v>T1: 2
T2: 2
T3: 2
Tn: 1</v>
      </c>
      <c r="AO109" s="117">
        <f>IFERROR(IF($H109=Lists!$S$6,IF(AND(FORMULACIÓN!L109&gt;K109,K109&gt;0),1,0),IF((K109/FORMULACIÓN!L109)&lt;&gt;0,K109/FORMULACIÓN!L109,0)),"")</f>
        <v>3.5</v>
      </c>
      <c r="AP109" s="117">
        <f>IFERROR(IF($H109=Lists!$S$6,IF(AND(FORMULACIÓN!M109&gt;L109,L109&gt;0),1,0),IF((L109/FORMULACIÓN!M109)&lt;&gt;0,L109/FORMULACIÓN!M109,0)),"")</f>
        <v>0</v>
      </c>
      <c r="AQ109" s="117">
        <f>IFERROR(IF($H109=Lists!$S$6,IF(AND(FORMULACIÓN!N109&gt;M109,M109&gt;0),1,0),IF((M109/FORMULACIÓN!N109)&lt;&gt;0,M109/FORMULACIÓN!N109,0)),"")</f>
        <v>0</v>
      </c>
      <c r="AR109" s="117">
        <f>IFERROR(IF($H109=Lists!$S$6,IF(AND(FORMULACIÓN!O109&gt;N109,N109&gt;0),1,0),IF((N109/FORMULACIÓN!O109)&lt;&gt;0,N109/FORMULACIÓN!O109,0)),"")</f>
        <v>0</v>
      </c>
      <c r="AS109" s="110"/>
      <c r="AT109" s="118" t="str">
        <f ca="1">IF($H109=Lists!$S$6,TEXT(COUNTIF('SEGUIMIENTO Y EVALUACIÓN'!K109:N109,"&lt;"&amp;FORMULACIÓN!Q109),"##.###")&amp;" / "&amp;TEXT(COUNTIF('SEGUIMIENTO Y EVALUACIÓN'!K109:N109,"&gt;"&amp;0),"##.###"),IF($G109=Lists!$R$3,TEXT('SEGUIMIENTO Y EVALUACIÓN'!O109,"00,00%")&amp;" / "&amp;TEXT(FORMULACIÓN!P109,"00,00%"),IF('SEGUIMIENTO Y EVALUACIÓN'!O109=0,0,TEXT('SEGUIMIENTO Y EVALUACIÓN'!O109,"##.###")&amp;" / "&amp;TEXT(FORMULACIÓN!P109,"##.###"))))</f>
        <v>7 / 7</v>
      </c>
      <c r="AU109" s="57">
        <f ca="1">IFERROR(IF((P109/FORMULACIÓN!Q109)&lt;&gt;0,IF($H109=Lists!$S$6,COUNTIF('SEGUIMIENTO Y EVALUACIÓN'!K109:N109,"&lt;"&amp;FORMULACIÓN!Q109),'SEGUIMIENTO Y EVALUACIÓN'!P109)/IF($H109=Lists!$S$6,COUNTIF('SEGUIMIENTO Y EVALUACIÓN'!K109:N109,"&gt;"&amp;0),FORMULACIÓN!P109),0),0)</f>
        <v>1</v>
      </c>
      <c r="AV109" s="93">
        <f t="shared" ca="1" si="15"/>
        <v>2.5000000000000001E-2</v>
      </c>
      <c r="AW109" s="93" cm="1">
        <f t="array" ref="AW109">IF(INDEX(AO109:AU109,1,$AV$3)&gt;1,IF($AU$2=1,1,INDEX(AO109:AU109,1,$AV$3)),INDEX(AO109:AU109,1,$AV$3))</f>
        <v>1</v>
      </c>
      <c r="AX109"/>
      <c r="AY109" s="119" t="str">
        <f>IFERROR(IF((W109/FORMULACIÓN!X109)&lt;&gt;0,W109/FORMULACIÓN!X109,0),"")</f>
        <v/>
      </c>
      <c r="AZ109" s="119" t="str">
        <f>IFERROR(IF((AA109/FORMULACIÓN!AB109)&lt;&gt;0,AA109/FORMULACIÓN!AB109,0),"")</f>
        <v/>
      </c>
      <c r="BA109" s="119" t="str">
        <f>IFERROR(IF((AE109/FORMULACIÓN!AF109)&lt;&gt;0,(AE109/FORMULACIÓN!AF109),0),"")</f>
        <v/>
      </c>
      <c r="BB109" s="119" t="str">
        <f>IFERROR(IF((AI109/FORMULACIÓN!AJ109)&lt;&gt;0,AI109/FORMULACIÓN!AJ109,0),"")</f>
        <v/>
      </c>
      <c r="BC109" s="120" t="str">
        <f>IF('SEGUIMIENTO Y EVALUACIÓN'!AI109=0,0,TEXT('SEGUIMIENTO Y EVALUACIÓN'!AI109,"$ ##.###")&amp;" / "&amp;TEXT(FORMULACIÓN!AK109,"$ ##.###"))</f>
        <v xml:space="preserve"> / $ 1.631.227.639</v>
      </c>
      <c r="BD109" s="57">
        <f>IFERROR(IF((AJ109/FORMULACIÓN!AK109)&lt;&gt;0,AJ109/FORMULACIÓN!AK109,0),0)</f>
        <v>0</v>
      </c>
      <c r="CL109" s="7"/>
    </row>
    <row r="110" spans="1:90" s="1" customFormat="1" ht="99.95" customHeight="1">
      <c r="A110" s="45">
        <f>IF(FORMULACIÓN!A110="","",FORMULACIÓN!A110)</f>
        <v>99</v>
      </c>
      <c r="B110" s="45" t="str">
        <f>IF(FORMULACIÓN!B110="","",FORMULACIÓN!B110)</f>
        <v>L3 - Impacto regional, Nacional e Internacional desde la Extensión y proyección social</v>
      </c>
      <c r="C110" s="45" t="str">
        <f>IF(FORMULACIÓN!E110="","",FORMULACIÓN!E110)</f>
        <v>M2 - Articulación con el sector productivo y sociedad.</v>
      </c>
      <c r="D110" s="45" t="str">
        <f>IF(FORMULACIÓN!F110="","",FORMULACIÓN!F110)</f>
        <v>Formular e implementar la política de innovación, emprendimiento y transferencia tecnológica y gestionar 30 proyectos de innovación a nivel nacional e internacional, y aportar 7 productos de transferencia tecnológica</v>
      </c>
      <c r="E110" s="45" t="str">
        <f>IF(FORMULACIÓN!G110="","",FORMULACIÓN!G110)</f>
        <v>Proyectos de innovación y desarrollo tecnológico gestionados</v>
      </c>
      <c r="F110" s="45" t="str">
        <f>IF(FORMULACIÓN!H110="","",FORMULACIÓN!H110)</f>
        <v>N° de proyectos de innovación y desarrollo tecnológico gestionados</v>
      </c>
      <c r="G110" s="45" t="str">
        <f>IF(FORMULACIÓN!I110="","",FORMULACIÓN!I110)</f>
        <v>Unidad</v>
      </c>
      <c r="H110" s="45" t="str">
        <f>IF(FORMULACIÓN!J110="","",FORMULACIÓN!J110)</f>
        <v>Nuevo gestionado durante la vigencia</v>
      </c>
      <c r="I110" s="188" t="str">
        <f ca="1">IF($G110=Lists!$R$3,"PDI: "&amp;TEXT(FORMULACIÓN!Q110,"00,00%")&amp;CHAR(10)&amp;CHAR(10)&amp;"T1: "&amp;TEXT(FORMULACIÓN!L110,"00,00%")&amp;CHAR(10)&amp;"T2: "&amp;TEXT(FORMULACIÓN!M110,"00,00%")&amp;CHAR(10)&amp;"T3: "&amp;TEXT(FORMULACIÓN!N110,"00,00%")&amp;CHAR(10)&amp;"Tn: "&amp;TEXT(FORMULACIÓN!O110,"00,00%"),IF(FORMULACIÓN!Q110=0,0,"PDI: "&amp;TEXT(FORMULACIÓN!Q110,"##.###")&amp;CHAR(10)&amp;CHAR(10)&amp;"T1: "&amp;TEXT(FORMULACIÓN!L110,"##.###")&amp;CHAR(10)&amp;"T2: "&amp;TEXT(FORMULACIÓN!M110,"##.###")&amp;CHAR(10)&amp;"T3: "&amp;TEXT(FORMULACIÓN!N110,"##.###")&amp;CHAR(10)&amp;"Tn: "&amp;TEXT(FORMULACIÓN!O110,"##.###")))</f>
        <v>PDI: 30
T1: 9
T2: 9
T3: 9
Tn: 3</v>
      </c>
      <c r="J110" s="122">
        <f>IF(FORMULACIÓN!K110&lt;&gt;"",FORMULACIÓN!K110,"")</f>
        <v>15</v>
      </c>
      <c r="K110" s="310">
        <v>15</v>
      </c>
      <c r="L110" s="58"/>
      <c r="M110" s="58"/>
      <c r="N110" s="58"/>
      <c r="O110" s="47">
        <f ca="1">IFERROR(IF($H110=Lists!$S$2,SUM('SEGUIMIENTO Y EVALUACIÓN'!J110:N110),IF('SEGUIMIENTO Y EVALUACIÓN'!$H110=Lists!$S$3,SUM('SEGUIMIENTO Y EVALUACIÓN'!K110:N110),IF('SEGUIMIENTO Y EVALUACIÓN'!$H110=Lists!$S$4,AVERAGE('SEGUIMIENTO Y EVALUACIÓN'!K110:N110),IF('SEGUIMIENTO Y EVALUACIÓN'!$H110=Lists!$S$5,OFFSET(J110,0,COUNTA(K110:N110)),IF($H110=Lists!$S$6,COUNTIF(K110:N110,"&lt;"&amp;FORMULACIÓN!Q110)/COUNT('SEGUIMIENTO Y EVALUACIÓN'!K110:N110),""))))),"")</f>
        <v>15</v>
      </c>
      <c r="P110" s="51" t="str">
        <f ca="1">IF($G110=Lists!$R$3,TEXT('SEGUIMIENTO Y EVALUACIÓN'!O110,"00,00%"),IF('SEGUIMIENTO Y EVALUACIÓN'!O110=0,0,TEXT('SEGUIMIENTO Y EVALUACIÓN'!O110,"##.###")))</f>
        <v>15</v>
      </c>
      <c r="Q110" s="209" t="str">
        <f>IF(FORMULACIÓN!R110&lt;&gt;"",FORMULACIÓN!R110,"")</f>
        <v>P2 - Fortalecimiento de la gestión de la Innovación y emprendimiento</v>
      </c>
      <c r="R110" s="209">
        <f>IF(FORMULACIÓN!S110&lt;&gt;"",FORMULACIÓN!S110,"")</f>
        <v>2.5000000000000001E-2</v>
      </c>
      <c r="S110" s="209" t="str">
        <f>IF(FORMULACIÓN!T110&lt;&gt;"",FORMULACIÓN!T110,"")</f>
        <v>Vicerrector de Investigación, Extensión y Proyección Social</v>
      </c>
      <c r="T110" s="42"/>
      <c r="U110" s="42"/>
      <c r="V110" s="42"/>
      <c r="W110" s="43" t="str">
        <f t="shared" si="9"/>
        <v/>
      </c>
      <c r="X110" s="42"/>
      <c r="Y110" s="42"/>
      <c r="Z110" s="42"/>
      <c r="AA110" s="43" t="str">
        <f t="shared" si="10"/>
        <v/>
      </c>
      <c r="AB110" s="42"/>
      <c r="AC110" s="42"/>
      <c r="AD110" s="42"/>
      <c r="AE110" s="43" t="str">
        <f t="shared" si="11"/>
        <v/>
      </c>
      <c r="AF110" s="42"/>
      <c r="AG110" s="42"/>
      <c r="AH110" s="42"/>
      <c r="AI110" s="46" t="str">
        <f t="shared" si="12"/>
        <v/>
      </c>
      <c r="AJ110" s="46" t="str">
        <f>IF(SUM(AA110,AE110,W110,AI110)=0,"",SUM((AA110,AE110,W110,AI110)))</f>
        <v/>
      </c>
      <c r="AK110"/>
      <c r="AL110" s="1" t="str">
        <f t="shared" si="16"/>
        <v>L3M2P2</v>
      </c>
      <c r="AM110" s="56" t="str">
        <f t="shared" si="17"/>
        <v>Proyectos de innovación y desarrollo tecnológico gestionados</v>
      </c>
      <c r="AN110" s="112" t="str">
        <f ca="1">IF($G110=Lists!$R$3,"T1: "&amp;TEXT(FORMULACIÓN!L110,"00,00%")&amp;CHAR(10)&amp;"T2: "&amp;TEXT(FORMULACIÓN!M110,"00,00%")&amp;CHAR(10)&amp;"T3: "&amp;TEXT(FORMULACIÓN!N110,"00,00%")&amp;CHAR(10)&amp;"Tn: "&amp;TEXT(FORMULACIÓN!O110,"00,00%"),IF(FORMULACIÓN!Q110=0,0,"T1: "&amp;TEXT(FORMULACIÓN!L110,"##.###")&amp;CHAR(10)&amp;"T2: "&amp;TEXT(FORMULACIÓN!M110,"##.###")&amp;CHAR(10)&amp;"T3: "&amp;TEXT(FORMULACIÓN!N110,"##.###")&amp;CHAR(10)&amp;"Tn: "&amp;TEXT(FORMULACIÓN!O110,"##.###")))</f>
        <v>T1: 9
T2: 9
T3: 9
Tn: 3</v>
      </c>
      <c r="AO110" s="117">
        <f>IFERROR(IF($H110=Lists!$S$6,IF(AND(FORMULACIÓN!L110&gt;K110,K110&gt;0),1,0),IF((K110/FORMULACIÓN!L110)&lt;&gt;0,K110/FORMULACIÓN!L110,0)),"")</f>
        <v>1.6666666666666667</v>
      </c>
      <c r="AP110" s="117">
        <f>IFERROR(IF($H110=Lists!$S$6,IF(AND(FORMULACIÓN!M110&gt;L110,L110&gt;0),1,0),IF((L110/FORMULACIÓN!M110)&lt;&gt;0,L110/FORMULACIÓN!M110,0)),"")</f>
        <v>0</v>
      </c>
      <c r="AQ110" s="117">
        <f>IFERROR(IF($H110=Lists!$S$6,IF(AND(FORMULACIÓN!N110&gt;M110,M110&gt;0),1,0),IF((M110/FORMULACIÓN!N110)&lt;&gt;0,M110/FORMULACIÓN!N110,0)),"")</f>
        <v>0</v>
      </c>
      <c r="AR110" s="117">
        <f>IFERROR(IF($H110=Lists!$S$6,IF(AND(FORMULACIÓN!O110&gt;N110,N110&gt;0),1,0),IF((N110/FORMULACIÓN!O110)&lt;&gt;0,N110/FORMULACIÓN!O110,0)),"")</f>
        <v>0</v>
      </c>
      <c r="AS110" s="110"/>
      <c r="AT110" s="118" t="str">
        <f ca="1">IF($H110=Lists!$S$6,TEXT(COUNTIF('SEGUIMIENTO Y EVALUACIÓN'!K110:N110,"&lt;"&amp;FORMULACIÓN!Q110),"##.###")&amp;" / "&amp;TEXT(COUNTIF('SEGUIMIENTO Y EVALUACIÓN'!K110:N110,"&gt;"&amp;0),"##.###"),IF($G110=Lists!$R$3,TEXT('SEGUIMIENTO Y EVALUACIÓN'!O110,"00,00%")&amp;" / "&amp;TEXT(FORMULACIÓN!P110,"00,00%"),IF('SEGUIMIENTO Y EVALUACIÓN'!O110=0,0,TEXT('SEGUIMIENTO Y EVALUACIÓN'!O110,"##.###")&amp;" / "&amp;TEXT(FORMULACIÓN!P110,"##.###"))))</f>
        <v>15 / 30</v>
      </c>
      <c r="AU110" s="57">
        <f ca="1">IFERROR(IF((P110/FORMULACIÓN!Q110)&lt;&gt;0,IF($H110=Lists!$S$6,COUNTIF('SEGUIMIENTO Y EVALUACIÓN'!K110:N110,"&lt;"&amp;FORMULACIÓN!Q110),'SEGUIMIENTO Y EVALUACIÓN'!P110)/IF($H110=Lists!$S$6,COUNTIF('SEGUIMIENTO Y EVALUACIÓN'!K110:N110,"&gt;"&amp;0),FORMULACIÓN!P110),0),0)</f>
        <v>0.5</v>
      </c>
      <c r="AV110" s="93">
        <f t="shared" ca="1" si="15"/>
        <v>1.2500000000000001E-2</v>
      </c>
      <c r="AW110" s="93" cm="1">
        <f t="array" ref="AW110">IF(INDEX(AO110:AU110,1,$AV$3)&gt;1,IF($AU$2=1,1,INDEX(AO110:AU110,1,$AV$3)),INDEX(AO110:AU110,1,$AV$3))</f>
        <v>1</v>
      </c>
      <c r="AX110"/>
      <c r="AY110" s="119" t="str">
        <f>IFERROR(IF((W110/FORMULACIÓN!X110)&lt;&gt;0,W110/FORMULACIÓN!X110,0),"")</f>
        <v/>
      </c>
      <c r="AZ110" s="119" t="str">
        <f>IFERROR(IF((AA110/FORMULACIÓN!AB110)&lt;&gt;0,AA110/FORMULACIÓN!AB110,0),"")</f>
        <v/>
      </c>
      <c r="BA110" s="119" t="str">
        <f>IFERROR(IF((AE110/FORMULACIÓN!AF110)&lt;&gt;0,(AE110/FORMULACIÓN!AF110),0),"")</f>
        <v/>
      </c>
      <c r="BB110" s="119" t="str">
        <f>IFERROR(IF((AI110/FORMULACIÓN!AJ110)&lt;&gt;0,AI110/FORMULACIÓN!AJ110,0),"")</f>
        <v/>
      </c>
      <c r="BC110" s="120" t="str">
        <f>IF('SEGUIMIENTO Y EVALUACIÓN'!AI110=0,0,TEXT('SEGUIMIENTO Y EVALUACIÓN'!AI110,"$ ##.###")&amp;" / "&amp;TEXT(FORMULACIÓN!AK110,"$ ##.###"))</f>
        <v xml:space="preserve"> / $ 2.446.841.459</v>
      </c>
      <c r="BD110" s="57">
        <f>IFERROR(IF((AJ110/FORMULACIÓN!AK110)&lt;&gt;0,AJ110/FORMULACIÓN!AK110,0),0)</f>
        <v>0</v>
      </c>
      <c r="CL110" s="7"/>
    </row>
    <row r="111" spans="1:90" s="1" customFormat="1" ht="99.95" customHeight="1">
      <c r="A111" s="45">
        <f>IF(FORMULACIÓN!A111="","",FORMULACIÓN!A111)</f>
        <v>100</v>
      </c>
      <c r="B111" s="45" t="str">
        <f>IF(FORMULACIÓN!B111="","",FORMULACIÓN!B111)</f>
        <v>L3 - Impacto regional, Nacional e Internacional desde la Extensión y proyección social</v>
      </c>
      <c r="C111" s="45" t="str">
        <f>IF(FORMULACIÓN!E111="","",FORMULACIÓN!E111)</f>
        <v>M2 - Articulación con el sector productivo y sociedad.</v>
      </c>
      <c r="D111" s="45" t="str">
        <f>IF(FORMULACIÓN!F111="","",FORMULACIÓN!F111)</f>
        <v>Crear el Centro de Emprendimiento UA Emprende para garantizar la sostenibilidad de por lo menos  el 3% de proyectos de emprendimiento.</v>
      </c>
      <c r="E111" s="45" t="str">
        <f>IF(FORMULACIÓN!G111="","",FORMULACIÓN!G111)</f>
        <v>Porcentaje de proyectos de emprendimiento vigentes en el mercado después de 3 años de introducidos</v>
      </c>
      <c r="F111" s="45" t="str">
        <f>IF(FORMULACIÓN!H111="","",FORMULACIÓN!H111)</f>
        <v>N° de proyectos de emprendimiento vigentes después de 3  años por sede / N° proyectos de emprendimiento apoyados por sede * 100</v>
      </c>
      <c r="G111" s="45" t="str">
        <f>IF(FORMULACIÓN!I111="","",FORMULACIÓN!I111)</f>
        <v>Porcentaje</v>
      </c>
      <c r="H111" s="45" t="str">
        <f>IF(FORMULACIÓN!J111="","",FORMULACIÓN!J111)</f>
        <v>Promedio</v>
      </c>
      <c r="I111" s="188" t="str">
        <f ca="1">IF($G111=Lists!$R$3,"PDI: "&amp;TEXT(FORMULACIÓN!Q111,"00,00%")&amp;CHAR(10)&amp;CHAR(10)&amp;"T1: "&amp;TEXT(FORMULACIÓN!L111,"00,00%")&amp;CHAR(10)&amp;"T2: "&amp;TEXT(FORMULACIÓN!M111,"00,00%")&amp;CHAR(10)&amp;"T3: "&amp;TEXT(FORMULACIÓN!N111,"00,00%")&amp;CHAR(10)&amp;"Tn: "&amp;TEXT(FORMULACIÓN!O111,"00,00%"),IF(FORMULACIÓN!Q111=0,0,"PDI: "&amp;TEXT(FORMULACIÓN!Q111,"##.###")&amp;CHAR(10)&amp;CHAR(10)&amp;"T1: "&amp;TEXT(FORMULACIÓN!L111,"##.###")&amp;CHAR(10)&amp;"T2: "&amp;TEXT(FORMULACIÓN!M111,"##.###")&amp;CHAR(10)&amp;"T3: "&amp;TEXT(FORMULACIÓN!N111,"##.###")&amp;CHAR(10)&amp;"Tn: "&amp;TEXT(FORMULACIÓN!O111,"##.###")))</f>
        <v>PDI: 03,00%
T1: 03,00%
T2: 03,00%
T3: 03,00%
Tn: 03,00%</v>
      </c>
      <c r="J111" s="122">
        <f>IF(FORMULACIÓN!K111&lt;&gt;"",FORMULACIÓN!K111,"")</f>
        <v>0</v>
      </c>
      <c r="K111" s="309">
        <v>0</v>
      </c>
      <c r="L111" s="58"/>
      <c r="M111" s="58"/>
      <c r="N111" s="58"/>
      <c r="O111" s="47">
        <f ca="1">IFERROR(IF($H111=Lists!$S$2,SUM('SEGUIMIENTO Y EVALUACIÓN'!J111:N111),IF('SEGUIMIENTO Y EVALUACIÓN'!$H111=Lists!$S$3,SUM('SEGUIMIENTO Y EVALUACIÓN'!K111:N111),IF('SEGUIMIENTO Y EVALUACIÓN'!$H111=Lists!$S$4,AVERAGE('SEGUIMIENTO Y EVALUACIÓN'!K111:N111),IF('SEGUIMIENTO Y EVALUACIÓN'!$H111=Lists!$S$5,OFFSET(J111,0,COUNTA(K111:N111)),IF($H111=Lists!$S$6,COUNTIF(K111:N111,"&lt;"&amp;FORMULACIÓN!Q111)/COUNT('SEGUIMIENTO Y EVALUACIÓN'!K111:N111),""))))),"")</f>
        <v>0</v>
      </c>
      <c r="P111" s="51" t="str">
        <f ca="1">IF($G111=Lists!$R$3,TEXT('SEGUIMIENTO Y EVALUACIÓN'!O111,"00,00%"),IF('SEGUIMIENTO Y EVALUACIÓN'!O111=0,0,TEXT('SEGUIMIENTO Y EVALUACIÓN'!O111,"##.###")))</f>
        <v>00,00%</v>
      </c>
      <c r="Q111" s="209" t="str">
        <f>IF(FORMULACIÓN!R111&lt;&gt;"",FORMULACIÓN!R111,"")</f>
        <v>P2 - Fortalecimiento de la gestión de la Innovación y emprendimiento</v>
      </c>
      <c r="R111" s="209">
        <f>IF(FORMULACIÓN!S111&lt;&gt;"",FORMULACIÓN!S111,"")</f>
        <v>2.5000000000000001E-2</v>
      </c>
      <c r="S111" s="209" t="str">
        <f>IF(FORMULACIÓN!T111&lt;&gt;"",FORMULACIÓN!T111,"")</f>
        <v>Vicerrector de Investigación, Extensión y Proyección Social</v>
      </c>
      <c r="T111" s="42"/>
      <c r="U111" s="42"/>
      <c r="V111" s="42"/>
      <c r="W111" s="43" t="str">
        <f t="shared" si="9"/>
        <v/>
      </c>
      <c r="X111" s="42"/>
      <c r="Y111" s="42"/>
      <c r="Z111" s="42"/>
      <c r="AA111" s="43" t="str">
        <f t="shared" si="10"/>
        <v/>
      </c>
      <c r="AB111" s="42"/>
      <c r="AC111" s="42"/>
      <c r="AD111" s="42"/>
      <c r="AE111" s="43" t="str">
        <f t="shared" si="11"/>
        <v/>
      </c>
      <c r="AF111" s="42"/>
      <c r="AG111" s="42"/>
      <c r="AH111" s="42"/>
      <c r="AI111" s="46" t="str">
        <f t="shared" si="12"/>
        <v/>
      </c>
      <c r="AJ111" s="46" t="str">
        <f>IF(SUM(AA111,AE111,W111,AI111)=0,"",SUM((AA111,AE111,W111,AI111)))</f>
        <v/>
      </c>
      <c r="AK111"/>
      <c r="AL111" s="1" t="str">
        <f t="shared" si="16"/>
        <v>L3M2P2</v>
      </c>
      <c r="AM111" s="56" t="str">
        <f t="shared" si="17"/>
        <v>Porcentaje de proyectos de emprendimiento vigentes en el mercado después de 3 años de introducidos</v>
      </c>
      <c r="AN111" s="112" t="str">
        <f>IF($G111=Lists!$R$3,"T1: "&amp;TEXT(FORMULACIÓN!L111,"00,00%")&amp;CHAR(10)&amp;"T2: "&amp;TEXT(FORMULACIÓN!M111,"00,00%")&amp;CHAR(10)&amp;"T3: "&amp;TEXT(FORMULACIÓN!N111,"00,00%")&amp;CHAR(10)&amp;"Tn: "&amp;TEXT(FORMULACIÓN!O111,"00,00%"),IF(FORMULACIÓN!Q111=0,0,"T1: "&amp;TEXT(FORMULACIÓN!L111,"##.###")&amp;CHAR(10)&amp;"T2: "&amp;TEXT(FORMULACIÓN!M111,"##.###")&amp;CHAR(10)&amp;"T3: "&amp;TEXT(FORMULACIÓN!N111,"##.###")&amp;CHAR(10)&amp;"Tn: "&amp;TEXT(FORMULACIÓN!O111,"##.###")))</f>
        <v>T1: 03,00%
T2: 03,00%
T3: 03,00%
Tn: 03,00%</v>
      </c>
      <c r="AO111" s="117">
        <f>IFERROR(IF($H111=Lists!$S$6,IF(AND(FORMULACIÓN!L111&gt;K111,K111&gt;0),1,0),IF((K111/FORMULACIÓN!L111)&lt;&gt;0,K111/FORMULACIÓN!L111,0)),"")</f>
        <v>0</v>
      </c>
      <c r="AP111" s="117">
        <f>IFERROR(IF($H111=Lists!$S$6,IF(AND(FORMULACIÓN!M111&gt;L111,L111&gt;0),1,0),IF((L111/FORMULACIÓN!M111)&lt;&gt;0,L111/FORMULACIÓN!M111,0)),"")</f>
        <v>0</v>
      </c>
      <c r="AQ111" s="117">
        <f>IFERROR(IF($H111=Lists!$S$6,IF(AND(FORMULACIÓN!N111&gt;M111,M111&gt;0),1,0),IF((M111/FORMULACIÓN!N111)&lt;&gt;0,M111/FORMULACIÓN!N111,0)),"")</f>
        <v>0</v>
      </c>
      <c r="AR111" s="117">
        <f>IFERROR(IF($H111=Lists!$S$6,IF(AND(FORMULACIÓN!O111&gt;N111,N111&gt;0),1,0),IF((N111/FORMULACIÓN!O111)&lt;&gt;0,N111/FORMULACIÓN!O111,0)),"")</f>
        <v>0</v>
      </c>
      <c r="AS111" s="110"/>
      <c r="AT111" s="118" t="str">
        <f ca="1">IF($H111=Lists!$S$6,TEXT(COUNTIF('SEGUIMIENTO Y EVALUACIÓN'!K111:N111,"&lt;"&amp;FORMULACIÓN!Q111),"##.###")&amp;" / "&amp;TEXT(COUNTIF('SEGUIMIENTO Y EVALUACIÓN'!K111:N111,"&gt;"&amp;0),"##.###"),IF($G111=Lists!$R$3,TEXT('SEGUIMIENTO Y EVALUACIÓN'!O111,"00,00%")&amp;" / "&amp;TEXT(FORMULACIÓN!P111,"00,00%"),IF('SEGUIMIENTO Y EVALUACIÓN'!O111=0,0,TEXT('SEGUIMIENTO Y EVALUACIÓN'!O111,"##.###")&amp;" / "&amp;TEXT(FORMULACIÓN!P111,"##.###"))))</f>
        <v>00,00% / 03,00%</v>
      </c>
      <c r="AU111" s="57">
        <f ca="1">IFERROR(IF((P111/FORMULACIÓN!Q111)&lt;&gt;0,IF($H111=Lists!$S$6,COUNTIF('SEGUIMIENTO Y EVALUACIÓN'!K111:N111,"&lt;"&amp;FORMULACIÓN!Q111),'SEGUIMIENTO Y EVALUACIÓN'!P111)/IF($H111=Lists!$S$6,COUNTIF('SEGUIMIENTO Y EVALUACIÓN'!K111:N111,"&gt;"&amp;0),FORMULACIÓN!P111),0),0)</f>
        <v>0</v>
      </c>
      <c r="AV111" s="93">
        <f t="shared" ca="1" si="15"/>
        <v>0</v>
      </c>
      <c r="AW111" s="93" cm="1">
        <f t="array" ref="AW111">IF(INDEX(AO111:AU111,1,$AV$3)&gt;1,IF($AU$2=1,1,INDEX(AO111:AU111,1,$AV$3)),INDEX(AO111:AU111,1,$AV$3))</f>
        <v>0</v>
      </c>
      <c r="AX111"/>
      <c r="AY111" s="119" t="str">
        <f>IFERROR(IF((W111/FORMULACIÓN!X111)&lt;&gt;0,W111/FORMULACIÓN!X111,0),"")</f>
        <v/>
      </c>
      <c r="AZ111" s="119" t="str">
        <f>IFERROR(IF((AA111/FORMULACIÓN!AB111)&lt;&gt;0,AA111/FORMULACIÓN!AB111,0),"")</f>
        <v/>
      </c>
      <c r="BA111" s="119" t="str">
        <f>IFERROR(IF((AE111/FORMULACIÓN!AF111)&lt;&gt;0,(AE111/FORMULACIÓN!AF111),0),"")</f>
        <v/>
      </c>
      <c r="BB111" s="119" t="str">
        <f>IFERROR(IF((AI111/FORMULACIÓN!AJ111)&lt;&gt;0,AI111/FORMULACIÓN!AJ111,0),"")</f>
        <v/>
      </c>
      <c r="BC111" s="120" t="str">
        <f>IF('SEGUIMIENTO Y EVALUACIÓN'!AI111=0,0,TEXT('SEGUIMIENTO Y EVALUACIÓN'!AI111,"$ ##.###")&amp;" / "&amp;TEXT(FORMULACIÓN!AK111,"$ ##.###"))</f>
        <v xml:space="preserve"> / $ 4.689.779.462</v>
      </c>
      <c r="BD111" s="57">
        <f>IFERROR(IF((AJ111/FORMULACIÓN!AK111)&lt;&gt;0,AJ111/FORMULACIÓN!AK111,0),0)</f>
        <v>0</v>
      </c>
      <c r="CL111" s="7"/>
    </row>
    <row r="112" spans="1:90" s="1" customFormat="1" ht="99.95" customHeight="1">
      <c r="A112" s="45">
        <f>IF(FORMULACIÓN!A112="","",FORMULACIÓN!A112)</f>
        <v>101</v>
      </c>
      <c r="B112" s="45" t="str">
        <f>IF(FORMULACIÓN!B112="","",FORMULACIÓN!B112)</f>
        <v>L3 - Impacto regional, Nacional e Internacional desde la Extensión y proyección social</v>
      </c>
      <c r="C112" s="45" t="str">
        <f>IF(FORMULACIÓN!E112="","",FORMULACIÓN!E112)</f>
        <v>M2 - Articulación con el sector productivo y sociedad.</v>
      </c>
      <c r="D112" s="45" t="str">
        <f>IF(FORMULACIÓN!F112="","",FORMULACIÓN!F112)</f>
        <v>Crear el Centro de Emprendimiento UA Emprende para garantizar la sostenibilidad de por lo menos  el 3% de proyectos de emprendimiento.</v>
      </c>
      <c r="E112" s="45" t="str">
        <f>IF(FORMULACIÓN!G112="","",FORMULACIÓN!G112)</f>
        <v>Constitución del Centro de Emprendimiento UA</v>
      </c>
      <c r="F112" s="45" t="str">
        <f>IF(FORMULACIÓN!H112="","",FORMULACIÓN!H112)</f>
        <v>Centro de Emprendimiento UA puesto en marcha</v>
      </c>
      <c r="G112" s="45" t="str">
        <f>IF(FORMULACIÓN!I112="","",FORMULACIÓN!I112)</f>
        <v>Unidad</v>
      </c>
      <c r="H112" s="45" t="str">
        <f>IF(FORMULACIÓN!J112="","",FORMULACIÓN!J112)</f>
        <v>Nuevo gestionado durante la vigencia</v>
      </c>
      <c r="I112" s="188" t="str">
        <f ca="1">IF($G112=Lists!$R$3,"PDI: "&amp;TEXT(FORMULACIÓN!Q112,"00,00%")&amp;CHAR(10)&amp;CHAR(10)&amp;"T1: "&amp;TEXT(FORMULACIÓN!L112,"00,00%")&amp;CHAR(10)&amp;"T2: "&amp;TEXT(FORMULACIÓN!M112,"00,00%")&amp;CHAR(10)&amp;"T3: "&amp;TEXT(FORMULACIÓN!N112,"00,00%")&amp;CHAR(10)&amp;"Tn: "&amp;TEXT(FORMULACIÓN!O112,"00,00%"),IF(FORMULACIÓN!Q112=0,0,"PDI: "&amp;TEXT(FORMULACIÓN!Q112,"##.###")&amp;CHAR(10)&amp;CHAR(10)&amp;"T1: "&amp;TEXT(FORMULACIÓN!L112,"##.###")&amp;CHAR(10)&amp;"T2: "&amp;TEXT(FORMULACIÓN!M112,"##.###")&amp;CHAR(10)&amp;"T3: "&amp;TEXT(FORMULACIÓN!N112,"##.###")&amp;CHAR(10)&amp;"Tn: "&amp;TEXT(FORMULACIÓN!O112,"##.###")))</f>
        <v xml:space="preserve">PDI: 1
T1: 
T2: 1
T3: 
Tn: </v>
      </c>
      <c r="J112" s="122">
        <f>IF(FORMULACIÓN!K112&lt;&gt;"",FORMULACIÓN!K112,"")</f>
        <v>0</v>
      </c>
      <c r="K112" s="310">
        <v>0</v>
      </c>
      <c r="L112" s="58"/>
      <c r="M112" s="58"/>
      <c r="N112" s="58"/>
      <c r="O112" s="47">
        <f ca="1">IFERROR(IF($H112=Lists!$S$2,SUM('SEGUIMIENTO Y EVALUACIÓN'!J112:N112),IF('SEGUIMIENTO Y EVALUACIÓN'!$H112=Lists!$S$3,SUM('SEGUIMIENTO Y EVALUACIÓN'!K112:N112),IF('SEGUIMIENTO Y EVALUACIÓN'!$H112=Lists!$S$4,AVERAGE('SEGUIMIENTO Y EVALUACIÓN'!K112:N112),IF('SEGUIMIENTO Y EVALUACIÓN'!$H112=Lists!$S$5,OFFSET(J112,0,COUNTA(K112:N112)),IF($H112=Lists!$S$6,COUNTIF(K112:N112,"&lt;"&amp;FORMULACIÓN!Q112)/COUNT('SEGUIMIENTO Y EVALUACIÓN'!K112:N112),""))))),"")</f>
        <v>0</v>
      </c>
      <c r="P112" s="51">
        <f ca="1">IF($G112=Lists!$R$3,TEXT('SEGUIMIENTO Y EVALUACIÓN'!O112,"00,00%"),IF('SEGUIMIENTO Y EVALUACIÓN'!O112=0,0,TEXT('SEGUIMIENTO Y EVALUACIÓN'!O112,"##.###")))</f>
        <v>0</v>
      </c>
      <c r="Q112" s="209" t="str">
        <f>IF(FORMULACIÓN!R112&lt;&gt;"",FORMULACIÓN!R112,"")</f>
        <v>P2 - Fortalecimiento de la gestión de la Innovación y emprendimiento</v>
      </c>
      <c r="R112" s="209">
        <f>IF(FORMULACIÓN!S112&lt;&gt;"",FORMULACIÓN!S112,"")</f>
        <v>2.5000000000000001E-2</v>
      </c>
      <c r="S112" s="209" t="str">
        <f>IF(FORMULACIÓN!T112&lt;&gt;"",FORMULACIÓN!T112,"")</f>
        <v>Vicerrector de Investigación, Extensión y Proyección Social</v>
      </c>
      <c r="T112" s="42"/>
      <c r="U112" s="42"/>
      <c r="V112" s="42"/>
      <c r="W112" s="43" t="str">
        <f t="shared" si="9"/>
        <v/>
      </c>
      <c r="X112" s="42"/>
      <c r="Y112" s="42"/>
      <c r="Z112" s="42"/>
      <c r="AA112" s="43" t="str">
        <f t="shared" si="10"/>
        <v/>
      </c>
      <c r="AB112" s="42"/>
      <c r="AC112" s="42"/>
      <c r="AD112" s="42"/>
      <c r="AE112" s="43" t="str">
        <f t="shared" si="11"/>
        <v/>
      </c>
      <c r="AF112" s="42"/>
      <c r="AG112" s="42"/>
      <c r="AH112" s="42"/>
      <c r="AI112" s="46" t="str">
        <f t="shared" si="12"/>
        <v/>
      </c>
      <c r="AJ112" s="46" t="str">
        <f>IF(SUM(AA112,AE112,W112,AI112)=0,"",SUM((AA112,AE112,W112,AI112)))</f>
        <v/>
      </c>
      <c r="AK112"/>
      <c r="AL112" s="1" t="str">
        <f t="shared" si="16"/>
        <v>L3M2P2</v>
      </c>
      <c r="AM112" s="56" t="str">
        <f t="shared" si="17"/>
        <v>Constitución del Centro de Emprendimiento UA</v>
      </c>
      <c r="AN112" s="112" t="str">
        <f ca="1">IF($G112=Lists!$R$3,"T1: "&amp;TEXT(FORMULACIÓN!L112,"00,00%")&amp;CHAR(10)&amp;"T2: "&amp;TEXT(FORMULACIÓN!M112,"00,00%")&amp;CHAR(10)&amp;"T3: "&amp;TEXT(FORMULACIÓN!N112,"00,00%")&amp;CHAR(10)&amp;"Tn: "&amp;TEXT(FORMULACIÓN!O112,"00,00%"),IF(FORMULACIÓN!Q112=0,0,"T1: "&amp;TEXT(FORMULACIÓN!L112,"##.###")&amp;CHAR(10)&amp;"T2: "&amp;TEXT(FORMULACIÓN!M112,"##.###")&amp;CHAR(10)&amp;"T3: "&amp;TEXT(FORMULACIÓN!N112,"##.###")&amp;CHAR(10)&amp;"Tn: "&amp;TEXT(FORMULACIÓN!O112,"##.###")))</f>
        <v xml:space="preserve">T1: 
T2: 1
T3: 
Tn: </v>
      </c>
      <c r="AO112" s="117" t="str">
        <f>IFERROR(IF($H112=Lists!$S$6,IF(AND(FORMULACIÓN!L112&gt;K112,K112&gt;0),1,0),IF((K112/FORMULACIÓN!L112)&lt;&gt;0,K112/FORMULACIÓN!L112,0)),"")</f>
        <v/>
      </c>
      <c r="AP112" s="117">
        <f>IFERROR(IF($H112=Lists!$S$6,IF(AND(FORMULACIÓN!M112&gt;L112,L112&gt;0),1,0),IF((L112/FORMULACIÓN!M112)&lt;&gt;0,L112/FORMULACIÓN!M112,0)),"")</f>
        <v>0</v>
      </c>
      <c r="AQ112" s="117" t="str">
        <f>IFERROR(IF($H112=Lists!$S$6,IF(AND(FORMULACIÓN!N112&gt;M112,M112&gt;0),1,0),IF((M112/FORMULACIÓN!N112)&lt;&gt;0,M112/FORMULACIÓN!N112,0)),"")</f>
        <v/>
      </c>
      <c r="AR112" s="117" t="str">
        <f>IFERROR(IF($H112=Lists!$S$6,IF(AND(FORMULACIÓN!O112&gt;N112,N112&gt;0),1,0),IF((N112/FORMULACIÓN!O112)&lt;&gt;0,N112/FORMULACIÓN!O112,0)),"")</f>
        <v/>
      </c>
      <c r="AS112" s="110"/>
      <c r="AT112" s="118">
        <f ca="1">IF($H112=Lists!$S$6,TEXT(COUNTIF('SEGUIMIENTO Y EVALUACIÓN'!K112:N112,"&lt;"&amp;FORMULACIÓN!Q112),"##.###")&amp;" / "&amp;TEXT(COUNTIF('SEGUIMIENTO Y EVALUACIÓN'!K112:N112,"&gt;"&amp;0),"##.###"),IF($G112=Lists!$R$3,TEXT('SEGUIMIENTO Y EVALUACIÓN'!O112,"00,00%")&amp;" / "&amp;TEXT(FORMULACIÓN!P112,"00,00%"),IF('SEGUIMIENTO Y EVALUACIÓN'!O112=0,0,TEXT('SEGUIMIENTO Y EVALUACIÓN'!O112,"##.###")&amp;" / "&amp;TEXT(FORMULACIÓN!P112,"##.###"))))</f>
        <v>0</v>
      </c>
      <c r="AU112" s="57">
        <f ca="1">IFERROR(IF((P112/FORMULACIÓN!Q112)&lt;&gt;0,IF($H112=Lists!$S$6,COUNTIF('SEGUIMIENTO Y EVALUACIÓN'!K112:N112,"&lt;"&amp;FORMULACIÓN!Q112),'SEGUIMIENTO Y EVALUACIÓN'!P112)/IF($H112=Lists!$S$6,COUNTIF('SEGUIMIENTO Y EVALUACIÓN'!K112:N112,"&gt;"&amp;0),FORMULACIÓN!P112),0),0)</f>
        <v>0</v>
      </c>
      <c r="AV112" s="93">
        <f t="shared" ca="1" si="15"/>
        <v>0</v>
      </c>
      <c r="AW112" s="93" cm="1">
        <f t="array" ref="AW112">IF(INDEX(AO112:AU112,1,$AV$3)&gt;1,IF($AU$2=1,1,INDEX(AO112:AU112,1,$AV$3)),INDEX(AO112:AU112,1,$AV$3))</f>
        <v>1</v>
      </c>
      <c r="AX112"/>
      <c r="AY112" s="119" t="str">
        <f>IFERROR(IF((W112/FORMULACIÓN!X112)&lt;&gt;0,W112/FORMULACIÓN!X112,0),"")</f>
        <v/>
      </c>
      <c r="AZ112" s="119" t="str">
        <f>IFERROR(IF((AA112/FORMULACIÓN!AB112)&lt;&gt;0,AA112/FORMULACIÓN!AB112,0),"")</f>
        <v/>
      </c>
      <c r="BA112" s="119" t="str">
        <f>IFERROR(IF((AE112/FORMULACIÓN!AF112)&lt;&gt;0,(AE112/FORMULACIÓN!AF112),0),"")</f>
        <v/>
      </c>
      <c r="BB112" s="119" t="str">
        <f>IFERROR(IF((AI112/FORMULACIÓN!AJ112)&lt;&gt;0,AI112/FORMULACIÓN!AJ112,0),"")</f>
        <v/>
      </c>
      <c r="BC112" s="120" t="str">
        <f>IF('SEGUIMIENTO Y EVALUACIÓN'!AI112=0,0,TEXT('SEGUIMIENTO Y EVALUACIÓN'!AI112,"$ ##.###")&amp;" / "&amp;TEXT(FORMULACIÓN!AK112,"$ ##.###"))</f>
        <v xml:space="preserve"> / $ 7.270.879.315</v>
      </c>
      <c r="BD112" s="57">
        <f>IFERROR(IF((AJ112/FORMULACIÓN!AK112)&lt;&gt;0,AJ112/FORMULACIÓN!AK112,0),0)</f>
        <v>0</v>
      </c>
      <c r="CL112" s="7"/>
    </row>
    <row r="113" spans="1:90" s="1" customFormat="1" ht="99.95" customHeight="1">
      <c r="A113" s="45">
        <f>IF(FORMULACIÓN!A113="","",FORMULACIÓN!A113)</f>
        <v>102</v>
      </c>
      <c r="B113" s="45" t="str">
        <f>IF(FORMULACIÓN!B113="","",FORMULACIÓN!B113)</f>
        <v>L3 - Impacto regional, Nacional e Internacional desde la Extensión y proyección social</v>
      </c>
      <c r="C113" s="45" t="str">
        <f>IF(FORMULACIÓN!E113="","",FORMULACIÓN!E113)</f>
        <v>M2 - Articulación con el sector productivo y sociedad.</v>
      </c>
      <c r="D113" s="45" t="str">
        <f>IF(FORMULACIÓN!F113="","",FORMULACIÓN!F113)</f>
        <v>Crear el Centro de Emprendimiento UA Emprende para garantizar la sostenibilidad de por lo menos  el 3% de proyectos de emprendimiento.</v>
      </c>
      <c r="E113" s="45" t="str">
        <f>IF(FORMULACIÓN!G113="","",FORMULACIÓN!G113)</f>
        <v>Puesta en marcha del Laboratorio de producción de contenidos digitales UA</v>
      </c>
      <c r="F113" s="45" t="str">
        <f>IF(FORMULACIÓN!H113="","",FORMULACIÓN!H113)</f>
        <v xml:space="preserve">Laboratorio de producción de contenidos digitales UA puesto en marcha </v>
      </c>
      <c r="G113" s="45" t="str">
        <f>IF(FORMULACIÓN!I113="","",FORMULACIÓN!I113)</f>
        <v>Unidad</v>
      </c>
      <c r="H113" s="45" t="str">
        <f>IF(FORMULACIÓN!J113="","",FORMULACIÓN!J113)</f>
        <v>Último valor reportado</v>
      </c>
      <c r="I113" s="188">
        <f ca="1">IF($G113=Lists!$R$3,"PDI: "&amp;TEXT(FORMULACIÓN!Q113,"00,00%")&amp;CHAR(10)&amp;CHAR(10)&amp;"T1: "&amp;TEXT(FORMULACIÓN!L113,"00,00%")&amp;CHAR(10)&amp;"T2: "&amp;TEXT(FORMULACIÓN!M113,"00,00%")&amp;CHAR(10)&amp;"T3: "&amp;TEXT(FORMULACIÓN!N113,"00,00%")&amp;CHAR(10)&amp;"Tn: "&amp;TEXT(FORMULACIÓN!O113,"00,00%"),IF(FORMULACIÓN!Q113=0,0,"PDI: "&amp;TEXT(FORMULACIÓN!Q113,"##.###")&amp;CHAR(10)&amp;CHAR(10)&amp;"T1: "&amp;TEXT(FORMULACIÓN!L113,"##.###")&amp;CHAR(10)&amp;"T2: "&amp;TEXT(FORMULACIÓN!M113,"##.###")&amp;CHAR(10)&amp;"T3: "&amp;TEXT(FORMULACIÓN!N113,"##.###")&amp;CHAR(10)&amp;"Tn: "&amp;TEXT(FORMULACIÓN!O113,"##.###")))</f>
        <v>0</v>
      </c>
      <c r="J113" s="122">
        <f>IF(FORMULACIÓN!K113&lt;&gt;"",FORMULACIÓN!K113,"")</f>
        <v>0</v>
      </c>
      <c r="K113" s="310">
        <v>1</v>
      </c>
      <c r="L113" s="58"/>
      <c r="M113" s="58"/>
      <c r="N113" s="58"/>
      <c r="O113" s="47">
        <f ca="1">IFERROR(IF($H113=Lists!$S$2,SUM('SEGUIMIENTO Y EVALUACIÓN'!J113:N113),IF('SEGUIMIENTO Y EVALUACIÓN'!$H113=Lists!$S$3,SUM('SEGUIMIENTO Y EVALUACIÓN'!K113:N113),IF('SEGUIMIENTO Y EVALUACIÓN'!$H113=Lists!$S$4,AVERAGE('SEGUIMIENTO Y EVALUACIÓN'!K113:N113),IF('SEGUIMIENTO Y EVALUACIÓN'!$H113=Lists!$S$5,OFFSET(J113,0,COUNTA(K113:N113)),IF($H113=Lists!$S$6,COUNTIF(K113:N113,"&lt;"&amp;FORMULACIÓN!Q113)/COUNT('SEGUIMIENTO Y EVALUACIÓN'!K113:N113),""))))),"")</f>
        <v>1</v>
      </c>
      <c r="P113" s="51" t="str">
        <f ca="1">IF($G113=Lists!$R$3,TEXT('SEGUIMIENTO Y EVALUACIÓN'!O113,"00,00%"),IF('SEGUIMIENTO Y EVALUACIÓN'!O113=0,0,TEXT('SEGUIMIENTO Y EVALUACIÓN'!O113,"##.###")))</f>
        <v>1</v>
      </c>
      <c r="Q113" s="209" t="str">
        <f>IF(FORMULACIÓN!R113&lt;&gt;"",FORMULACIÓN!R113,"")</f>
        <v>P2 - Fortalecimiento de la gestión de la Innovación y emprendimiento</v>
      </c>
      <c r="R113" s="209">
        <f>IF(FORMULACIÓN!S113&lt;&gt;"",FORMULACIÓN!S113,"")</f>
        <v>2.5000000000000001E-2</v>
      </c>
      <c r="S113" s="209" t="str">
        <f>IF(FORMULACIÓN!T113&lt;&gt;"",FORMULACIÓN!T113,"")</f>
        <v>Vicerrector de Investigación, Extensión y Proyección Social</v>
      </c>
      <c r="T113" s="42"/>
      <c r="U113" s="42"/>
      <c r="V113" s="42"/>
      <c r="W113" s="43" t="str">
        <f t="shared" si="9"/>
        <v/>
      </c>
      <c r="X113" s="42"/>
      <c r="Y113" s="42"/>
      <c r="Z113" s="42"/>
      <c r="AA113" s="43" t="str">
        <f t="shared" si="10"/>
        <v/>
      </c>
      <c r="AB113" s="42"/>
      <c r="AC113" s="42"/>
      <c r="AD113" s="42"/>
      <c r="AE113" s="43" t="str">
        <f t="shared" si="11"/>
        <v/>
      </c>
      <c r="AF113" s="42"/>
      <c r="AG113" s="42"/>
      <c r="AH113" s="42"/>
      <c r="AI113" s="46" t="str">
        <f t="shared" si="12"/>
        <v/>
      </c>
      <c r="AJ113" s="46" t="str">
        <f>IF(SUM(AA113,AE113,W113,AI113)=0,"",SUM((AA113,AE113,W113,AI113)))</f>
        <v/>
      </c>
      <c r="AK113"/>
      <c r="AL113" s="1" t="str">
        <f t="shared" si="16"/>
        <v>L3M2P2</v>
      </c>
      <c r="AM113" s="56" t="str">
        <f t="shared" si="17"/>
        <v>Puesta en marcha del Laboratorio de producción de contenidos digitales UA</v>
      </c>
      <c r="AN113" s="112">
        <f ca="1">IF($G113=Lists!$R$3,"T1: "&amp;TEXT(FORMULACIÓN!L113,"00,00%")&amp;CHAR(10)&amp;"T2: "&amp;TEXT(FORMULACIÓN!M113,"00,00%")&amp;CHAR(10)&amp;"T3: "&amp;TEXT(FORMULACIÓN!N113,"00,00%")&amp;CHAR(10)&amp;"Tn: "&amp;TEXT(FORMULACIÓN!O113,"00,00%"),IF(FORMULACIÓN!Q113=0,0,"T1: "&amp;TEXT(FORMULACIÓN!L113,"##.###")&amp;CHAR(10)&amp;"T2: "&amp;TEXT(FORMULACIÓN!M113,"##.###")&amp;CHAR(10)&amp;"T3: "&amp;TEXT(FORMULACIÓN!N113,"##.###")&amp;CHAR(10)&amp;"Tn: "&amp;TEXT(FORMULACIÓN!O113,"##.###")))</f>
        <v>0</v>
      </c>
      <c r="AO113" s="117">
        <f>IFERROR(IF($H113=Lists!$S$6,IF(AND(FORMULACIÓN!L113&gt;K113,K113&gt;0),1,0),IF((K113/FORMULACIÓN!L113)&lt;&gt;0,K113/FORMULACIÓN!L113,0)),"")</f>
        <v>1</v>
      </c>
      <c r="AP113" s="117" t="str">
        <f>IFERROR(IF($H113=Lists!$S$6,IF(AND(FORMULACIÓN!M113&gt;L113,L113&gt;0),1,0),IF((L113/FORMULACIÓN!M113)&lt;&gt;0,L113/FORMULACIÓN!M113,0)),"")</f>
        <v/>
      </c>
      <c r="AQ113" s="117" t="str">
        <f>IFERROR(IF($H113=Lists!$S$6,IF(AND(FORMULACIÓN!N113&gt;M113,M113&gt;0),1,0),IF((M113/FORMULACIÓN!N113)&lt;&gt;0,M113/FORMULACIÓN!N113,0)),"")</f>
        <v/>
      </c>
      <c r="AR113" s="117" t="str">
        <f>IFERROR(IF($H113=Lists!$S$6,IF(AND(FORMULACIÓN!O113&gt;N113,N113&gt;0),1,0),IF((N113/FORMULACIÓN!O113)&lt;&gt;0,N113/FORMULACIÓN!O113,0)),"")</f>
        <v/>
      </c>
      <c r="AS113" s="110"/>
      <c r="AT113" s="118" t="str">
        <f ca="1">IF($H113=Lists!$S$6,TEXT(COUNTIF('SEGUIMIENTO Y EVALUACIÓN'!K113:N113,"&lt;"&amp;FORMULACIÓN!Q113),"##.###")&amp;" / "&amp;TEXT(COUNTIF('SEGUIMIENTO Y EVALUACIÓN'!K113:N113,"&gt;"&amp;0),"##.###"),IF($G113=Lists!$R$3,TEXT('SEGUIMIENTO Y EVALUACIÓN'!O113,"00,00%")&amp;" / "&amp;TEXT(FORMULACIÓN!P113,"00,00%"),IF('SEGUIMIENTO Y EVALUACIÓN'!O113=0,0,TEXT('SEGUIMIENTO Y EVALUACIÓN'!O113,"##.###")&amp;" / "&amp;TEXT(FORMULACIÓN!P113,"##.###"))))</f>
        <v xml:space="preserve">1 / </v>
      </c>
      <c r="AU113" s="57">
        <f ca="1">IFERROR(IF((P113/FORMULACIÓN!Q113)&lt;&gt;0,IF($H113=Lists!$S$6,COUNTIF('SEGUIMIENTO Y EVALUACIÓN'!K113:N113,"&lt;"&amp;FORMULACIÓN!Q113),'SEGUIMIENTO Y EVALUACIÓN'!P113)/IF($H113=Lists!$S$6,COUNTIF('SEGUIMIENTO Y EVALUACIÓN'!K113:N113,"&gt;"&amp;0),FORMULACIÓN!P113),0),0)</f>
        <v>0</v>
      </c>
      <c r="AV113" s="93">
        <f t="shared" ca="1" si="15"/>
        <v>0</v>
      </c>
      <c r="AW113" s="93" cm="1">
        <f t="array" ref="AW113">IF(INDEX(AO113:AU113,1,$AV$3)&gt;1,IF($AU$2=1,1,INDEX(AO113:AU113,1,$AV$3)),INDEX(AO113:AU113,1,$AV$3))</f>
        <v>1</v>
      </c>
      <c r="AX113"/>
      <c r="AY113" s="119" t="str">
        <f>IFERROR(IF((W113/FORMULACIÓN!X113)&lt;&gt;0,W113/FORMULACIÓN!X113,0),"")</f>
        <v/>
      </c>
      <c r="AZ113" s="119" t="str">
        <f>IFERROR(IF((AA113/FORMULACIÓN!AB113)&lt;&gt;0,AA113/FORMULACIÓN!AB113,0),"")</f>
        <v/>
      </c>
      <c r="BA113" s="119" t="str">
        <f>IFERROR(IF((AE113/FORMULACIÓN!AF113)&lt;&gt;0,(AE113/FORMULACIÓN!AF113),0),"")</f>
        <v/>
      </c>
      <c r="BB113" s="119" t="str">
        <f>IFERROR(IF((AI113/FORMULACIÓN!AJ113)&lt;&gt;0,AI113/FORMULACIÓN!AJ113,0),"")</f>
        <v/>
      </c>
      <c r="BC113" s="120" t="str">
        <f>IF('SEGUIMIENTO Y EVALUACIÓN'!AI113=0,0,TEXT('SEGUIMIENTO Y EVALUACIÓN'!AI113,"$ ##.###")&amp;" / "&amp;TEXT(FORMULACIÓN!AK113,"$ ##.###"))</f>
        <v xml:space="preserve"> / $ 6.117.103.646</v>
      </c>
      <c r="BD113" s="57">
        <f>IFERROR(IF((AJ113/FORMULACIÓN!AK113)&lt;&gt;0,AJ113/FORMULACIÓN!AK113,0),0)</f>
        <v>0</v>
      </c>
      <c r="CL113" s="7"/>
    </row>
    <row r="114" spans="1:90" s="1" customFormat="1" ht="99.95" customHeight="1">
      <c r="A114" s="45">
        <f>IF(FORMULACIÓN!A114="","",FORMULACIÓN!A114)</f>
        <v>103</v>
      </c>
      <c r="B114" s="45" t="str">
        <f>IF(FORMULACIÓN!B114="","",FORMULACIÓN!B114)</f>
        <v>L3 - Impacto regional, Nacional e Internacional desde la Extensión y proyección social</v>
      </c>
      <c r="C114" s="45" t="str">
        <f>IF(FORMULACIÓN!E114="","",FORMULACIÓN!E114)</f>
        <v>M2 - Articulación con el sector productivo y sociedad.</v>
      </c>
      <c r="D114" s="45" t="str">
        <f>IF(FORMULACIÓN!F114="","",FORMULACIÓN!F114)</f>
        <v>Actualizar y fortalecer la Política de Egresados</v>
      </c>
      <c r="E114" s="45" t="str">
        <f>IF(FORMULACIÓN!G114="","",FORMULACIÓN!G114)</f>
        <v>Política de egresados actualizada, aprobada e implementada</v>
      </c>
      <c r="F114" s="45" t="str">
        <f>IF(FORMULACIÓN!H114="","",FORMULACIÓN!H114)</f>
        <v>Porcentaje de avance en la actualización, aprobación e implementación de la Política de egresados</v>
      </c>
      <c r="G114" s="45" t="str">
        <f>IF(FORMULACIÓN!I114="","",FORMULACIÓN!I114)</f>
        <v>Porcentaje</v>
      </c>
      <c r="H114" s="45" t="str">
        <f>IF(FORMULACIÓN!J114="","",FORMULACIÓN!J114)</f>
        <v>Nuevo gestionado durante la vigencia</v>
      </c>
      <c r="I114" s="188" t="str">
        <f ca="1">IF($G114=Lists!$R$3,"PDI: "&amp;TEXT(FORMULACIÓN!Q114,"00,00%")&amp;CHAR(10)&amp;CHAR(10)&amp;"T1: "&amp;TEXT(FORMULACIÓN!L114,"00,00%")&amp;CHAR(10)&amp;"T2: "&amp;TEXT(FORMULACIÓN!M114,"00,00%")&amp;CHAR(10)&amp;"T3: "&amp;TEXT(FORMULACIÓN!N114,"00,00%")&amp;CHAR(10)&amp;"Tn: "&amp;TEXT(FORMULACIÓN!O114,"00,00%"),IF(FORMULACIÓN!Q114=0,0,"PDI: "&amp;TEXT(FORMULACIÓN!Q114,"##.###")&amp;CHAR(10)&amp;CHAR(10)&amp;"T1: "&amp;TEXT(FORMULACIÓN!L114,"##.###")&amp;CHAR(10)&amp;"T2: "&amp;TEXT(FORMULACIÓN!M114,"##.###")&amp;CHAR(10)&amp;"T3: "&amp;TEXT(FORMULACIÓN!N114,"##.###")&amp;CHAR(10)&amp;"Tn: "&amp;TEXT(FORMULACIÓN!O114,"##.###")))</f>
        <v>PDI: 100,00%
T1: 100,00%
T2: 00,00%
T3: 00,00%
Tn: 00,00%</v>
      </c>
      <c r="J114" s="122">
        <f>IF(FORMULACIÓN!K114&lt;&gt;"",FORMULACIÓN!K114,"")</f>
        <v>0</v>
      </c>
      <c r="K114" s="309">
        <v>1</v>
      </c>
      <c r="L114" s="58"/>
      <c r="M114" s="58"/>
      <c r="N114" s="58"/>
      <c r="O114" s="47">
        <f ca="1">IFERROR(IF($H114=Lists!$S$2,SUM('SEGUIMIENTO Y EVALUACIÓN'!J114:N114),IF('SEGUIMIENTO Y EVALUACIÓN'!$H114=Lists!$S$3,SUM('SEGUIMIENTO Y EVALUACIÓN'!K114:N114),IF('SEGUIMIENTO Y EVALUACIÓN'!$H114=Lists!$S$4,AVERAGE('SEGUIMIENTO Y EVALUACIÓN'!K114:N114),IF('SEGUIMIENTO Y EVALUACIÓN'!$H114=Lists!$S$5,OFFSET(J114,0,COUNTA(K114:N114)),IF($H114=Lists!$S$6,COUNTIF(K114:N114,"&lt;"&amp;FORMULACIÓN!Q114)/COUNT('SEGUIMIENTO Y EVALUACIÓN'!K114:N114),""))))),"")</f>
        <v>1</v>
      </c>
      <c r="P114" s="51" t="str">
        <f ca="1">IF($G114=Lists!$R$3,TEXT('SEGUIMIENTO Y EVALUACIÓN'!O114,"00,00%"),IF('SEGUIMIENTO Y EVALUACIÓN'!O114=0,0,TEXT('SEGUIMIENTO Y EVALUACIÓN'!O114,"##.###")))</f>
        <v>100,00%</v>
      </c>
      <c r="Q114" s="209" t="str">
        <f>IF(FORMULACIÓN!R114&lt;&gt;"",FORMULACIÓN!R114,"")</f>
        <v>P3 - Proyección de los egresados como generadores de transformación y construcción social.</v>
      </c>
      <c r="R114" s="209">
        <f>IF(FORMULACIÓN!S114&lt;&gt;"",FORMULACIÓN!S114,"")</f>
        <v>2.5000000000000001E-2</v>
      </c>
      <c r="S114" s="209" t="str">
        <f>IF(FORMULACIÓN!T114&lt;&gt;"",FORMULACIÓN!T114,"")</f>
        <v>Vicerrector de Investigación, Extensión y Proyección Social</v>
      </c>
      <c r="T114" s="42"/>
      <c r="U114" s="42"/>
      <c r="V114" s="42"/>
      <c r="W114" s="43" t="str">
        <f t="shared" si="9"/>
        <v/>
      </c>
      <c r="X114" s="42"/>
      <c r="Y114" s="42"/>
      <c r="Z114" s="42"/>
      <c r="AA114" s="43" t="str">
        <f t="shared" si="10"/>
        <v/>
      </c>
      <c r="AB114" s="42"/>
      <c r="AC114" s="42"/>
      <c r="AD114" s="42"/>
      <c r="AE114" s="43" t="str">
        <f t="shared" si="11"/>
        <v/>
      </c>
      <c r="AF114" s="42"/>
      <c r="AG114" s="42"/>
      <c r="AH114" s="42"/>
      <c r="AI114" s="46" t="str">
        <f t="shared" si="12"/>
        <v/>
      </c>
      <c r="AJ114" s="46" t="str">
        <f>IF(SUM(AA114,AE114,W114,AI114)=0,"",SUM((AA114,AE114,W114,AI114)))</f>
        <v/>
      </c>
      <c r="AK114"/>
      <c r="AL114" s="1" t="str">
        <f t="shared" si="16"/>
        <v>L3M2P3</v>
      </c>
      <c r="AM114" s="56" t="str">
        <f t="shared" si="17"/>
        <v>Política de egresados actualizada, aprobada e implementada</v>
      </c>
      <c r="AN114" s="112" t="str">
        <f>IF($G114=Lists!$R$3,"T1: "&amp;TEXT(FORMULACIÓN!L114,"00,00%")&amp;CHAR(10)&amp;"T2: "&amp;TEXT(FORMULACIÓN!M114,"00,00%")&amp;CHAR(10)&amp;"T3: "&amp;TEXT(FORMULACIÓN!N114,"00,00%")&amp;CHAR(10)&amp;"Tn: "&amp;TEXT(FORMULACIÓN!O114,"00,00%"),IF(FORMULACIÓN!Q114=0,0,"T1: "&amp;TEXT(FORMULACIÓN!L114,"##.###")&amp;CHAR(10)&amp;"T2: "&amp;TEXT(FORMULACIÓN!M114,"##.###")&amp;CHAR(10)&amp;"T3: "&amp;TEXT(FORMULACIÓN!N114,"##.###")&amp;CHAR(10)&amp;"Tn: "&amp;TEXT(FORMULACIÓN!O114,"##.###")))</f>
        <v>T1: 100,00%
T2: 00,00%
T3: 00,00%
Tn: 00,00%</v>
      </c>
      <c r="AO114" s="117">
        <f>IFERROR(IF($H114=Lists!$S$6,IF(AND(FORMULACIÓN!L114&gt;K114,K114&gt;0),1,0),IF((K114/FORMULACIÓN!L114)&lt;&gt;0,K114/FORMULACIÓN!L114,0)),"")</f>
        <v>1</v>
      </c>
      <c r="AP114" s="117" t="str">
        <f>IFERROR(IF($H114=Lists!$S$6,IF(AND(FORMULACIÓN!M114&gt;L114,L114&gt;0),1,0),IF((L114/FORMULACIÓN!M114)&lt;&gt;0,L114/FORMULACIÓN!M114,0)),"")</f>
        <v/>
      </c>
      <c r="AQ114" s="117" t="str">
        <f>IFERROR(IF($H114=Lists!$S$6,IF(AND(FORMULACIÓN!N114&gt;M114,M114&gt;0),1,0),IF((M114/FORMULACIÓN!N114)&lt;&gt;0,M114/FORMULACIÓN!N114,0)),"")</f>
        <v/>
      </c>
      <c r="AR114" s="117" t="str">
        <f>IFERROR(IF($H114=Lists!$S$6,IF(AND(FORMULACIÓN!O114&gt;N114,N114&gt;0),1,0),IF((N114/FORMULACIÓN!O114)&lt;&gt;0,N114/FORMULACIÓN!O114,0)),"")</f>
        <v/>
      </c>
      <c r="AS114" s="110"/>
      <c r="AT114" s="118" t="str">
        <f ca="1">IF($H114=Lists!$S$6,TEXT(COUNTIF('SEGUIMIENTO Y EVALUACIÓN'!K114:N114,"&lt;"&amp;FORMULACIÓN!Q114),"##.###")&amp;" / "&amp;TEXT(COUNTIF('SEGUIMIENTO Y EVALUACIÓN'!K114:N114,"&gt;"&amp;0),"##.###"),IF($G114=Lists!$R$3,TEXT('SEGUIMIENTO Y EVALUACIÓN'!O114,"00,00%")&amp;" / "&amp;TEXT(FORMULACIÓN!P114,"00,00%"),IF('SEGUIMIENTO Y EVALUACIÓN'!O114=0,0,TEXT('SEGUIMIENTO Y EVALUACIÓN'!O114,"##.###")&amp;" / "&amp;TEXT(FORMULACIÓN!P114,"##.###"))))</f>
        <v>100,00% / 100,00%</v>
      </c>
      <c r="AU114" s="57">
        <f ca="1">IFERROR(IF((P114/FORMULACIÓN!Q114)&lt;&gt;0,IF($H114=Lists!$S$6,COUNTIF('SEGUIMIENTO Y EVALUACIÓN'!K114:N114,"&lt;"&amp;FORMULACIÓN!Q114),'SEGUIMIENTO Y EVALUACIÓN'!P114)/IF($H114=Lists!$S$6,COUNTIF('SEGUIMIENTO Y EVALUACIÓN'!K114:N114,"&gt;"&amp;0),FORMULACIÓN!P114),0),0)</f>
        <v>1</v>
      </c>
      <c r="AV114" s="93">
        <f t="shared" ca="1" si="15"/>
        <v>2.5000000000000001E-2</v>
      </c>
      <c r="AW114" s="93" cm="1">
        <f t="array" ref="AW114">IF(INDEX(AO114:AU114,1,$AV$3)&gt;1,IF($AU$2=1,1,INDEX(AO114:AU114,1,$AV$3)),INDEX(AO114:AU114,1,$AV$3))</f>
        <v>1</v>
      </c>
      <c r="AX114"/>
      <c r="AY114" s="119" t="str">
        <f>IFERROR(IF((W114/FORMULACIÓN!X114)&lt;&gt;0,W114/FORMULACIÓN!X114,0),"")</f>
        <v/>
      </c>
      <c r="AZ114" s="119" t="str">
        <f>IFERROR(IF((AA114/FORMULACIÓN!AB114)&lt;&gt;0,AA114/FORMULACIÓN!AB114,0),"")</f>
        <v/>
      </c>
      <c r="BA114" s="119" t="str">
        <f>IFERROR(IF((AE114/FORMULACIÓN!AF114)&lt;&gt;0,(AE114/FORMULACIÓN!AF114),0),"")</f>
        <v/>
      </c>
      <c r="BB114" s="119" t="str">
        <f>IFERROR(IF((AI114/FORMULACIÓN!AJ114)&lt;&gt;0,AI114/FORMULACIÓN!AJ114,0),"")</f>
        <v/>
      </c>
      <c r="BC114" s="120" t="str">
        <f>IF('SEGUIMIENTO Y EVALUACIÓN'!AI114=0,0,TEXT('SEGUIMIENTO Y EVALUACIÓN'!AI114,"$ ##.###")&amp;" / "&amp;TEXT(FORMULACIÓN!AK114,"$ ##.###"))</f>
        <v xml:space="preserve"> / $ 1.871.352.416</v>
      </c>
      <c r="BD114" s="57">
        <f>IFERROR(IF((AJ114/FORMULACIÓN!AK114)&lt;&gt;0,AJ114/FORMULACIÓN!AK114,0),0)</f>
        <v>0</v>
      </c>
      <c r="CL114" s="7"/>
    </row>
    <row r="115" spans="1:90" s="1" customFormat="1" ht="99.95" customHeight="1">
      <c r="A115" s="45">
        <f>IF(FORMULACIÓN!A115="","",FORMULACIÓN!A115)</f>
        <v>104</v>
      </c>
      <c r="B115" s="45" t="str">
        <f>IF(FORMULACIÓN!B115="","",FORMULACIÓN!B115)</f>
        <v>L3 - Impacto regional, Nacional e Internacional desde la Extensión y proyección social</v>
      </c>
      <c r="C115" s="45" t="str">
        <f>IF(FORMULACIÓN!E115="","",FORMULACIÓN!E115)</f>
        <v>M2 - Articulación con el sector productivo y sociedad.</v>
      </c>
      <c r="D115" s="45" t="str">
        <f>IF(FORMULACIÓN!F115="","",FORMULACIÓN!F115)</f>
        <v>Promover el apoyo y la participación de los graduados para ofertar servicios al sector público y privado.</v>
      </c>
      <c r="E115" s="45" t="str">
        <f>IF(FORMULACIÓN!G115="","",FORMULACIÓN!G115)</f>
        <v>Implementación de la plataforma Marketplace para la promoción de los bienes y servicios de la población egresada</v>
      </c>
      <c r="F115" s="45" t="str">
        <f>IF(FORMULACIÓN!H115="","",FORMULACIÓN!H115)</f>
        <v>Plataforma Marketplace para la promoción de los bienes y servicios de la población egresada</v>
      </c>
      <c r="G115" s="45" t="str">
        <f>IF(FORMULACIÓN!I115="","",FORMULACIÓN!I115)</f>
        <v>Unidad</v>
      </c>
      <c r="H115" s="45" t="str">
        <f>IF(FORMULACIÓN!J115="","",FORMULACIÓN!J115)</f>
        <v>Último valor reportado</v>
      </c>
      <c r="I115" s="188" t="str">
        <f ca="1">IF($G115=Lists!$R$3,"PDI: "&amp;TEXT(FORMULACIÓN!Q115,"00,00%")&amp;CHAR(10)&amp;CHAR(10)&amp;"T1: "&amp;TEXT(FORMULACIÓN!L115,"00,00%")&amp;CHAR(10)&amp;"T2: "&amp;TEXT(FORMULACIÓN!M115,"00,00%")&amp;CHAR(10)&amp;"T3: "&amp;TEXT(FORMULACIÓN!N115,"00,00%")&amp;CHAR(10)&amp;"Tn: "&amp;TEXT(FORMULACIÓN!O115,"00,00%"),IF(FORMULACIÓN!Q115=0,0,"PDI: "&amp;TEXT(FORMULACIÓN!Q115,"##.###")&amp;CHAR(10)&amp;CHAR(10)&amp;"T1: "&amp;TEXT(FORMULACIÓN!L115,"##.###")&amp;CHAR(10)&amp;"T2: "&amp;TEXT(FORMULACIÓN!M115,"##.###")&amp;CHAR(10)&amp;"T3: "&amp;TEXT(FORMULACIÓN!N115,"##.###")&amp;CHAR(10)&amp;"Tn: "&amp;TEXT(FORMULACIÓN!O115,"##.###")))</f>
        <v>PDI: 1
T1: 1
T2: 1
T3: 1
Tn: 1</v>
      </c>
      <c r="J115" s="122">
        <f>IF(FORMULACIÓN!K115&lt;&gt;"",FORMULACIÓN!K115,"")</f>
        <v>0</v>
      </c>
      <c r="K115" s="310">
        <v>1</v>
      </c>
      <c r="L115" s="58"/>
      <c r="M115" s="58"/>
      <c r="N115" s="58"/>
      <c r="O115" s="47">
        <f ca="1">IFERROR(IF($H115=Lists!$S$2,SUM('SEGUIMIENTO Y EVALUACIÓN'!J115:N115),IF('SEGUIMIENTO Y EVALUACIÓN'!$H115=Lists!$S$3,SUM('SEGUIMIENTO Y EVALUACIÓN'!K115:N115),IF('SEGUIMIENTO Y EVALUACIÓN'!$H115=Lists!$S$4,AVERAGE('SEGUIMIENTO Y EVALUACIÓN'!K115:N115),IF('SEGUIMIENTO Y EVALUACIÓN'!$H115=Lists!$S$5,OFFSET(J115,0,COUNTA(K115:N115)),IF($H115=Lists!$S$6,COUNTIF(K115:N115,"&lt;"&amp;FORMULACIÓN!Q115)/COUNT('SEGUIMIENTO Y EVALUACIÓN'!K115:N115),""))))),"")</f>
        <v>1</v>
      </c>
      <c r="P115" s="51" t="str">
        <f ca="1">IF($G115=Lists!$R$3,TEXT('SEGUIMIENTO Y EVALUACIÓN'!O115,"00,00%"),IF('SEGUIMIENTO Y EVALUACIÓN'!O115=0,0,TEXT('SEGUIMIENTO Y EVALUACIÓN'!O115,"##.###")))</f>
        <v>1</v>
      </c>
      <c r="Q115" s="209" t="str">
        <f>IF(FORMULACIÓN!R115&lt;&gt;"",FORMULACIÓN!R115,"")</f>
        <v>P3 - Proyección de los egresados como generadores de transformación y construcción social.</v>
      </c>
      <c r="R115" s="209">
        <f>IF(FORMULACIÓN!S115&lt;&gt;"",FORMULACIÓN!S115,"")</f>
        <v>2.5000000000000001E-2</v>
      </c>
      <c r="S115" s="209" t="str">
        <f>IF(FORMULACIÓN!T115&lt;&gt;"",FORMULACIÓN!T115,"")</f>
        <v>Vicerrector de Investigación, Extensión y Proyección Social</v>
      </c>
      <c r="T115" s="42"/>
      <c r="U115" s="42"/>
      <c r="V115" s="42"/>
      <c r="W115" s="43" t="str">
        <f t="shared" si="9"/>
        <v/>
      </c>
      <c r="X115" s="42"/>
      <c r="Y115" s="42"/>
      <c r="Z115" s="42"/>
      <c r="AA115" s="43" t="str">
        <f t="shared" si="10"/>
        <v/>
      </c>
      <c r="AB115" s="42"/>
      <c r="AC115" s="42"/>
      <c r="AD115" s="42"/>
      <c r="AE115" s="43" t="str">
        <f t="shared" si="11"/>
        <v/>
      </c>
      <c r="AF115" s="42"/>
      <c r="AG115" s="42"/>
      <c r="AH115" s="42"/>
      <c r="AI115" s="46" t="str">
        <f t="shared" si="12"/>
        <v/>
      </c>
      <c r="AJ115" s="46" t="str">
        <f>IF(SUM(AA115,AE115,W115,AI115)=0,"",SUM((AA115,AE115,W115,AI115)))</f>
        <v/>
      </c>
      <c r="AK115"/>
      <c r="AL115" s="1" t="str">
        <f t="shared" si="16"/>
        <v>L3M2P3</v>
      </c>
      <c r="AM115" s="56" t="str">
        <f t="shared" si="17"/>
        <v>Implementación de la plataforma Marketplace para la promoción de los bienes y servicios de la población egresada</v>
      </c>
      <c r="AN115" s="112" t="str">
        <f ca="1">IF($G115=Lists!$R$3,"T1: "&amp;TEXT(FORMULACIÓN!L115,"00,00%")&amp;CHAR(10)&amp;"T2: "&amp;TEXT(FORMULACIÓN!M115,"00,00%")&amp;CHAR(10)&amp;"T3: "&amp;TEXT(FORMULACIÓN!N115,"00,00%")&amp;CHAR(10)&amp;"Tn: "&amp;TEXT(FORMULACIÓN!O115,"00,00%"),IF(FORMULACIÓN!Q115=0,0,"T1: "&amp;TEXT(FORMULACIÓN!L115,"##.###")&amp;CHAR(10)&amp;"T2: "&amp;TEXT(FORMULACIÓN!M115,"##.###")&amp;CHAR(10)&amp;"T3: "&amp;TEXT(FORMULACIÓN!N115,"##.###")&amp;CHAR(10)&amp;"Tn: "&amp;TEXT(FORMULACIÓN!O115,"##.###")))</f>
        <v>T1: 1
T2: 1
T3: 1
Tn: 1</v>
      </c>
      <c r="AO115" s="117">
        <f>IFERROR(IF($H115=Lists!$S$6,IF(AND(FORMULACIÓN!L115&gt;K115,K115&gt;0),1,0),IF((K115/FORMULACIÓN!L115)&lt;&gt;0,K115/FORMULACIÓN!L115,0)),"")</f>
        <v>1</v>
      </c>
      <c r="AP115" s="117">
        <f>IFERROR(IF($H115=Lists!$S$6,IF(AND(FORMULACIÓN!M115&gt;L115,L115&gt;0),1,0),IF((L115/FORMULACIÓN!M115)&lt;&gt;0,L115/FORMULACIÓN!M115,0)),"")</f>
        <v>0</v>
      </c>
      <c r="AQ115" s="117">
        <f>IFERROR(IF($H115=Lists!$S$6,IF(AND(FORMULACIÓN!N115&gt;M115,M115&gt;0),1,0),IF((M115/FORMULACIÓN!N115)&lt;&gt;0,M115/FORMULACIÓN!N115,0)),"")</f>
        <v>0</v>
      </c>
      <c r="AR115" s="117">
        <f>IFERROR(IF($H115=Lists!$S$6,IF(AND(FORMULACIÓN!O115&gt;N115,N115&gt;0),1,0),IF((N115/FORMULACIÓN!O115)&lt;&gt;0,N115/FORMULACIÓN!O115,0)),"")</f>
        <v>0</v>
      </c>
      <c r="AS115" s="110"/>
      <c r="AT115" s="118" t="str">
        <f ca="1">IF($H115=Lists!$S$6,TEXT(COUNTIF('SEGUIMIENTO Y EVALUACIÓN'!K115:N115,"&lt;"&amp;FORMULACIÓN!Q115),"##.###")&amp;" / "&amp;TEXT(COUNTIF('SEGUIMIENTO Y EVALUACIÓN'!K115:N115,"&gt;"&amp;0),"##.###"),IF($G115=Lists!$R$3,TEXT('SEGUIMIENTO Y EVALUACIÓN'!O115,"00,00%")&amp;" / "&amp;TEXT(FORMULACIÓN!P115,"00,00%"),IF('SEGUIMIENTO Y EVALUACIÓN'!O115=0,0,TEXT('SEGUIMIENTO Y EVALUACIÓN'!O115,"##.###")&amp;" / "&amp;TEXT(FORMULACIÓN!P115,"##.###"))))</f>
        <v>1 / 1</v>
      </c>
      <c r="AU115" s="57">
        <f ca="1">IFERROR(IF((P115/FORMULACIÓN!Q115)&lt;&gt;0,IF($H115=Lists!$S$6,COUNTIF('SEGUIMIENTO Y EVALUACIÓN'!K115:N115,"&lt;"&amp;FORMULACIÓN!Q115),'SEGUIMIENTO Y EVALUACIÓN'!P115)/IF($H115=Lists!$S$6,COUNTIF('SEGUIMIENTO Y EVALUACIÓN'!K115:N115,"&gt;"&amp;0),FORMULACIÓN!P115),0),0)</f>
        <v>1</v>
      </c>
      <c r="AV115" s="93">
        <f t="shared" ca="1" si="15"/>
        <v>2.5000000000000001E-2</v>
      </c>
      <c r="AW115" s="93" cm="1">
        <f t="array" ref="AW115">IF(INDEX(AO115:AU115,1,$AV$3)&gt;1,IF($AU$2=1,1,INDEX(AO115:AU115,1,$AV$3)),INDEX(AO115:AU115,1,$AV$3))</f>
        <v>1</v>
      </c>
      <c r="AX115"/>
      <c r="AY115" s="119" t="str">
        <f>IFERROR(IF((W115/FORMULACIÓN!X115)&lt;&gt;0,W115/FORMULACIÓN!X115,0),"")</f>
        <v/>
      </c>
      <c r="AZ115" s="119" t="str">
        <f>IFERROR(IF((AA115/FORMULACIÓN!AB115)&lt;&gt;0,AA115/FORMULACIÓN!AB115,0),"")</f>
        <v/>
      </c>
      <c r="BA115" s="119" t="str">
        <f>IFERROR(IF((AE115/FORMULACIÓN!AF115)&lt;&gt;0,(AE115/FORMULACIÓN!AF115),0),"")</f>
        <v/>
      </c>
      <c r="BB115" s="119" t="str">
        <f>IFERROR(IF((AI115/FORMULACIÓN!AJ115)&lt;&gt;0,AI115/FORMULACIÓN!AJ115,0),"")</f>
        <v/>
      </c>
      <c r="BC115" s="120" t="str">
        <f>IF('SEGUIMIENTO Y EVALUACIÓN'!AI115=0,0,TEXT('SEGUIMIENTO Y EVALUACIÓN'!AI115,"$ ##.###")&amp;" / "&amp;TEXT(FORMULACIÓN!AK115,"$ ##.###"))</f>
        <v xml:space="preserve"> / $ 1.871.352.416</v>
      </c>
      <c r="BD115" s="57">
        <f>IFERROR(IF((AJ115/FORMULACIÓN!AK115)&lt;&gt;0,AJ115/FORMULACIÓN!AK115,0),0)</f>
        <v>0</v>
      </c>
      <c r="CL115" s="7"/>
    </row>
    <row r="116" spans="1:90" s="1" customFormat="1" ht="99.95" customHeight="1">
      <c r="A116" s="45">
        <f>IF(FORMULACIÓN!A116="","",FORMULACIÓN!A116)</f>
        <v>105</v>
      </c>
      <c r="B116" s="45" t="str">
        <f>IF(FORMULACIÓN!B116="","",FORMULACIÓN!B116)</f>
        <v>L3 - Impacto regional, Nacional e Internacional desde la Extensión y proyección social</v>
      </c>
      <c r="C116" s="45" t="str">
        <f>IF(FORMULACIÓN!E116="","",FORMULACIÓN!E116)</f>
        <v>M2 - Articulación con el sector productivo y sociedad.</v>
      </c>
      <c r="D116" s="45" t="str">
        <f>IF(FORMULACIÓN!F116="","",FORMULACIÓN!F116)</f>
        <v>Diseñar y apropiar el Observatorio digital institucional para la gestión de conocimiento y el desarrollo social</v>
      </c>
      <c r="E116" s="45" t="str">
        <f>IF(FORMULACIÓN!G116="","",FORMULACIÓN!G116)</f>
        <v>Observatorio digital institucional para la gestión de conocimiento y el desarrollo social apropiado</v>
      </c>
      <c r="F116" s="45" t="str">
        <f>IF(FORMULACIÓN!H116="","",FORMULACIÓN!H116)</f>
        <v>Observatorio digital institucional para la gestión de conocimiento y el desarrollo social apropiado</v>
      </c>
      <c r="G116" s="45" t="str">
        <f>IF(FORMULACIÓN!I116="","",FORMULACIÓN!I116)</f>
        <v>Unidad</v>
      </c>
      <c r="H116" s="45" t="str">
        <f>IF(FORMULACIÓN!J116="","",FORMULACIÓN!J116)</f>
        <v>Nuevo gestionado durante la vigencia</v>
      </c>
      <c r="I116" s="188" t="str">
        <f ca="1">IF($G116=Lists!$R$3,"PDI: "&amp;TEXT(FORMULACIÓN!Q116,"00,00%")&amp;CHAR(10)&amp;CHAR(10)&amp;"T1: "&amp;TEXT(FORMULACIÓN!L116,"00,00%")&amp;CHAR(10)&amp;"T2: "&amp;TEXT(FORMULACIÓN!M116,"00,00%")&amp;CHAR(10)&amp;"T3: "&amp;TEXT(FORMULACIÓN!N116,"00,00%")&amp;CHAR(10)&amp;"Tn: "&amp;TEXT(FORMULACIÓN!O116,"00,00%"),IF(FORMULACIÓN!Q116=0,0,"PDI: "&amp;TEXT(FORMULACIÓN!Q116,"##.###")&amp;CHAR(10)&amp;CHAR(10)&amp;"T1: "&amp;TEXT(FORMULACIÓN!L116,"##.###")&amp;CHAR(10)&amp;"T2: "&amp;TEXT(FORMULACIÓN!M116,"##.###")&amp;CHAR(10)&amp;"T3: "&amp;TEXT(FORMULACIÓN!N116,"##.###")&amp;CHAR(10)&amp;"Tn: "&amp;TEXT(FORMULACIÓN!O116,"##.###")))</f>
        <v xml:space="preserve">PDI: 1
T1: 1
T2: 
T3: 
Tn: </v>
      </c>
      <c r="J116" s="122">
        <f>IF(FORMULACIÓN!K116&lt;&gt;"",FORMULACIÓN!K116,"")</f>
        <v>0</v>
      </c>
      <c r="K116" s="310">
        <v>0</v>
      </c>
      <c r="L116" s="58"/>
      <c r="M116" s="58"/>
      <c r="N116" s="58"/>
      <c r="O116" s="47">
        <f ca="1">IFERROR(IF($H116=Lists!$S$2,SUM('SEGUIMIENTO Y EVALUACIÓN'!J116:N116),IF('SEGUIMIENTO Y EVALUACIÓN'!$H116=Lists!$S$3,SUM('SEGUIMIENTO Y EVALUACIÓN'!K116:N116),IF('SEGUIMIENTO Y EVALUACIÓN'!$H116=Lists!$S$4,AVERAGE('SEGUIMIENTO Y EVALUACIÓN'!K116:N116),IF('SEGUIMIENTO Y EVALUACIÓN'!$H116=Lists!$S$5,OFFSET(J116,0,COUNTA(K116:N116)),IF($H116=Lists!$S$6,COUNTIF(K116:N116,"&lt;"&amp;FORMULACIÓN!Q116)/COUNT('SEGUIMIENTO Y EVALUACIÓN'!K116:N116),""))))),"")</f>
        <v>0</v>
      </c>
      <c r="P116" s="51">
        <f ca="1">IF($G116=Lists!$R$3,TEXT('SEGUIMIENTO Y EVALUACIÓN'!O116,"00,00%"),IF('SEGUIMIENTO Y EVALUACIÓN'!O116=0,0,TEXT('SEGUIMIENTO Y EVALUACIÓN'!O116,"##.###")))</f>
        <v>0</v>
      </c>
      <c r="Q116" s="209" t="str">
        <f>IF(FORMULACIÓN!R116&lt;&gt;"",FORMULACIÓN!R116,"")</f>
        <v>P4 - Creación del Observatorio de Productividad y Desarrollo Social</v>
      </c>
      <c r="R116" s="209">
        <f>IF(FORMULACIÓN!S116&lt;&gt;"",FORMULACIÓN!S116,"")</f>
        <v>0.05</v>
      </c>
      <c r="S116" s="209" t="str">
        <f>IF(FORMULACIÓN!T116&lt;&gt;"",FORMULACIÓN!T116,"")</f>
        <v>Vicerrector de Investigación, Extensión y Proyección Social</v>
      </c>
      <c r="T116" s="42"/>
      <c r="U116" s="42"/>
      <c r="V116" s="42"/>
      <c r="W116" s="43" t="str">
        <f t="shared" si="9"/>
        <v/>
      </c>
      <c r="X116" s="42"/>
      <c r="Y116" s="42"/>
      <c r="Z116" s="42"/>
      <c r="AA116" s="43" t="str">
        <f t="shared" si="10"/>
        <v/>
      </c>
      <c r="AB116" s="42"/>
      <c r="AC116" s="42"/>
      <c r="AD116" s="42"/>
      <c r="AE116" s="43" t="str">
        <f t="shared" si="11"/>
        <v/>
      </c>
      <c r="AF116" s="42"/>
      <c r="AG116" s="42"/>
      <c r="AH116" s="42"/>
      <c r="AI116" s="46" t="str">
        <f t="shared" si="12"/>
        <v/>
      </c>
      <c r="AJ116" s="46" t="str">
        <f>IF(SUM(AA116,AE116,W116,AI116)=0,"",SUM((AA116,AE116,W116,AI116)))</f>
        <v/>
      </c>
      <c r="AK116"/>
      <c r="AL116" s="1" t="str">
        <f t="shared" si="16"/>
        <v>L3M2P4</v>
      </c>
      <c r="AM116" s="56" t="str">
        <f t="shared" si="17"/>
        <v>Observatorio digital institucional para la gestión de conocimiento y el desarrollo social apropiado</v>
      </c>
      <c r="AN116" s="112" t="str">
        <f ca="1">IF($G116=Lists!$R$3,"T1: "&amp;TEXT(FORMULACIÓN!L116,"00,00%")&amp;CHAR(10)&amp;"T2: "&amp;TEXT(FORMULACIÓN!M116,"00,00%")&amp;CHAR(10)&amp;"T3: "&amp;TEXT(FORMULACIÓN!N116,"00,00%")&amp;CHAR(10)&amp;"Tn: "&amp;TEXT(FORMULACIÓN!O116,"00,00%"),IF(FORMULACIÓN!Q116=0,0,"T1: "&amp;TEXT(FORMULACIÓN!L116,"##.###")&amp;CHAR(10)&amp;"T2: "&amp;TEXT(FORMULACIÓN!M116,"##.###")&amp;CHAR(10)&amp;"T3: "&amp;TEXT(FORMULACIÓN!N116,"##.###")&amp;CHAR(10)&amp;"Tn: "&amp;TEXT(FORMULACIÓN!O116,"##.###")))</f>
        <v xml:space="preserve">T1: 1
T2: 
T3: 
Tn: </v>
      </c>
      <c r="AO116" s="117">
        <f>IFERROR(IF($H116=Lists!$S$6,IF(AND(FORMULACIÓN!L116&gt;K116,K116&gt;0),1,0),IF((K116/FORMULACIÓN!L116)&lt;&gt;0,K116/FORMULACIÓN!L116,0)),"")</f>
        <v>0</v>
      </c>
      <c r="AP116" s="117" t="str">
        <f>IFERROR(IF($H116=Lists!$S$6,IF(AND(FORMULACIÓN!M116&gt;L116,L116&gt;0),1,0),IF((L116/FORMULACIÓN!M116)&lt;&gt;0,L116/FORMULACIÓN!M116,0)),"")</f>
        <v/>
      </c>
      <c r="AQ116" s="117" t="str">
        <f>IFERROR(IF($H116=Lists!$S$6,IF(AND(FORMULACIÓN!N116&gt;M116,M116&gt;0),1,0),IF((M116/FORMULACIÓN!N116)&lt;&gt;0,M116/FORMULACIÓN!N116,0)),"")</f>
        <v/>
      </c>
      <c r="AR116" s="117" t="str">
        <f>IFERROR(IF($H116=Lists!$S$6,IF(AND(FORMULACIÓN!O116&gt;N116,N116&gt;0),1,0),IF((N116/FORMULACIÓN!O116)&lt;&gt;0,N116/FORMULACIÓN!O116,0)),"")</f>
        <v/>
      </c>
      <c r="AS116" s="110"/>
      <c r="AT116" s="118">
        <f ca="1">IF($H116=Lists!$S$6,TEXT(COUNTIF('SEGUIMIENTO Y EVALUACIÓN'!K116:N116,"&lt;"&amp;FORMULACIÓN!Q116),"##.###")&amp;" / "&amp;TEXT(COUNTIF('SEGUIMIENTO Y EVALUACIÓN'!K116:N116,"&gt;"&amp;0),"##.###"),IF($G116=Lists!$R$3,TEXT('SEGUIMIENTO Y EVALUACIÓN'!O116,"00,00%")&amp;" / "&amp;TEXT(FORMULACIÓN!P116,"00,00%"),IF('SEGUIMIENTO Y EVALUACIÓN'!O116=0,0,TEXT('SEGUIMIENTO Y EVALUACIÓN'!O116,"##.###")&amp;" / "&amp;TEXT(FORMULACIÓN!P116,"##.###"))))</f>
        <v>0</v>
      </c>
      <c r="AU116" s="57">
        <f ca="1">IFERROR(IF((P116/FORMULACIÓN!Q116)&lt;&gt;0,IF($H116=Lists!$S$6,COUNTIF('SEGUIMIENTO Y EVALUACIÓN'!K116:N116,"&lt;"&amp;FORMULACIÓN!Q116),'SEGUIMIENTO Y EVALUACIÓN'!P116)/IF($H116=Lists!$S$6,COUNTIF('SEGUIMIENTO Y EVALUACIÓN'!K116:N116,"&gt;"&amp;0),FORMULACIÓN!P116),0),0)</f>
        <v>0</v>
      </c>
      <c r="AV116" s="93">
        <f t="shared" ca="1" si="15"/>
        <v>0</v>
      </c>
      <c r="AW116" s="93" cm="1">
        <f t="array" ref="AW116">IF(INDEX(AO116:AU116,1,$AV$3)&gt;1,IF($AU$2=1,1,INDEX(AO116:AU116,1,$AV$3)),INDEX(AO116:AU116,1,$AV$3))</f>
        <v>0</v>
      </c>
      <c r="AX116"/>
      <c r="AY116" s="119" t="str">
        <f>IFERROR(IF((W116/FORMULACIÓN!X116)&lt;&gt;0,W116/FORMULACIÓN!X116,0),"")</f>
        <v/>
      </c>
      <c r="AZ116" s="119" t="str">
        <f>IFERROR(IF((AA116/FORMULACIÓN!AB116)&lt;&gt;0,AA116/FORMULACIÓN!AB116,0),"")</f>
        <v/>
      </c>
      <c r="BA116" s="119" t="str">
        <f>IFERROR(IF((AE116/FORMULACIÓN!AF116)&lt;&gt;0,(AE116/FORMULACIÓN!AF116),0),"")</f>
        <v/>
      </c>
      <c r="BB116" s="119" t="str">
        <f>IFERROR(IF((AI116/FORMULACIÓN!AJ116)&lt;&gt;0,AI116/FORMULACIÓN!AJ116,0),"")</f>
        <v/>
      </c>
      <c r="BC116" s="120" t="str">
        <f>IF('SEGUIMIENTO Y EVALUACIÓN'!AI116=0,0,TEXT('SEGUIMIENTO Y EVALUACIÓN'!AI116,"$ ##.###")&amp;" / "&amp;TEXT(FORMULACIÓN!AK116,"$ ##.###"))</f>
        <v xml:space="preserve"> / $ 10.181.277.498</v>
      </c>
      <c r="BD116" s="57">
        <f>IFERROR(IF((AJ116/FORMULACIÓN!AK116)&lt;&gt;0,AJ116/FORMULACIÓN!AK116,0),0)</f>
        <v>0</v>
      </c>
      <c r="CL116" s="7"/>
    </row>
    <row r="117" spans="1:90" s="1" customFormat="1" ht="99.95" customHeight="1">
      <c r="A117" s="45">
        <f>IF(FORMULACIÓN!A117="","",FORMULACIÓN!A117)</f>
        <v>106</v>
      </c>
      <c r="B117" s="45" t="str">
        <f>IF(FORMULACIÓN!B117="","",FORMULACIÓN!B117)</f>
        <v>L3 - Impacto regional, Nacional e Internacional desde la Extensión y proyección social</v>
      </c>
      <c r="C117" s="45" t="str">
        <f>IF(FORMULACIÓN!E117="","",FORMULACIÓN!E117)</f>
        <v>M3 - Gestión social, artística y cultural</v>
      </c>
      <c r="D117" s="45" t="str">
        <f>IF(FORMULACIÓN!F117="","",FORMULACIÓN!F117)</f>
        <v>Concretar por lo menos 10  alianzas o convenios activos con entidades gubernamentales, sector privado nacional e internacional para la gestión de acceso a la cultura</v>
      </c>
      <c r="E117" s="45" t="str">
        <f>IF(FORMULACIÓN!G117="","",FORMULACIÓN!G117)</f>
        <v>Alianzas o convenios activos para la gestión de acceso a la cultura</v>
      </c>
      <c r="F117" s="45" t="str">
        <f>IF(FORMULACIÓN!H117="","",FORMULACIÓN!H117)</f>
        <v>N° de alianzas o convenios activos para la gestión de acceso a la cultura</v>
      </c>
      <c r="G117" s="45" t="str">
        <f>IF(FORMULACIÓN!I117="","",FORMULACIÓN!I117)</f>
        <v>Unidad</v>
      </c>
      <c r="H117" s="45" t="str">
        <f>IF(FORMULACIÓN!J117="","",FORMULACIÓN!J117)</f>
        <v>Nuevo gestionado durante la vigencia</v>
      </c>
      <c r="I117" s="188" t="str">
        <f ca="1">IF($G117=Lists!$R$3,"PDI: "&amp;TEXT(FORMULACIÓN!Q117,"00,00%")&amp;CHAR(10)&amp;CHAR(10)&amp;"T1: "&amp;TEXT(FORMULACIÓN!L117,"00,00%")&amp;CHAR(10)&amp;"T2: "&amp;TEXT(FORMULACIÓN!M117,"00,00%")&amp;CHAR(10)&amp;"T3: "&amp;TEXT(FORMULACIÓN!N117,"00,00%")&amp;CHAR(10)&amp;"Tn: "&amp;TEXT(FORMULACIÓN!O117,"00,00%"),IF(FORMULACIÓN!Q117=0,0,"PDI: "&amp;TEXT(FORMULACIÓN!Q117,"##.###")&amp;CHAR(10)&amp;CHAR(10)&amp;"T1: "&amp;TEXT(FORMULACIÓN!L117,"##.###")&amp;CHAR(10)&amp;"T2: "&amp;TEXT(FORMULACIÓN!M117,"##.###")&amp;CHAR(10)&amp;"T3: "&amp;TEXT(FORMULACIÓN!N117,"##.###")&amp;CHAR(10)&amp;"Tn: "&amp;TEXT(FORMULACIÓN!O117,"##.###")))</f>
        <v>PDI: 10
T1: 3
T2: 3
T3: 3
Tn: 1</v>
      </c>
      <c r="J117" s="122">
        <f>IF(FORMULACIÓN!K117&lt;&gt;"",FORMULACIÓN!K117,"")</f>
        <v>2</v>
      </c>
      <c r="K117" s="310">
        <v>58</v>
      </c>
      <c r="L117" s="58"/>
      <c r="M117" s="58"/>
      <c r="N117" s="58"/>
      <c r="O117" s="47">
        <f ca="1">IFERROR(IF($H117=Lists!$S$2,SUM('SEGUIMIENTO Y EVALUACIÓN'!J117:N117),IF('SEGUIMIENTO Y EVALUACIÓN'!$H117=Lists!$S$3,SUM('SEGUIMIENTO Y EVALUACIÓN'!K117:N117),IF('SEGUIMIENTO Y EVALUACIÓN'!$H117=Lists!$S$4,AVERAGE('SEGUIMIENTO Y EVALUACIÓN'!K117:N117),IF('SEGUIMIENTO Y EVALUACIÓN'!$H117=Lists!$S$5,OFFSET(J117,0,COUNTA(K117:N117)),IF($H117=Lists!$S$6,COUNTIF(K117:N117,"&lt;"&amp;FORMULACIÓN!Q117)/COUNT('SEGUIMIENTO Y EVALUACIÓN'!K117:N117),""))))),"")</f>
        <v>58</v>
      </c>
      <c r="P117" s="51" t="str">
        <f ca="1">IF($G117=Lists!$R$3,TEXT('SEGUIMIENTO Y EVALUACIÓN'!O117,"00,00%"),IF('SEGUIMIENTO Y EVALUACIÓN'!O117=0,0,TEXT('SEGUIMIENTO Y EVALUACIÓN'!O117,"##.###")))</f>
        <v>58</v>
      </c>
      <c r="Q117" s="209" t="str">
        <f>IF(FORMULACIÓN!R117&lt;&gt;"",FORMULACIÓN!R117,"")</f>
        <v>P1 - Fortalecimiento de los procesos de promoción y acceso a la cultura de la población.</v>
      </c>
      <c r="R117" s="209">
        <f>IF(FORMULACIÓN!S117&lt;&gt;"",FORMULACIÓN!S117,"")</f>
        <v>0.02</v>
      </c>
      <c r="S117" s="209" t="str">
        <f>IF(FORMULACIÓN!T117&lt;&gt;"",FORMULACIÓN!T117,"")</f>
        <v>Vicerrector de Investigación, Extensión y Proyección Social</v>
      </c>
      <c r="T117" s="42"/>
      <c r="U117" s="42"/>
      <c r="V117" s="42"/>
      <c r="W117" s="43" t="str">
        <f t="shared" si="9"/>
        <v/>
      </c>
      <c r="X117" s="42"/>
      <c r="Y117" s="42"/>
      <c r="Z117" s="42"/>
      <c r="AA117" s="43" t="str">
        <f t="shared" si="10"/>
        <v/>
      </c>
      <c r="AB117" s="42"/>
      <c r="AC117" s="42"/>
      <c r="AD117" s="42"/>
      <c r="AE117" s="43" t="str">
        <f t="shared" si="11"/>
        <v/>
      </c>
      <c r="AF117" s="42"/>
      <c r="AG117" s="42"/>
      <c r="AH117" s="42"/>
      <c r="AI117" s="46" t="str">
        <f t="shared" si="12"/>
        <v/>
      </c>
      <c r="AJ117" s="46" t="str">
        <f>IF(SUM(AA117,AE117,W117,AI117)=0,"",SUM((AA117,AE117,W117,AI117)))</f>
        <v/>
      </c>
      <c r="AK117"/>
      <c r="AL117" s="1" t="str">
        <f t="shared" si="16"/>
        <v>L3M3P1</v>
      </c>
      <c r="AM117" s="56" t="str">
        <f t="shared" si="17"/>
        <v>Alianzas o convenios activos para la gestión de acceso a la cultura</v>
      </c>
      <c r="AN117" s="112" t="str">
        <f ca="1">IF($G117=Lists!$R$3,"T1: "&amp;TEXT(FORMULACIÓN!L117,"00,00%")&amp;CHAR(10)&amp;"T2: "&amp;TEXT(FORMULACIÓN!M117,"00,00%")&amp;CHAR(10)&amp;"T3: "&amp;TEXT(FORMULACIÓN!N117,"00,00%")&amp;CHAR(10)&amp;"Tn: "&amp;TEXT(FORMULACIÓN!O117,"00,00%"),IF(FORMULACIÓN!Q117=0,0,"T1: "&amp;TEXT(FORMULACIÓN!L117,"##.###")&amp;CHAR(10)&amp;"T2: "&amp;TEXT(FORMULACIÓN!M117,"##.###")&amp;CHAR(10)&amp;"T3: "&amp;TEXT(FORMULACIÓN!N117,"##.###")&amp;CHAR(10)&amp;"Tn: "&amp;TEXT(FORMULACIÓN!O117,"##.###")))</f>
        <v>T1: 3
T2: 3
T3: 3
Tn: 1</v>
      </c>
      <c r="AO117" s="117">
        <f>IFERROR(IF($H117=Lists!$S$6,IF(AND(FORMULACIÓN!L117&gt;K117,K117&gt;0),1,0),IF((K117/FORMULACIÓN!L117)&lt;&gt;0,K117/FORMULACIÓN!L117,0)),"")</f>
        <v>19.333333333333332</v>
      </c>
      <c r="AP117" s="117">
        <f>IFERROR(IF($H117=Lists!$S$6,IF(AND(FORMULACIÓN!M117&gt;L117,L117&gt;0),1,0),IF((L117/FORMULACIÓN!M117)&lt;&gt;0,L117/FORMULACIÓN!M117,0)),"")</f>
        <v>0</v>
      </c>
      <c r="AQ117" s="117">
        <f>IFERROR(IF($H117=Lists!$S$6,IF(AND(FORMULACIÓN!N117&gt;M117,M117&gt;0),1,0),IF((M117/FORMULACIÓN!N117)&lt;&gt;0,M117/FORMULACIÓN!N117,0)),"")</f>
        <v>0</v>
      </c>
      <c r="AR117" s="117">
        <f>IFERROR(IF($H117=Lists!$S$6,IF(AND(FORMULACIÓN!O117&gt;N117,N117&gt;0),1,0),IF((N117/FORMULACIÓN!O117)&lt;&gt;0,N117/FORMULACIÓN!O117,0)),"")</f>
        <v>0</v>
      </c>
      <c r="AS117" s="110"/>
      <c r="AT117" s="118" t="str">
        <f ca="1">IF($H117=Lists!$S$6,TEXT(COUNTIF('SEGUIMIENTO Y EVALUACIÓN'!K117:N117,"&lt;"&amp;FORMULACIÓN!Q117),"##.###")&amp;" / "&amp;TEXT(COUNTIF('SEGUIMIENTO Y EVALUACIÓN'!K117:N117,"&gt;"&amp;0),"##.###"),IF($G117=Lists!$R$3,TEXT('SEGUIMIENTO Y EVALUACIÓN'!O117,"00,00%")&amp;" / "&amp;TEXT(FORMULACIÓN!P117,"00,00%"),IF('SEGUIMIENTO Y EVALUACIÓN'!O117=0,0,TEXT('SEGUIMIENTO Y EVALUACIÓN'!O117,"##.###")&amp;" / "&amp;TEXT(FORMULACIÓN!P117,"##.###"))))</f>
        <v>58 / 10</v>
      </c>
      <c r="AU117" s="57">
        <f ca="1">IFERROR(IF((P117/FORMULACIÓN!Q117)&lt;&gt;0,IF($H117=Lists!$S$6,COUNTIF('SEGUIMIENTO Y EVALUACIÓN'!K117:N117,"&lt;"&amp;FORMULACIÓN!Q117),'SEGUIMIENTO Y EVALUACIÓN'!P117)/IF($H117=Lists!$S$6,COUNTIF('SEGUIMIENTO Y EVALUACIÓN'!K117:N117,"&gt;"&amp;0),FORMULACIÓN!P117),0),0)</f>
        <v>5.8</v>
      </c>
      <c r="AV117" s="93">
        <f t="shared" ca="1" si="15"/>
        <v>0.02</v>
      </c>
      <c r="AW117" s="93" cm="1">
        <f t="array" ref="AW117">IF(INDEX(AO117:AU117,1,$AV$3)&gt;1,IF($AU$2=1,1,INDEX(AO117:AU117,1,$AV$3)),INDEX(AO117:AU117,1,$AV$3))</f>
        <v>1</v>
      </c>
      <c r="AX117"/>
      <c r="AY117" s="119" t="str">
        <f>IFERROR(IF((W117/FORMULACIÓN!X117)&lt;&gt;0,W117/FORMULACIÓN!X117,0),"")</f>
        <v/>
      </c>
      <c r="AZ117" s="119" t="str">
        <f>IFERROR(IF((AA117/FORMULACIÓN!AB117)&lt;&gt;0,AA117/FORMULACIÓN!AB117,0),"")</f>
        <v/>
      </c>
      <c r="BA117" s="119" t="str">
        <f>IFERROR(IF((AE117/FORMULACIÓN!AF117)&lt;&gt;0,(AE117/FORMULACIÓN!AF117),0),"")</f>
        <v/>
      </c>
      <c r="BB117" s="119" t="str">
        <f>IFERROR(IF((AI117/FORMULACIÓN!AJ117)&lt;&gt;0,AI117/FORMULACIÓN!AJ117,0),"")</f>
        <v/>
      </c>
      <c r="BC117" s="120" t="str">
        <f>IF('SEGUIMIENTO Y EVALUACIÓN'!AI117=0,0,TEXT('SEGUIMIENTO Y EVALUACIÓN'!AI117,"$ ##.###")&amp;" / "&amp;TEXT(FORMULACIÓN!AK117,"$ ##.###"))</f>
        <v xml:space="preserve"> / $ 4.986.525.451</v>
      </c>
      <c r="BD117" s="57">
        <f>IFERROR(IF((AJ117/FORMULACIÓN!AK117)&lt;&gt;0,AJ117/FORMULACIÓN!AK117,0),0)</f>
        <v>0</v>
      </c>
      <c r="CL117" s="7"/>
    </row>
    <row r="118" spans="1:90" s="1" customFormat="1" ht="99.95" customHeight="1">
      <c r="A118" s="45">
        <f>IF(FORMULACIÓN!A118="","",FORMULACIÓN!A118)</f>
        <v>107</v>
      </c>
      <c r="B118" s="45" t="str">
        <f>IF(FORMULACIÓN!B118="","",FORMULACIÓN!B118)</f>
        <v>L3 - Impacto regional, Nacional e Internacional desde la Extensión y proyección social</v>
      </c>
      <c r="C118" s="45" t="str">
        <f>IF(FORMULACIÓN!E118="","",FORMULACIÓN!E118)</f>
        <v>M3 - Gestión social, artística y cultural</v>
      </c>
      <c r="D118" s="45" t="str">
        <f>IF(FORMULACIÓN!F118="","",FORMULACIÓN!F118)</f>
        <v>Desarrollar mínimo 50 proyectos para el acceso a la cultura</v>
      </c>
      <c r="E118" s="45" t="str">
        <f>IF(FORMULACIÓN!G118="","",FORMULACIÓN!G118)</f>
        <v>Proyectos ejecutados para el acceso a la cultura</v>
      </c>
      <c r="F118" s="45" t="str">
        <f>IF(FORMULACIÓN!H118="","",FORMULACIÓN!H118)</f>
        <v>N° de proyectos ejecutados para el acceso a la cultura</v>
      </c>
      <c r="G118" s="45" t="str">
        <f>IF(FORMULACIÓN!I118="","",FORMULACIÓN!I118)</f>
        <v>Unidad</v>
      </c>
      <c r="H118" s="45" t="str">
        <f>IF(FORMULACIÓN!J118="","",FORMULACIÓN!J118)</f>
        <v>Nuevo gestionado durante la vigencia</v>
      </c>
      <c r="I118" s="188" t="str">
        <f ca="1">IF($G118=Lists!$R$3,"PDI: "&amp;TEXT(FORMULACIÓN!Q118,"00,00%")&amp;CHAR(10)&amp;CHAR(10)&amp;"T1: "&amp;TEXT(FORMULACIÓN!L118,"00,00%")&amp;CHAR(10)&amp;"T2: "&amp;TEXT(FORMULACIÓN!M118,"00,00%")&amp;CHAR(10)&amp;"T3: "&amp;TEXT(FORMULACIÓN!N118,"00,00%")&amp;CHAR(10)&amp;"Tn: "&amp;TEXT(FORMULACIÓN!O118,"00,00%"),IF(FORMULACIÓN!Q118=0,0,"PDI: "&amp;TEXT(FORMULACIÓN!Q118,"##.###")&amp;CHAR(10)&amp;CHAR(10)&amp;"T1: "&amp;TEXT(FORMULACIÓN!L118,"##.###")&amp;CHAR(10)&amp;"T2: "&amp;TEXT(FORMULACIÓN!M118,"##.###")&amp;CHAR(10)&amp;"T3: "&amp;TEXT(FORMULACIÓN!N118,"##.###")&amp;CHAR(10)&amp;"Tn: "&amp;TEXT(FORMULACIÓN!O118,"##.###")))</f>
        <v>PDI: 50
T1: 10
T2: 15
T3: 20
Tn: 5</v>
      </c>
      <c r="J118" s="122">
        <f>IF(FORMULACIÓN!K118&lt;&gt;"",FORMULACIÓN!K118,"")</f>
        <v>2</v>
      </c>
      <c r="K118" s="310">
        <v>25</v>
      </c>
      <c r="L118" s="58"/>
      <c r="M118" s="58"/>
      <c r="N118" s="58"/>
      <c r="O118" s="47">
        <f ca="1">IFERROR(IF($H118=Lists!$S$2,SUM('SEGUIMIENTO Y EVALUACIÓN'!J118:N118),IF('SEGUIMIENTO Y EVALUACIÓN'!$H118=Lists!$S$3,SUM('SEGUIMIENTO Y EVALUACIÓN'!K118:N118),IF('SEGUIMIENTO Y EVALUACIÓN'!$H118=Lists!$S$4,AVERAGE('SEGUIMIENTO Y EVALUACIÓN'!K118:N118),IF('SEGUIMIENTO Y EVALUACIÓN'!$H118=Lists!$S$5,OFFSET(J118,0,COUNTA(K118:N118)),IF($H118=Lists!$S$6,COUNTIF(K118:N118,"&lt;"&amp;FORMULACIÓN!Q118)/COUNT('SEGUIMIENTO Y EVALUACIÓN'!K118:N118),""))))),"")</f>
        <v>25</v>
      </c>
      <c r="P118" s="51" t="str">
        <f ca="1">IF($G118=Lists!$R$3,TEXT('SEGUIMIENTO Y EVALUACIÓN'!O118,"00,00%"),IF('SEGUIMIENTO Y EVALUACIÓN'!O118=0,0,TEXT('SEGUIMIENTO Y EVALUACIÓN'!O118,"##.###")))</f>
        <v>25</v>
      </c>
      <c r="Q118" s="209" t="str">
        <f>IF(FORMULACIÓN!R118&lt;&gt;"",FORMULACIÓN!R118,"")</f>
        <v>P1 - Fortalecimiento de los procesos de promoción y acceso a la cultura de la población.</v>
      </c>
      <c r="R118" s="209">
        <f>IF(FORMULACIÓN!S118&lt;&gt;"",FORMULACIÓN!S118,"")</f>
        <v>0.02</v>
      </c>
      <c r="S118" s="209" t="str">
        <f>IF(FORMULACIÓN!T118&lt;&gt;"",FORMULACIÓN!T118,"")</f>
        <v>Vicerrector de Investigación, Extensión y Proyección Social</v>
      </c>
      <c r="T118" s="42"/>
      <c r="U118" s="42"/>
      <c r="V118" s="42"/>
      <c r="W118" s="43" t="str">
        <f t="shared" si="9"/>
        <v/>
      </c>
      <c r="X118" s="42"/>
      <c r="Y118" s="42"/>
      <c r="Z118" s="42"/>
      <c r="AA118" s="43" t="str">
        <f t="shared" si="10"/>
        <v/>
      </c>
      <c r="AB118" s="42"/>
      <c r="AC118" s="42"/>
      <c r="AD118" s="42"/>
      <c r="AE118" s="43" t="str">
        <f t="shared" si="11"/>
        <v/>
      </c>
      <c r="AF118" s="42"/>
      <c r="AG118" s="42"/>
      <c r="AH118" s="42"/>
      <c r="AI118" s="46" t="str">
        <f t="shared" si="12"/>
        <v/>
      </c>
      <c r="AJ118" s="46" t="str">
        <f>IF(SUM(AA118,AE118,W118,AI118)=0,"",SUM((AA118,AE118,W118,AI118)))</f>
        <v/>
      </c>
      <c r="AK118"/>
      <c r="AL118" s="1" t="str">
        <f t="shared" si="16"/>
        <v>L3M3P1</v>
      </c>
      <c r="AM118" s="56" t="str">
        <f t="shared" si="17"/>
        <v>Proyectos ejecutados para el acceso a la cultura</v>
      </c>
      <c r="AN118" s="112" t="str">
        <f ca="1">IF($G118=Lists!$R$3,"T1: "&amp;TEXT(FORMULACIÓN!L118,"00,00%")&amp;CHAR(10)&amp;"T2: "&amp;TEXT(FORMULACIÓN!M118,"00,00%")&amp;CHAR(10)&amp;"T3: "&amp;TEXT(FORMULACIÓN!N118,"00,00%")&amp;CHAR(10)&amp;"Tn: "&amp;TEXT(FORMULACIÓN!O118,"00,00%"),IF(FORMULACIÓN!Q118=0,0,"T1: "&amp;TEXT(FORMULACIÓN!L118,"##.###")&amp;CHAR(10)&amp;"T2: "&amp;TEXT(FORMULACIÓN!M118,"##.###")&amp;CHAR(10)&amp;"T3: "&amp;TEXT(FORMULACIÓN!N118,"##.###")&amp;CHAR(10)&amp;"Tn: "&amp;TEXT(FORMULACIÓN!O118,"##.###")))</f>
        <v>T1: 10
T2: 15
T3: 20
Tn: 5</v>
      </c>
      <c r="AO118" s="117">
        <f>IFERROR(IF($H118=Lists!$S$6,IF(AND(FORMULACIÓN!L118&gt;K118,K118&gt;0),1,0),IF((K118/FORMULACIÓN!L118)&lt;&gt;0,K118/FORMULACIÓN!L118,0)),"")</f>
        <v>2.5</v>
      </c>
      <c r="AP118" s="117">
        <f>IFERROR(IF($H118=Lists!$S$6,IF(AND(FORMULACIÓN!M118&gt;L118,L118&gt;0),1,0),IF((L118/FORMULACIÓN!M118)&lt;&gt;0,L118/FORMULACIÓN!M118,0)),"")</f>
        <v>0</v>
      </c>
      <c r="AQ118" s="117">
        <f>IFERROR(IF($H118=Lists!$S$6,IF(AND(FORMULACIÓN!N118&gt;M118,M118&gt;0),1,0),IF((M118/FORMULACIÓN!N118)&lt;&gt;0,M118/FORMULACIÓN!N118,0)),"")</f>
        <v>0</v>
      </c>
      <c r="AR118" s="117">
        <f>IFERROR(IF($H118=Lists!$S$6,IF(AND(FORMULACIÓN!O118&gt;N118,N118&gt;0),1,0),IF((N118/FORMULACIÓN!O118)&lt;&gt;0,N118/FORMULACIÓN!O118,0)),"")</f>
        <v>0</v>
      </c>
      <c r="AS118" s="110"/>
      <c r="AT118" s="118" t="str">
        <f ca="1">IF($H118=Lists!$S$6,TEXT(COUNTIF('SEGUIMIENTO Y EVALUACIÓN'!K118:N118,"&lt;"&amp;FORMULACIÓN!Q118),"##.###")&amp;" / "&amp;TEXT(COUNTIF('SEGUIMIENTO Y EVALUACIÓN'!K118:N118,"&gt;"&amp;0),"##.###"),IF($G118=Lists!$R$3,TEXT('SEGUIMIENTO Y EVALUACIÓN'!O118,"00,00%")&amp;" / "&amp;TEXT(FORMULACIÓN!P118,"00,00%"),IF('SEGUIMIENTO Y EVALUACIÓN'!O118=0,0,TEXT('SEGUIMIENTO Y EVALUACIÓN'!O118,"##.###")&amp;" / "&amp;TEXT(FORMULACIÓN!P118,"##.###"))))</f>
        <v>25 / 50</v>
      </c>
      <c r="AU118" s="57">
        <f ca="1">IFERROR(IF((P118/FORMULACIÓN!Q118)&lt;&gt;0,IF($H118=Lists!$S$6,COUNTIF('SEGUIMIENTO Y EVALUACIÓN'!K118:N118,"&lt;"&amp;FORMULACIÓN!Q118),'SEGUIMIENTO Y EVALUACIÓN'!P118)/IF($H118=Lists!$S$6,COUNTIF('SEGUIMIENTO Y EVALUACIÓN'!K118:N118,"&gt;"&amp;0),FORMULACIÓN!P118),0),0)</f>
        <v>0.5</v>
      </c>
      <c r="AV118" s="93">
        <f t="shared" ca="1" si="15"/>
        <v>0.01</v>
      </c>
      <c r="AW118" s="93" cm="1">
        <f t="array" ref="AW118">IF(INDEX(AO118:AU118,1,$AV$3)&gt;1,IF($AU$2=1,1,INDEX(AO118:AU118,1,$AV$3)),INDEX(AO118:AU118,1,$AV$3))</f>
        <v>1</v>
      </c>
      <c r="AX118"/>
      <c r="AY118" s="119" t="str">
        <f>IFERROR(IF((W118/FORMULACIÓN!X118)&lt;&gt;0,W118/FORMULACIÓN!X118,0),"")</f>
        <v/>
      </c>
      <c r="AZ118" s="119" t="str">
        <f>IFERROR(IF((AA118/FORMULACIÓN!AB118)&lt;&gt;0,AA118/FORMULACIÓN!AB118,0),"")</f>
        <v/>
      </c>
      <c r="BA118" s="119" t="str">
        <f>IFERROR(IF((AE118/FORMULACIÓN!AF118)&lt;&gt;0,(AE118/FORMULACIÓN!AF118),0),"")</f>
        <v/>
      </c>
      <c r="BB118" s="119" t="str">
        <f>IFERROR(IF((AI118/FORMULACIÓN!AJ118)&lt;&gt;0,AI118/FORMULACIÓN!AJ118,0),"")</f>
        <v/>
      </c>
      <c r="BC118" s="120" t="str">
        <f>IF('SEGUIMIENTO Y EVALUACIÓN'!AI118=0,0,TEXT('SEGUIMIENTO Y EVALUACIÓN'!AI118,"$ ##.###")&amp;" / "&amp;TEXT(FORMULACIÓN!AK118,"$ ##.###"))</f>
        <v xml:space="preserve"> / $ 8.726.419.539</v>
      </c>
      <c r="BD118" s="57">
        <f>IFERROR(IF((AJ118/FORMULACIÓN!AK118)&lt;&gt;0,AJ118/FORMULACIÓN!AK118,0),0)</f>
        <v>0</v>
      </c>
      <c r="CL118" s="7"/>
    </row>
    <row r="119" spans="1:90" s="1" customFormat="1" ht="99.95" customHeight="1">
      <c r="A119" s="45">
        <f>IF(FORMULACIÓN!A119="","",FORMULACIÓN!A119)</f>
        <v>108</v>
      </c>
      <c r="B119" s="45" t="str">
        <f>IF(FORMULACIÓN!B119="","",FORMULACIÓN!B119)</f>
        <v>L3 - Impacto regional, Nacional e Internacional desde la Extensión y proyección social</v>
      </c>
      <c r="C119" s="45" t="str">
        <f>IF(FORMULACIÓN!E119="","",FORMULACIÓN!E119)</f>
        <v>M3 - Gestión social, artística y cultural</v>
      </c>
      <c r="D119" s="45" t="str">
        <f>IF(FORMULACIÓN!F119="","",FORMULACIÓN!F119)</f>
        <v>Promover mínimo 3 proyectos y espacios institucionales con enfoque al desarrollo turístico, patrimonial y social con la vinculación de los gobiernos departamental, nacional y/o internacional</v>
      </c>
      <c r="E119" s="45" t="str">
        <f>IF(FORMULACIÓN!G119="","",FORMULACIÓN!G119)</f>
        <v>Proyectos institucionales con enfoque al desarrollo turístico, patrimonial y social con la vinculación de los gobiernos departamental, nacional y/o internacional</v>
      </c>
      <c r="F119" s="45" t="str">
        <f>IF(FORMULACIÓN!H119="","",FORMULACIÓN!H119)</f>
        <v>N° de proyectos institucionales con enfoque al desarrollo turístico, patrimonial y social con la vinculación de los gobiernos departamental, nacional y/o internacional</v>
      </c>
      <c r="G119" s="45" t="str">
        <f>IF(FORMULACIÓN!I119="","",FORMULACIÓN!I119)</f>
        <v>Unidad</v>
      </c>
      <c r="H119" s="45" t="str">
        <f>IF(FORMULACIÓN!J119="","",FORMULACIÓN!J119)</f>
        <v>Acumulado</v>
      </c>
      <c r="I119" s="188" t="str">
        <f ca="1">IF($G119=Lists!$R$3,"PDI: "&amp;TEXT(FORMULACIÓN!Q119,"00,00%")&amp;CHAR(10)&amp;CHAR(10)&amp;"T1: "&amp;TEXT(FORMULACIÓN!L119,"00,00%")&amp;CHAR(10)&amp;"T2: "&amp;TEXT(FORMULACIÓN!M119,"00,00%")&amp;CHAR(10)&amp;"T3: "&amp;TEXT(FORMULACIÓN!N119,"00,00%")&amp;CHAR(10)&amp;"Tn: "&amp;TEXT(FORMULACIÓN!O119,"00,00%"),IF(FORMULACIÓN!Q119=0,0,"PDI: "&amp;TEXT(FORMULACIÓN!Q119,"##.###")&amp;CHAR(10)&amp;CHAR(10)&amp;"T1: "&amp;TEXT(FORMULACIÓN!L119,"##.###")&amp;CHAR(10)&amp;"T2: "&amp;TEXT(FORMULACIÓN!M119,"##.###")&amp;CHAR(10)&amp;"T3: "&amp;TEXT(FORMULACIÓN!N119,"##.###")&amp;CHAR(10)&amp;"Tn: "&amp;TEXT(FORMULACIÓN!O119,"##.###")))</f>
        <v xml:space="preserve">PDI: 3
T1: 1
T2: 1
T3: 1
Tn: </v>
      </c>
      <c r="J119" s="122">
        <f>IF(FORMULACIÓN!K119&lt;&gt;"",FORMULACIÓN!K119,"")</f>
        <v>0</v>
      </c>
      <c r="K119" s="310">
        <v>1</v>
      </c>
      <c r="L119" s="58"/>
      <c r="M119" s="58"/>
      <c r="N119" s="58"/>
      <c r="O119" s="47">
        <f ca="1">IFERROR(IF($H119=Lists!$S$2,SUM('SEGUIMIENTO Y EVALUACIÓN'!J119:N119),IF('SEGUIMIENTO Y EVALUACIÓN'!$H119=Lists!$S$3,SUM('SEGUIMIENTO Y EVALUACIÓN'!K119:N119),IF('SEGUIMIENTO Y EVALUACIÓN'!$H119=Lists!$S$4,AVERAGE('SEGUIMIENTO Y EVALUACIÓN'!K119:N119),IF('SEGUIMIENTO Y EVALUACIÓN'!$H119=Lists!$S$5,OFFSET(J119,0,COUNTA(K119:N119)),IF($H119=Lists!$S$6,COUNTIF(K119:N119,"&lt;"&amp;FORMULACIÓN!Q119)/COUNT('SEGUIMIENTO Y EVALUACIÓN'!K119:N119),""))))),"")</f>
        <v>1</v>
      </c>
      <c r="P119" s="51" t="str">
        <f ca="1">IF($G119=Lists!$R$3,TEXT('SEGUIMIENTO Y EVALUACIÓN'!O119,"00,00%"),IF('SEGUIMIENTO Y EVALUACIÓN'!O119=0,0,TEXT('SEGUIMIENTO Y EVALUACIÓN'!O119,"##.###")))</f>
        <v>1</v>
      </c>
      <c r="Q119" s="209" t="str">
        <f>IF(FORMULACIÓN!R119&lt;&gt;"",FORMULACIÓN!R119,"")</f>
        <v>P1 - Fortalecimiento de los procesos de promoción y acceso a la cultura de la población.</v>
      </c>
      <c r="R119" s="209">
        <f>IF(FORMULACIÓN!S119&lt;&gt;"",FORMULACIÓN!S119,"")</f>
        <v>0.02</v>
      </c>
      <c r="S119" s="209" t="str">
        <f>IF(FORMULACIÓN!T119&lt;&gt;"",FORMULACIÓN!T119,"")</f>
        <v>Vicerrector de Investigación, Extensión y Proyección Social</v>
      </c>
      <c r="T119" s="42"/>
      <c r="U119" s="42"/>
      <c r="V119" s="42"/>
      <c r="W119" s="43" t="str">
        <f t="shared" si="9"/>
        <v/>
      </c>
      <c r="X119" s="42"/>
      <c r="Y119" s="42"/>
      <c r="Z119" s="42"/>
      <c r="AA119" s="43" t="str">
        <f t="shared" si="10"/>
        <v/>
      </c>
      <c r="AB119" s="42"/>
      <c r="AC119" s="42"/>
      <c r="AD119" s="42"/>
      <c r="AE119" s="43" t="str">
        <f t="shared" si="11"/>
        <v/>
      </c>
      <c r="AF119" s="42"/>
      <c r="AG119" s="42"/>
      <c r="AH119" s="42"/>
      <c r="AI119" s="46" t="str">
        <f t="shared" si="12"/>
        <v/>
      </c>
      <c r="AJ119" s="46" t="str">
        <f>IF(SUM(AA119,AE119,W119,AI119)=0,"",SUM((AA119,AE119,W119,AI119)))</f>
        <v/>
      </c>
      <c r="AK119"/>
      <c r="AL119" s="1" t="str">
        <f t="shared" si="16"/>
        <v>L3M3P1</v>
      </c>
      <c r="AM119" s="56" t="str">
        <f t="shared" si="17"/>
        <v>Proyectos institucionales con enfoque al desarrollo turístico, patrimonial y social con la vinculación de los gobiernos departamental, nacional y/o internacional</v>
      </c>
      <c r="AN119" s="112" t="str">
        <f ca="1">IF($G119=Lists!$R$3,"T1: "&amp;TEXT(FORMULACIÓN!L119,"00,00%")&amp;CHAR(10)&amp;"T2: "&amp;TEXT(FORMULACIÓN!M119,"00,00%")&amp;CHAR(10)&amp;"T3: "&amp;TEXT(FORMULACIÓN!N119,"00,00%")&amp;CHAR(10)&amp;"Tn: "&amp;TEXT(FORMULACIÓN!O119,"00,00%"),IF(FORMULACIÓN!Q119=0,0,"T1: "&amp;TEXT(FORMULACIÓN!L119,"##.###")&amp;CHAR(10)&amp;"T2: "&amp;TEXT(FORMULACIÓN!M119,"##.###")&amp;CHAR(10)&amp;"T3: "&amp;TEXT(FORMULACIÓN!N119,"##.###")&amp;CHAR(10)&amp;"Tn: "&amp;TEXT(FORMULACIÓN!O119,"##.###")))</f>
        <v xml:space="preserve">T1: 1
T2: 1
T3: 1
Tn: </v>
      </c>
      <c r="AO119" s="117">
        <f>IFERROR(IF($H119=Lists!$S$6,IF(AND(FORMULACIÓN!L119&gt;K119,K119&gt;0),1,0),IF((K119/FORMULACIÓN!L119)&lt;&gt;0,K119/FORMULACIÓN!L119,0)),"")</f>
        <v>1</v>
      </c>
      <c r="AP119" s="117">
        <f>IFERROR(IF($H119=Lists!$S$6,IF(AND(FORMULACIÓN!M119&gt;L119,L119&gt;0),1,0),IF((L119/FORMULACIÓN!M119)&lt;&gt;0,L119/FORMULACIÓN!M119,0)),"")</f>
        <v>0</v>
      </c>
      <c r="AQ119" s="117">
        <f>IFERROR(IF($H119=Lists!$S$6,IF(AND(FORMULACIÓN!N119&gt;M119,M119&gt;0),1,0),IF((M119/FORMULACIÓN!N119)&lt;&gt;0,M119/FORMULACIÓN!N119,0)),"")</f>
        <v>0</v>
      </c>
      <c r="AR119" s="117" t="str">
        <f>IFERROR(IF($H119=Lists!$S$6,IF(AND(FORMULACIÓN!O119&gt;N119,N119&gt;0),1,0),IF((N119/FORMULACIÓN!O119)&lt;&gt;0,N119/FORMULACIÓN!O119,0)),"")</f>
        <v/>
      </c>
      <c r="AS119" s="110"/>
      <c r="AT119" s="118" t="str">
        <f ca="1">IF($H119=Lists!$S$6,TEXT(COUNTIF('SEGUIMIENTO Y EVALUACIÓN'!K119:N119,"&lt;"&amp;FORMULACIÓN!Q119),"##.###")&amp;" / "&amp;TEXT(COUNTIF('SEGUIMIENTO Y EVALUACIÓN'!K119:N119,"&gt;"&amp;0),"##.###"),IF($G119=Lists!$R$3,TEXT('SEGUIMIENTO Y EVALUACIÓN'!O119,"00,00%")&amp;" / "&amp;TEXT(FORMULACIÓN!P119,"00,00%"),IF('SEGUIMIENTO Y EVALUACIÓN'!O119=0,0,TEXT('SEGUIMIENTO Y EVALUACIÓN'!O119,"##.###")&amp;" / "&amp;TEXT(FORMULACIÓN!P119,"##.###"))))</f>
        <v>1 / 3</v>
      </c>
      <c r="AU119" s="57">
        <f ca="1">IFERROR(IF((P119/FORMULACIÓN!Q119)&lt;&gt;0,IF($H119=Lists!$S$6,COUNTIF('SEGUIMIENTO Y EVALUACIÓN'!K119:N119,"&lt;"&amp;FORMULACIÓN!Q119),'SEGUIMIENTO Y EVALUACIÓN'!P119)/IF($H119=Lists!$S$6,COUNTIF('SEGUIMIENTO Y EVALUACIÓN'!K119:N119,"&gt;"&amp;0),FORMULACIÓN!P119),0),0)</f>
        <v>0.33333333333333331</v>
      </c>
      <c r="AV119" s="93">
        <f t="shared" ca="1" si="15"/>
        <v>6.6666666666666662E-3</v>
      </c>
      <c r="AW119" s="93" cm="1">
        <f t="array" ref="AW119">IF(INDEX(AO119:AU119,1,$AV$3)&gt;1,IF($AU$2=1,1,INDEX(AO119:AU119,1,$AV$3)),INDEX(AO119:AU119,1,$AV$3))</f>
        <v>1</v>
      </c>
      <c r="AX119"/>
      <c r="AY119" s="119" t="str">
        <f>IFERROR(IF((W119/FORMULACIÓN!X119)&lt;&gt;0,W119/FORMULACIÓN!X119,0),"")</f>
        <v/>
      </c>
      <c r="AZ119" s="119" t="str">
        <f>IFERROR(IF((AA119/FORMULACIÓN!AB119)&lt;&gt;0,AA119/FORMULACIÓN!AB119,0),"")</f>
        <v/>
      </c>
      <c r="BA119" s="119" t="str">
        <f>IFERROR(IF((AE119/FORMULACIÓN!AF119)&lt;&gt;0,(AE119/FORMULACIÓN!AF119),0),"")</f>
        <v/>
      </c>
      <c r="BB119" s="119" t="str">
        <f>IFERROR(IF((AI119/FORMULACIÓN!AJ119)&lt;&gt;0,AI119/FORMULACIÓN!AJ119,0),"")</f>
        <v/>
      </c>
      <c r="BC119" s="120" t="str">
        <f>IF('SEGUIMIENTO Y EVALUACIÓN'!AI119=0,0,TEXT('SEGUIMIENTO Y EVALUACIÓN'!AI119,"$ ##.###")&amp;" / "&amp;TEXT(FORMULACIÓN!AK119,"$ ##.###"))</f>
        <v xml:space="preserve"> / $ 8.726.419.539</v>
      </c>
      <c r="BD119" s="57">
        <f>IFERROR(IF((AJ119/FORMULACIÓN!AK119)&lt;&gt;0,AJ119/FORMULACIÓN!AK119,0),0)</f>
        <v>0</v>
      </c>
      <c r="CL119" s="7"/>
    </row>
    <row r="120" spans="1:90" s="15" customFormat="1" ht="99.95" customHeight="1">
      <c r="A120" s="45">
        <f>IF(FORMULACIÓN!A120="","",FORMULACIÓN!A120)</f>
        <v>109</v>
      </c>
      <c r="B120" s="45" t="str">
        <f>IF(FORMULACIÓN!B120="","",FORMULACIÓN!B120)</f>
        <v>L3 - Impacto regional, Nacional e Internacional desde la Extensión y proyección social</v>
      </c>
      <c r="C120" s="45" t="str">
        <f>IF(FORMULACIÓN!E120="","",FORMULACIÓN!E120)</f>
        <v>M3 - Gestión social, artística y cultural</v>
      </c>
      <c r="D120" s="45" t="str">
        <f>IF(FORMULACIÓN!F120="","",FORMULACIÓN!F120)</f>
        <v xml:space="preserve">Visibilizar los resultados de los procesos de investigación creación artística con 15 participaciones en eventos de apropiación social </v>
      </c>
      <c r="E120" s="45" t="str">
        <f>IF(FORMULACIÓN!G120="","",FORMULACIÓN!G120)</f>
        <v xml:space="preserve">Participación en eventos de apropiación social y cultural de los resultados de investigación creación </v>
      </c>
      <c r="F120" s="45" t="str">
        <f>IF(FORMULACIÓN!H120="","",FORMULACIÓN!H120)</f>
        <v xml:space="preserve">N° de participaciones artísticas en eventos de apropiación social y cultural  de los resultados de investigación creación </v>
      </c>
      <c r="G120" s="45" t="str">
        <f>IF(FORMULACIÓN!I120="","",FORMULACIÓN!I120)</f>
        <v>Unidad</v>
      </c>
      <c r="H120" s="45" t="str">
        <f>IF(FORMULACIÓN!J120="","",FORMULACIÓN!J120)</f>
        <v>Nuevo gestionado durante la vigencia</v>
      </c>
      <c r="I120" s="188" t="str">
        <f ca="1">IF($G120=Lists!$R$3,"PDI: "&amp;TEXT(FORMULACIÓN!Q120,"00,00%")&amp;CHAR(10)&amp;CHAR(10)&amp;"T1: "&amp;TEXT(FORMULACIÓN!L120,"00,00%")&amp;CHAR(10)&amp;"T2: "&amp;TEXT(FORMULACIÓN!M120,"00,00%")&amp;CHAR(10)&amp;"T3: "&amp;TEXT(FORMULACIÓN!N120,"00,00%")&amp;CHAR(10)&amp;"Tn: "&amp;TEXT(FORMULACIÓN!O120,"00,00%"),IF(FORMULACIÓN!Q120=0,0,"PDI: "&amp;TEXT(FORMULACIÓN!Q120,"##.###")&amp;CHAR(10)&amp;CHAR(10)&amp;"T1: "&amp;TEXT(FORMULACIÓN!L120,"##.###")&amp;CHAR(10)&amp;"T2: "&amp;TEXT(FORMULACIÓN!M120,"##.###")&amp;CHAR(10)&amp;"T3: "&amp;TEXT(FORMULACIÓN!N120,"##.###")&amp;CHAR(10)&amp;"Tn: "&amp;TEXT(FORMULACIÓN!O120,"##.###")))</f>
        <v>PDI: 15
T1: 4
T2: 5
T3: 5
Tn: 1</v>
      </c>
      <c r="J120" s="122">
        <f>IF(FORMULACIÓN!K120&lt;&gt;"",FORMULACIÓN!K120,"")</f>
        <v>1</v>
      </c>
      <c r="K120" s="310">
        <v>167</v>
      </c>
      <c r="L120" s="58"/>
      <c r="M120" s="58"/>
      <c r="N120" s="58"/>
      <c r="O120" s="47">
        <f ca="1">IFERROR(IF($H120=Lists!$S$2,SUM('SEGUIMIENTO Y EVALUACIÓN'!J120:N120),IF('SEGUIMIENTO Y EVALUACIÓN'!$H120=Lists!$S$3,SUM('SEGUIMIENTO Y EVALUACIÓN'!K120:N120),IF('SEGUIMIENTO Y EVALUACIÓN'!$H120=Lists!$S$4,AVERAGE('SEGUIMIENTO Y EVALUACIÓN'!K120:N120),IF('SEGUIMIENTO Y EVALUACIÓN'!$H120=Lists!$S$5,OFFSET(J120,0,COUNTA(K120:N120)),IF($H120=Lists!$S$6,COUNTIF(K120:N120,"&lt;"&amp;FORMULACIÓN!Q120)/COUNT('SEGUIMIENTO Y EVALUACIÓN'!K120:N120),""))))),"")</f>
        <v>167</v>
      </c>
      <c r="P120" s="51" t="str">
        <f ca="1">IF($G120=Lists!$R$3,TEXT('SEGUIMIENTO Y EVALUACIÓN'!O120,"00,00%"),IF('SEGUIMIENTO Y EVALUACIÓN'!O120=0,0,TEXT('SEGUIMIENTO Y EVALUACIÓN'!O120,"##.###")))</f>
        <v>167</v>
      </c>
      <c r="Q120" s="209" t="str">
        <f>IF(FORMULACIÓN!R120&lt;&gt;"",FORMULACIÓN!R120,"")</f>
        <v>P2 - Divulgación y posicionamiento de productos artísticos y museográficos.</v>
      </c>
      <c r="R120" s="209">
        <f>IF(FORMULACIÓN!S120&lt;&gt;"",FORMULACIÓN!S120,"")</f>
        <v>0.03</v>
      </c>
      <c r="S120" s="209" t="str">
        <f>IF(FORMULACIÓN!T120&lt;&gt;"",FORMULACIÓN!T120,"")</f>
        <v>Vicerrector de Investigación, Extensión y Proyección Social</v>
      </c>
      <c r="T120" s="42"/>
      <c r="U120" s="42"/>
      <c r="V120" s="42"/>
      <c r="W120" s="43" t="str">
        <f t="shared" si="9"/>
        <v/>
      </c>
      <c r="X120" s="42"/>
      <c r="Y120" s="42"/>
      <c r="Z120" s="42"/>
      <c r="AA120" s="43" t="str">
        <f t="shared" si="10"/>
        <v/>
      </c>
      <c r="AB120" s="42"/>
      <c r="AC120" s="42"/>
      <c r="AD120" s="42"/>
      <c r="AE120" s="43" t="str">
        <f t="shared" si="11"/>
        <v/>
      </c>
      <c r="AF120" s="42"/>
      <c r="AG120" s="42"/>
      <c r="AH120" s="42"/>
      <c r="AI120" s="46" t="str">
        <f t="shared" si="12"/>
        <v/>
      </c>
      <c r="AJ120" s="46" t="str">
        <f>IF(SUM(AA120,AE120,W120,AI120)=0,"",SUM((AA120,AE120,W120,AI120)))</f>
        <v/>
      </c>
      <c r="AK120"/>
      <c r="AL120" s="1" t="str">
        <f t="shared" si="16"/>
        <v>L3M3P2</v>
      </c>
      <c r="AM120" s="56" t="str">
        <f t="shared" si="17"/>
        <v xml:space="preserve">Participación en eventos de apropiación social y cultural de los resultados de investigación creación </v>
      </c>
      <c r="AN120" s="112" t="str">
        <f ca="1">IF($G120=Lists!$R$3,"T1: "&amp;TEXT(FORMULACIÓN!L120,"00,00%")&amp;CHAR(10)&amp;"T2: "&amp;TEXT(FORMULACIÓN!M120,"00,00%")&amp;CHAR(10)&amp;"T3: "&amp;TEXT(FORMULACIÓN!N120,"00,00%")&amp;CHAR(10)&amp;"Tn: "&amp;TEXT(FORMULACIÓN!O120,"00,00%"),IF(FORMULACIÓN!Q120=0,0,"T1: "&amp;TEXT(FORMULACIÓN!L120,"##.###")&amp;CHAR(10)&amp;"T2: "&amp;TEXT(FORMULACIÓN!M120,"##.###")&amp;CHAR(10)&amp;"T3: "&amp;TEXT(FORMULACIÓN!N120,"##.###")&amp;CHAR(10)&amp;"Tn: "&amp;TEXT(FORMULACIÓN!O120,"##.###")))</f>
        <v>T1: 4
T2: 5
T3: 5
Tn: 1</v>
      </c>
      <c r="AO120" s="117">
        <f>IFERROR(IF($H120=Lists!$S$6,IF(AND(FORMULACIÓN!L120&gt;K120,K120&gt;0),1,0),IF((K120/FORMULACIÓN!L120)&lt;&gt;0,K120/FORMULACIÓN!L120,0)),"")</f>
        <v>41.75</v>
      </c>
      <c r="AP120" s="117">
        <f>IFERROR(IF($H120=Lists!$S$6,IF(AND(FORMULACIÓN!M120&gt;L120,L120&gt;0),1,0),IF((L120/FORMULACIÓN!M120)&lt;&gt;0,L120/FORMULACIÓN!M120,0)),"")</f>
        <v>0</v>
      </c>
      <c r="AQ120" s="117">
        <f>IFERROR(IF($H120=Lists!$S$6,IF(AND(FORMULACIÓN!N120&gt;M120,M120&gt;0),1,0),IF((M120/FORMULACIÓN!N120)&lt;&gt;0,M120/FORMULACIÓN!N120,0)),"")</f>
        <v>0</v>
      </c>
      <c r="AR120" s="117">
        <f>IFERROR(IF($H120=Lists!$S$6,IF(AND(FORMULACIÓN!O120&gt;N120,N120&gt;0),1,0),IF((N120/FORMULACIÓN!O120)&lt;&gt;0,N120/FORMULACIÓN!O120,0)),"")</f>
        <v>0</v>
      </c>
      <c r="AS120" s="110"/>
      <c r="AT120" s="118" t="str">
        <f ca="1">IF($H120=Lists!$S$6,TEXT(COUNTIF('SEGUIMIENTO Y EVALUACIÓN'!K120:N120,"&lt;"&amp;FORMULACIÓN!Q120),"##.###")&amp;" / "&amp;TEXT(COUNTIF('SEGUIMIENTO Y EVALUACIÓN'!K120:N120,"&gt;"&amp;0),"##.###"),IF($G120=Lists!$R$3,TEXT('SEGUIMIENTO Y EVALUACIÓN'!O120,"00,00%")&amp;" / "&amp;TEXT(FORMULACIÓN!P120,"00,00%"),IF('SEGUIMIENTO Y EVALUACIÓN'!O120=0,0,TEXT('SEGUIMIENTO Y EVALUACIÓN'!O120,"##.###")&amp;" / "&amp;TEXT(FORMULACIÓN!P120,"##.###"))))</f>
        <v>167 / 15</v>
      </c>
      <c r="AU120" s="57">
        <f ca="1">IFERROR(IF((P120/FORMULACIÓN!Q120)&lt;&gt;0,IF($H120=Lists!$S$6,COUNTIF('SEGUIMIENTO Y EVALUACIÓN'!K120:N120,"&lt;"&amp;FORMULACIÓN!Q120),'SEGUIMIENTO Y EVALUACIÓN'!P120)/IF($H120=Lists!$S$6,COUNTIF('SEGUIMIENTO Y EVALUACIÓN'!K120:N120,"&gt;"&amp;0),FORMULACIÓN!P120),0),0)</f>
        <v>11.133333333333333</v>
      </c>
      <c r="AV120" s="93">
        <f t="shared" ca="1" si="15"/>
        <v>0.03</v>
      </c>
      <c r="AW120" s="93" cm="1">
        <f t="array" ref="AW120">IF(INDEX(AO120:AU120,1,$AV$3)&gt;1,IF($AU$2=1,1,INDEX(AO120:AU120,1,$AV$3)),INDEX(AO120:AU120,1,$AV$3))</f>
        <v>1</v>
      </c>
      <c r="AX120"/>
      <c r="AY120" s="119" t="str">
        <f>IFERROR(IF((W120/FORMULACIÓN!X120)&lt;&gt;0,W120/FORMULACIÓN!X120,0),"")</f>
        <v/>
      </c>
      <c r="AZ120" s="119" t="str">
        <f>IFERROR(IF((AA120/FORMULACIÓN!AB120)&lt;&gt;0,AA120/FORMULACIÓN!AB120,0),"")</f>
        <v/>
      </c>
      <c r="BA120" s="119" t="str">
        <f>IFERROR(IF((AE120/FORMULACIÓN!AF120)&lt;&gt;0,(AE120/FORMULACIÓN!AF120),0),"")</f>
        <v/>
      </c>
      <c r="BB120" s="119" t="str">
        <f>IFERROR(IF((AI120/FORMULACIÓN!AJ120)&lt;&gt;0,AI120/FORMULACIÓN!AJ120,0),"")</f>
        <v/>
      </c>
      <c r="BC120" s="120" t="str">
        <f>IF('SEGUIMIENTO Y EVALUACIÓN'!AI120=0,0,TEXT('SEGUIMIENTO Y EVALUACIÓN'!AI120,"$ ##.###")&amp;" / "&amp;TEXT(FORMULACIÓN!AK120,"$ ##.###"))</f>
        <v xml:space="preserve"> / $ 13.325.426.534</v>
      </c>
      <c r="BD120" s="57">
        <f>IFERROR(IF((AJ120/FORMULACIÓN!AK120)&lt;&gt;0,AJ120/FORMULACIÓN!AK120,0),0)</f>
        <v>0</v>
      </c>
    </row>
    <row r="121" spans="1:90" s="1" customFormat="1" ht="99.95" customHeight="1">
      <c r="A121" s="45">
        <f>IF(FORMULACIÓN!A121="","",FORMULACIÓN!A121)</f>
        <v>110</v>
      </c>
      <c r="B121" s="45" t="str">
        <f>IF(FORMULACIÓN!B121="","",FORMULACIÓN!B121)</f>
        <v>L3 - Impacto regional, Nacional e Internacional desde la Extensión y proyección social</v>
      </c>
      <c r="C121" s="45" t="str">
        <f>IF(FORMULACIÓN!E121="","",FORMULACIÓN!E121)</f>
        <v>M3 - Gestión social, artística y cultural</v>
      </c>
      <c r="D121" s="45" t="str">
        <f>IF(FORMULACIÓN!F121="","",FORMULACIÓN!F121)</f>
        <v xml:space="preserve">Concretar la ejecución de al menos 20 proyectos de proyección social con mecanismos de financiación externos públicos y/o privados </v>
      </c>
      <c r="E121" s="45" t="str">
        <f>IF(FORMULACIÓN!G121="","",FORMULACIÓN!G121)</f>
        <v xml:space="preserve">Proyectos de proyección social ejecutados por mecanismos de financiación externa de entidades públicas y/o privadas  con aporte a los ODS </v>
      </c>
      <c r="F121" s="45" t="str">
        <f>IF(FORMULACIÓN!H121="","",FORMULACIÓN!H121)</f>
        <v xml:space="preserve">N° de proyectos de proyección social ejecutados por mecanismos de financiación externa de entidades públicas y/o privadas  con aporte a los ODS </v>
      </c>
      <c r="G121" s="45" t="str">
        <f>IF(FORMULACIÓN!I121="","",FORMULACIÓN!I121)</f>
        <v>Unidad</v>
      </c>
      <c r="H121" s="45" t="str">
        <f>IF(FORMULACIÓN!J121="","",FORMULACIÓN!J121)</f>
        <v>Acumulado</v>
      </c>
      <c r="I121" s="188" t="str">
        <f ca="1">IF($G121=Lists!$R$3,"PDI: "&amp;TEXT(FORMULACIÓN!Q121,"00,00%")&amp;CHAR(10)&amp;CHAR(10)&amp;"T1: "&amp;TEXT(FORMULACIÓN!L121,"00,00%")&amp;CHAR(10)&amp;"T2: "&amp;TEXT(FORMULACIÓN!M121,"00,00%")&amp;CHAR(10)&amp;"T3: "&amp;TEXT(FORMULACIÓN!N121,"00,00%")&amp;CHAR(10)&amp;"Tn: "&amp;TEXT(FORMULACIÓN!O121,"00,00%"),IF(FORMULACIÓN!Q121=0,0,"PDI: "&amp;TEXT(FORMULACIÓN!Q121,"##.###")&amp;CHAR(10)&amp;CHAR(10)&amp;"T1: "&amp;TEXT(FORMULACIÓN!L121,"##.###")&amp;CHAR(10)&amp;"T2: "&amp;TEXT(FORMULACIÓN!M121,"##.###")&amp;CHAR(10)&amp;"T3: "&amp;TEXT(FORMULACIÓN!N121,"##.###")&amp;CHAR(10)&amp;"Tn: "&amp;TEXT(FORMULACIÓN!O121,"##.###")))</f>
        <v>PDI: 20
T1: 3
T2: 8
T3: 8
Tn: 1</v>
      </c>
      <c r="J121" s="122">
        <f>IF(FORMULACIÓN!K121&lt;&gt;"",FORMULACIÓN!K121,"")</f>
        <v>0</v>
      </c>
      <c r="K121" s="310">
        <v>5</v>
      </c>
      <c r="L121" s="58"/>
      <c r="M121" s="58"/>
      <c r="N121" s="58"/>
      <c r="O121" s="47">
        <f ca="1">IFERROR(IF($H121=Lists!$S$2,SUM('SEGUIMIENTO Y EVALUACIÓN'!J121:N121),IF('SEGUIMIENTO Y EVALUACIÓN'!$H121=Lists!$S$3,SUM('SEGUIMIENTO Y EVALUACIÓN'!K121:N121),IF('SEGUIMIENTO Y EVALUACIÓN'!$H121=Lists!$S$4,AVERAGE('SEGUIMIENTO Y EVALUACIÓN'!K121:N121),IF('SEGUIMIENTO Y EVALUACIÓN'!$H121=Lists!$S$5,OFFSET(J121,0,COUNTA(K121:N121)),IF($H121=Lists!$S$6,COUNTIF(K121:N121,"&lt;"&amp;FORMULACIÓN!Q121)/COUNT('SEGUIMIENTO Y EVALUACIÓN'!K121:N121),""))))),"")</f>
        <v>5</v>
      </c>
      <c r="P121" s="51" t="str">
        <f ca="1">IF($G121=Lists!$R$3,TEXT('SEGUIMIENTO Y EVALUACIÓN'!O121,"00,00%"),IF('SEGUIMIENTO Y EVALUACIÓN'!O121=0,0,TEXT('SEGUIMIENTO Y EVALUACIÓN'!O121,"##.###")))</f>
        <v>5</v>
      </c>
      <c r="Q121" s="209" t="str">
        <f>IF(FORMULACIÓN!R121&lt;&gt;"",FORMULACIÓN!R121,"")</f>
        <v>P3 - Fortalecimiento a la gestión de actividades, proyectos y programas de proyección social.</v>
      </c>
      <c r="R121" s="209">
        <f>IF(FORMULACIÓN!S121&lt;&gt;"",FORMULACIÓN!S121,"")</f>
        <v>0.02</v>
      </c>
      <c r="S121" s="209" t="str">
        <f>IF(FORMULACIÓN!T121&lt;&gt;"",FORMULACIÓN!T121,"")</f>
        <v>Vicerrector de Investigación, Extensión y Proyección Social</v>
      </c>
      <c r="T121" s="42"/>
      <c r="U121" s="42"/>
      <c r="V121" s="42"/>
      <c r="W121" s="43" t="str">
        <f t="shared" si="9"/>
        <v/>
      </c>
      <c r="X121" s="42"/>
      <c r="Y121" s="42"/>
      <c r="Z121" s="42"/>
      <c r="AA121" s="43" t="str">
        <f t="shared" si="10"/>
        <v/>
      </c>
      <c r="AB121" s="42"/>
      <c r="AC121" s="42"/>
      <c r="AD121" s="42"/>
      <c r="AE121" s="43" t="str">
        <f t="shared" si="11"/>
        <v/>
      </c>
      <c r="AF121" s="42"/>
      <c r="AG121" s="42"/>
      <c r="AH121" s="42"/>
      <c r="AI121" s="46" t="str">
        <f t="shared" si="12"/>
        <v/>
      </c>
      <c r="AJ121" s="46" t="str">
        <f>IF(SUM(AA121,AE121,W121,AI121)=0,"",SUM((AA121,AE121,W121,AI121)))</f>
        <v/>
      </c>
      <c r="AK121"/>
      <c r="AL121" s="1" t="str">
        <f t="shared" si="16"/>
        <v>L3M3P3</v>
      </c>
      <c r="AM121" s="56" t="str">
        <f t="shared" si="17"/>
        <v xml:space="preserve">Proyectos de proyección social ejecutados por mecanismos de financiación externa de entidades públicas y/o privadas  con aporte a los ODS </v>
      </c>
      <c r="AN121" s="112" t="str">
        <f ca="1">IF($G121=Lists!$R$3,"T1: "&amp;TEXT(FORMULACIÓN!L121,"00,00%")&amp;CHAR(10)&amp;"T2: "&amp;TEXT(FORMULACIÓN!M121,"00,00%")&amp;CHAR(10)&amp;"T3: "&amp;TEXT(FORMULACIÓN!N121,"00,00%")&amp;CHAR(10)&amp;"Tn: "&amp;TEXT(FORMULACIÓN!O121,"00,00%"),IF(FORMULACIÓN!Q121=0,0,"T1: "&amp;TEXT(FORMULACIÓN!L121,"##.###")&amp;CHAR(10)&amp;"T2: "&amp;TEXT(FORMULACIÓN!M121,"##.###")&amp;CHAR(10)&amp;"T3: "&amp;TEXT(FORMULACIÓN!N121,"##.###")&amp;CHAR(10)&amp;"Tn: "&amp;TEXT(FORMULACIÓN!O121,"##.###")))</f>
        <v>T1: 3
T2: 8
T3: 8
Tn: 1</v>
      </c>
      <c r="AO121" s="117">
        <f>IFERROR(IF($H121=Lists!$S$6,IF(AND(FORMULACIÓN!L121&gt;K121,K121&gt;0),1,0),IF((K121/FORMULACIÓN!L121)&lt;&gt;0,K121/FORMULACIÓN!L121,0)),"")</f>
        <v>1.6666666666666667</v>
      </c>
      <c r="AP121" s="117">
        <f>IFERROR(IF($H121=Lists!$S$6,IF(AND(FORMULACIÓN!M121&gt;L121,L121&gt;0),1,0),IF((L121/FORMULACIÓN!M121)&lt;&gt;0,L121/FORMULACIÓN!M121,0)),"")</f>
        <v>0</v>
      </c>
      <c r="AQ121" s="117">
        <f>IFERROR(IF($H121=Lists!$S$6,IF(AND(FORMULACIÓN!N121&gt;M121,M121&gt;0),1,0),IF((M121/FORMULACIÓN!N121)&lt;&gt;0,M121/FORMULACIÓN!N121,0)),"")</f>
        <v>0</v>
      </c>
      <c r="AR121" s="117">
        <f>IFERROR(IF($H121=Lists!$S$6,IF(AND(FORMULACIÓN!O121&gt;N121,N121&gt;0),1,0),IF((N121/FORMULACIÓN!O121)&lt;&gt;0,N121/FORMULACIÓN!O121,0)),"")</f>
        <v>0</v>
      </c>
      <c r="AS121" s="110"/>
      <c r="AT121" s="118" t="str">
        <f ca="1">IF($H121=Lists!$S$6,TEXT(COUNTIF('SEGUIMIENTO Y EVALUACIÓN'!K121:N121,"&lt;"&amp;FORMULACIÓN!Q121),"##.###")&amp;" / "&amp;TEXT(COUNTIF('SEGUIMIENTO Y EVALUACIÓN'!K121:N121,"&gt;"&amp;0),"##.###"),IF($G121=Lists!$R$3,TEXT('SEGUIMIENTO Y EVALUACIÓN'!O121,"00,00%")&amp;" / "&amp;TEXT(FORMULACIÓN!P121,"00,00%"),IF('SEGUIMIENTO Y EVALUACIÓN'!O121=0,0,TEXT('SEGUIMIENTO Y EVALUACIÓN'!O121,"##.###")&amp;" / "&amp;TEXT(FORMULACIÓN!P121,"##.###"))))</f>
        <v>5 / 20</v>
      </c>
      <c r="AU121" s="57">
        <f ca="1">IFERROR(IF((P121/FORMULACIÓN!Q121)&lt;&gt;0,IF($H121=Lists!$S$6,COUNTIF('SEGUIMIENTO Y EVALUACIÓN'!K121:N121,"&lt;"&amp;FORMULACIÓN!Q121),'SEGUIMIENTO Y EVALUACIÓN'!P121)/IF($H121=Lists!$S$6,COUNTIF('SEGUIMIENTO Y EVALUACIÓN'!K121:N121,"&gt;"&amp;0),FORMULACIÓN!P121),0),0)</f>
        <v>0.25</v>
      </c>
      <c r="AV121" s="93">
        <f t="shared" ca="1" si="15"/>
        <v>5.0000000000000001E-3</v>
      </c>
      <c r="AW121" s="93" cm="1">
        <f t="array" ref="AW121">IF(INDEX(AO121:AU121,1,$AV$3)&gt;1,IF($AU$2=1,1,INDEX(AO121:AU121,1,$AV$3)),INDEX(AO121:AU121,1,$AV$3))</f>
        <v>1</v>
      </c>
      <c r="AX121"/>
      <c r="AY121" s="119" t="str">
        <f>IFERROR(IF((W121/FORMULACIÓN!X121)&lt;&gt;0,W121/FORMULACIÓN!X121,0),"")</f>
        <v/>
      </c>
      <c r="AZ121" s="119" t="str">
        <f>IFERROR(IF((AA121/FORMULACIÓN!AB121)&lt;&gt;0,AA121/FORMULACIÓN!AB121,0),"")</f>
        <v/>
      </c>
      <c r="BA121" s="119" t="str">
        <f>IFERROR(IF((AE121/FORMULACIÓN!AF121)&lt;&gt;0,(AE121/FORMULACIÓN!AF121),0),"")</f>
        <v/>
      </c>
      <c r="BB121" s="119" t="str">
        <f>IFERROR(IF((AI121/FORMULACIÓN!AJ121)&lt;&gt;0,AI121/FORMULACIÓN!AJ121,0),"")</f>
        <v/>
      </c>
      <c r="BC121" s="120" t="str">
        <f>IF('SEGUIMIENTO Y EVALUACIÓN'!AI121=0,0,TEXT('SEGUIMIENTO Y EVALUACIÓN'!AI121,"$ ##.###")&amp;" / "&amp;TEXT(FORMULACIÓN!AK121,"$ ##.###"))</f>
        <v xml:space="preserve"> / $ 11.061.658.570</v>
      </c>
      <c r="BD121" s="57">
        <f>IFERROR(IF((AJ121/FORMULACIÓN!AK121)&lt;&gt;0,AJ121/FORMULACIÓN!AK121,0),0)</f>
        <v>0</v>
      </c>
      <c r="CL121" s="7"/>
    </row>
    <row r="122" spans="1:90" s="1" customFormat="1" ht="99.95" customHeight="1">
      <c r="A122" s="45">
        <f>IF(FORMULACIÓN!A122="","",FORMULACIÓN!A122)</f>
        <v>111</v>
      </c>
      <c r="B122" s="45" t="str">
        <f>IF(FORMULACIÓN!B122="","",FORMULACIÓN!B122)</f>
        <v>L3 - Impacto regional, Nacional e Internacional desde la Extensión y proyección social</v>
      </c>
      <c r="C122" s="45" t="str">
        <f>IF(FORMULACIÓN!E122="","",FORMULACIÓN!E122)</f>
        <v>M3 - Gestión social, artística y cultural</v>
      </c>
      <c r="D122" s="45" t="str">
        <f>IF(FORMULACIÓN!F122="","",FORMULACIÓN!F122)</f>
        <v>Desarrollar por lo menos 10 proyectos de proyección social con intervención a población priorizada</v>
      </c>
      <c r="E122" s="45" t="str">
        <f>IF(FORMULACIÓN!G122="","",FORMULACIÓN!G122)</f>
        <v>Proyectos de proyección social con intervenciones en población priorizada, con enfoque diferencial y/o capacidades diversas</v>
      </c>
      <c r="F122" s="45" t="str">
        <f>IF(FORMULACIÓN!H122="","",FORMULACIÓN!H122)</f>
        <v>N° de proyectos de proyección social con intervenciones en población priorizada, con enfoque diferencial y/o capacidades diversas</v>
      </c>
      <c r="G122" s="45" t="str">
        <f>IF(FORMULACIÓN!I122="","",FORMULACIÓN!I122)</f>
        <v>Unidad</v>
      </c>
      <c r="H122" s="45" t="str">
        <f>IF(FORMULACIÓN!J122="","",FORMULACIÓN!J122)</f>
        <v>Acumulado</v>
      </c>
      <c r="I122" s="188" t="str">
        <f ca="1">IF($G122=Lists!$R$3,"PDI: "&amp;TEXT(FORMULACIÓN!Q122,"00,00%")&amp;CHAR(10)&amp;CHAR(10)&amp;"T1: "&amp;TEXT(FORMULACIÓN!L122,"00,00%")&amp;CHAR(10)&amp;"T2: "&amp;TEXT(FORMULACIÓN!M122,"00,00%")&amp;CHAR(10)&amp;"T3: "&amp;TEXT(FORMULACIÓN!N122,"00,00%")&amp;CHAR(10)&amp;"Tn: "&amp;TEXT(FORMULACIÓN!O122,"00,00%"),IF(FORMULACIÓN!Q122=0,0,"PDI: "&amp;TEXT(FORMULACIÓN!Q122,"##.###")&amp;CHAR(10)&amp;CHAR(10)&amp;"T1: "&amp;TEXT(FORMULACIÓN!L122,"##.###")&amp;CHAR(10)&amp;"T2: "&amp;TEXT(FORMULACIÓN!M122,"##.###")&amp;CHAR(10)&amp;"T3: "&amp;TEXT(FORMULACIÓN!N122,"##.###")&amp;CHAR(10)&amp;"Tn: "&amp;TEXT(FORMULACIÓN!O122,"##.###")))</f>
        <v>PDI: 10
T1: 3
T2: 3
T3: 3
Tn: 1</v>
      </c>
      <c r="J122" s="122">
        <f>IF(FORMULACIÓN!K122&lt;&gt;"",FORMULACIÓN!K122,"")</f>
        <v>0</v>
      </c>
      <c r="K122" s="310">
        <v>31</v>
      </c>
      <c r="L122" s="58"/>
      <c r="M122" s="58"/>
      <c r="N122" s="58"/>
      <c r="O122" s="47">
        <f ca="1">IFERROR(IF($H122=Lists!$S$2,SUM('SEGUIMIENTO Y EVALUACIÓN'!J122:N122),IF('SEGUIMIENTO Y EVALUACIÓN'!$H122=Lists!$S$3,SUM('SEGUIMIENTO Y EVALUACIÓN'!K122:N122),IF('SEGUIMIENTO Y EVALUACIÓN'!$H122=Lists!$S$4,AVERAGE('SEGUIMIENTO Y EVALUACIÓN'!K122:N122),IF('SEGUIMIENTO Y EVALUACIÓN'!$H122=Lists!$S$5,OFFSET(J122,0,COUNTA(K122:N122)),IF($H122=Lists!$S$6,COUNTIF(K122:N122,"&lt;"&amp;FORMULACIÓN!Q122)/COUNT('SEGUIMIENTO Y EVALUACIÓN'!K122:N122),""))))),"")</f>
        <v>31</v>
      </c>
      <c r="P122" s="51" t="str">
        <f ca="1">IF($G122=Lists!$R$3,TEXT('SEGUIMIENTO Y EVALUACIÓN'!O122,"00,00%"),IF('SEGUIMIENTO Y EVALUACIÓN'!O122=0,0,TEXT('SEGUIMIENTO Y EVALUACIÓN'!O122,"##.###")))</f>
        <v>31</v>
      </c>
      <c r="Q122" s="209" t="str">
        <f>IF(FORMULACIÓN!R122&lt;&gt;"",FORMULACIÓN!R122,"")</f>
        <v>P3 - Fortalecimiento a la gestión de actividades, proyectos y programas de proyección social.</v>
      </c>
      <c r="R122" s="209">
        <f>IF(FORMULACIÓN!S122&lt;&gt;"",FORMULACIÓN!S122,"")</f>
        <v>0.02</v>
      </c>
      <c r="S122" s="209" t="str">
        <f>IF(FORMULACIÓN!T122&lt;&gt;"",FORMULACIÓN!T122,"")</f>
        <v>Vicerrector de Investigación, Extensión y Proyección Social</v>
      </c>
      <c r="T122" s="42"/>
      <c r="U122" s="42"/>
      <c r="V122" s="42"/>
      <c r="W122" s="43" t="str">
        <f t="shared" si="9"/>
        <v/>
      </c>
      <c r="X122" s="42"/>
      <c r="Y122" s="42"/>
      <c r="Z122" s="42"/>
      <c r="AA122" s="43" t="str">
        <f t="shared" si="10"/>
        <v/>
      </c>
      <c r="AB122" s="42"/>
      <c r="AC122" s="42"/>
      <c r="AD122" s="42"/>
      <c r="AE122" s="43" t="str">
        <f t="shared" si="11"/>
        <v/>
      </c>
      <c r="AF122" s="42"/>
      <c r="AG122" s="42"/>
      <c r="AH122" s="42"/>
      <c r="AI122" s="46" t="str">
        <f t="shared" si="12"/>
        <v/>
      </c>
      <c r="AJ122" s="46" t="str">
        <f>IF(SUM(AA122,AE122,W122,AI122)=0,"",SUM((AA122,AE122,W122,AI122)))</f>
        <v/>
      </c>
      <c r="AK122"/>
      <c r="AL122" s="1" t="str">
        <f t="shared" si="16"/>
        <v>L3M3P3</v>
      </c>
      <c r="AM122" s="56" t="str">
        <f t="shared" si="17"/>
        <v>Proyectos de proyección social con intervenciones en población priorizada, con enfoque diferencial y/o capacidades diversas</v>
      </c>
      <c r="AN122" s="112" t="str">
        <f ca="1">IF($G122=Lists!$R$3,"T1: "&amp;TEXT(FORMULACIÓN!L122,"00,00%")&amp;CHAR(10)&amp;"T2: "&amp;TEXT(FORMULACIÓN!M122,"00,00%")&amp;CHAR(10)&amp;"T3: "&amp;TEXT(FORMULACIÓN!N122,"00,00%")&amp;CHAR(10)&amp;"Tn: "&amp;TEXT(FORMULACIÓN!O122,"00,00%"),IF(FORMULACIÓN!Q122=0,0,"T1: "&amp;TEXT(FORMULACIÓN!L122,"##.###")&amp;CHAR(10)&amp;"T2: "&amp;TEXT(FORMULACIÓN!M122,"##.###")&amp;CHAR(10)&amp;"T3: "&amp;TEXT(FORMULACIÓN!N122,"##.###")&amp;CHAR(10)&amp;"Tn: "&amp;TEXT(FORMULACIÓN!O122,"##.###")))</f>
        <v>T1: 3
T2: 3
T3: 3
Tn: 1</v>
      </c>
      <c r="AO122" s="117">
        <f>IFERROR(IF($H122=Lists!$S$6,IF(AND(FORMULACIÓN!L122&gt;K122,K122&gt;0),1,0),IF((K122/FORMULACIÓN!L122)&lt;&gt;0,K122/FORMULACIÓN!L122,0)),"")</f>
        <v>10.333333333333334</v>
      </c>
      <c r="AP122" s="117">
        <f>IFERROR(IF($H122=Lists!$S$6,IF(AND(FORMULACIÓN!M122&gt;L122,L122&gt;0),1,0),IF((L122/FORMULACIÓN!M122)&lt;&gt;0,L122/FORMULACIÓN!M122,0)),"")</f>
        <v>0</v>
      </c>
      <c r="AQ122" s="117">
        <f>IFERROR(IF($H122=Lists!$S$6,IF(AND(FORMULACIÓN!N122&gt;M122,M122&gt;0),1,0),IF((M122/FORMULACIÓN!N122)&lt;&gt;0,M122/FORMULACIÓN!N122,0)),"")</f>
        <v>0</v>
      </c>
      <c r="AR122" s="117">
        <f>IFERROR(IF($H122=Lists!$S$6,IF(AND(FORMULACIÓN!O122&gt;N122,N122&gt;0),1,0),IF((N122/FORMULACIÓN!O122)&lt;&gt;0,N122/FORMULACIÓN!O122,0)),"")</f>
        <v>0</v>
      </c>
      <c r="AS122" s="110"/>
      <c r="AT122" s="118" t="str">
        <f ca="1">IF($H122=Lists!$S$6,TEXT(COUNTIF('SEGUIMIENTO Y EVALUACIÓN'!K122:N122,"&lt;"&amp;FORMULACIÓN!Q122),"##.###")&amp;" / "&amp;TEXT(COUNTIF('SEGUIMIENTO Y EVALUACIÓN'!K122:N122,"&gt;"&amp;0),"##.###"),IF($G122=Lists!$R$3,TEXT('SEGUIMIENTO Y EVALUACIÓN'!O122,"00,00%")&amp;" / "&amp;TEXT(FORMULACIÓN!P122,"00,00%"),IF('SEGUIMIENTO Y EVALUACIÓN'!O122=0,0,TEXT('SEGUIMIENTO Y EVALUACIÓN'!O122,"##.###")&amp;" / "&amp;TEXT(FORMULACIÓN!P122,"##.###"))))</f>
        <v>31 / 10</v>
      </c>
      <c r="AU122" s="57">
        <f ca="1">IFERROR(IF((P122/FORMULACIÓN!Q122)&lt;&gt;0,IF($H122=Lists!$S$6,COUNTIF('SEGUIMIENTO Y EVALUACIÓN'!K122:N122,"&lt;"&amp;FORMULACIÓN!Q122),'SEGUIMIENTO Y EVALUACIÓN'!P122)/IF($H122=Lists!$S$6,COUNTIF('SEGUIMIENTO Y EVALUACIÓN'!K122:N122,"&gt;"&amp;0),FORMULACIÓN!P122),0),0)</f>
        <v>3.1</v>
      </c>
      <c r="AV122" s="93">
        <f t="shared" ca="1" si="15"/>
        <v>0.02</v>
      </c>
      <c r="AW122" s="93" cm="1">
        <f t="array" ref="AW122">IF(INDEX(AO122:AU122,1,$AV$3)&gt;1,IF($AU$2=1,1,INDEX(AO122:AU122,1,$AV$3)),INDEX(AO122:AU122,1,$AV$3))</f>
        <v>1</v>
      </c>
      <c r="AX122"/>
      <c r="AY122" s="119" t="str">
        <f>IFERROR(IF((W122/FORMULACIÓN!X122)&lt;&gt;0,W122/FORMULACIÓN!X122,0),"")</f>
        <v/>
      </c>
      <c r="AZ122" s="119" t="str">
        <f>IFERROR(IF((AA122/FORMULACIÓN!AB122)&lt;&gt;0,AA122/FORMULACIÓN!AB122,0),"")</f>
        <v/>
      </c>
      <c r="BA122" s="119" t="str">
        <f>IFERROR(IF((AE122/FORMULACIÓN!AF122)&lt;&gt;0,(AE122/FORMULACIÓN!AF122),0),"")</f>
        <v/>
      </c>
      <c r="BB122" s="119" t="str">
        <f>IFERROR(IF((AI122/FORMULACIÓN!AJ122)&lt;&gt;0,AI122/FORMULACIÓN!AJ122,0),"")</f>
        <v/>
      </c>
      <c r="BC122" s="120" t="str">
        <f>IF('SEGUIMIENTO Y EVALUACIÓN'!AI122=0,0,TEXT('SEGUIMIENTO Y EVALUACIÓN'!AI122,"$ ##.###")&amp;" / "&amp;TEXT(FORMULACIÓN!AK122,"$ ##.###"))</f>
        <v xml:space="preserve"> / $ 8.849.326.856</v>
      </c>
      <c r="BD122" s="57">
        <f>IFERROR(IF((AJ122/FORMULACIÓN!AK122)&lt;&gt;0,AJ122/FORMULACIÓN!AK122,0),0)</f>
        <v>0</v>
      </c>
      <c r="CL122" s="7"/>
    </row>
    <row r="123" spans="1:90" s="1" customFormat="1" ht="99.95" customHeight="1">
      <c r="A123" s="45">
        <f>IF(FORMULACIÓN!A123="","",FORMULACIÓN!A123)</f>
        <v>112</v>
      </c>
      <c r="B123" s="45" t="str">
        <f>IF(FORMULACIÓN!B123="","",FORMULACIÓN!B123)</f>
        <v>L3 - Impacto regional, Nacional e Internacional desde la Extensión y proyección social</v>
      </c>
      <c r="C123" s="45" t="str">
        <f>IF(FORMULACIÓN!E123="","",FORMULACIÓN!E123)</f>
        <v>M3 - Gestión social, artística y cultural</v>
      </c>
      <c r="D123" s="45" t="str">
        <f>IF(FORMULACIÓN!F123="","",FORMULACIÓN!F123)</f>
        <v>Promover la apropiación social del conocimiento en articulación con las facultades, mediante la gestión de al menos 800 eventos de difusión</v>
      </c>
      <c r="E123" s="45" t="str">
        <f>IF(FORMULACIÓN!G123="","",FORMULACIÓN!G123)</f>
        <v>Eventos de apropiación social del conocimiento gestionados</v>
      </c>
      <c r="F123" s="45" t="str">
        <f>IF(FORMULACIÓN!H123="","",FORMULACIÓN!H123)</f>
        <v>N° de eventos de apropiación social del conocimiento realizados</v>
      </c>
      <c r="G123" s="45" t="str">
        <f>IF(FORMULACIÓN!I123="","",FORMULACIÓN!I123)</f>
        <v>Unidad</v>
      </c>
      <c r="H123" s="45" t="str">
        <f>IF(FORMULACIÓN!J123="","",FORMULACIÓN!J123)</f>
        <v>Nuevo gestionado durante la vigencia</v>
      </c>
      <c r="I123" s="188" t="str">
        <f ca="1">IF($G123=Lists!$R$3,"PDI: "&amp;TEXT(FORMULACIÓN!Q123,"00,00%")&amp;CHAR(10)&amp;CHAR(10)&amp;"T1: "&amp;TEXT(FORMULACIÓN!L123,"00,00%")&amp;CHAR(10)&amp;"T2: "&amp;TEXT(FORMULACIÓN!M123,"00,00%")&amp;CHAR(10)&amp;"T3: "&amp;TEXT(FORMULACIÓN!N123,"00,00%")&amp;CHAR(10)&amp;"Tn: "&amp;TEXT(FORMULACIÓN!O123,"00,00%"),IF(FORMULACIÓN!Q123=0,0,"PDI: "&amp;TEXT(FORMULACIÓN!Q123,"##.###")&amp;CHAR(10)&amp;CHAR(10)&amp;"T1: "&amp;TEXT(FORMULACIÓN!L123,"##.###")&amp;CHAR(10)&amp;"T2: "&amp;TEXT(FORMULACIÓN!M123,"##.###")&amp;CHAR(10)&amp;"T3: "&amp;TEXT(FORMULACIÓN!N123,"##.###")&amp;CHAR(10)&amp;"Tn: "&amp;TEXT(FORMULACIÓN!O123,"##.###")))</f>
        <v>PDI: 800
T1: 240
T2: 240
T3: 240
Tn: 80</v>
      </c>
      <c r="J123" s="122">
        <f>IF(FORMULACIÓN!K123&lt;&gt;"",FORMULACIÓN!K123,"")</f>
        <v>50</v>
      </c>
      <c r="K123" s="310">
        <v>533</v>
      </c>
      <c r="L123" s="58"/>
      <c r="M123" s="58"/>
      <c r="N123" s="58"/>
      <c r="O123" s="47">
        <f ca="1">IFERROR(IF($H123=Lists!$S$2,SUM('SEGUIMIENTO Y EVALUACIÓN'!J123:N123),IF('SEGUIMIENTO Y EVALUACIÓN'!$H123=Lists!$S$3,SUM('SEGUIMIENTO Y EVALUACIÓN'!K123:N123),IF('SEGUIMIENTO Y EVALUACIÓN'!$H123=Lists!$S$4,AVERAGE('SEGUIMIENTO Y EVALUACIÓN'!K123:N123),IF('SEGUIMIENTO Y EVALUACIÓN'!$H123=Lists!$S$5,OFFSET(J123,0,COUNTA(K123:N123)),IF($H123=Lists!$S$6,COUNTIF(K123:N123,"&lt;"&amp;FORMULACIÓN!Q123)/COUNT('SEGUIMIENTO Y EVALUACIÓN'!K123:N123),""))))),"")</f>
        <v>533</v>
      </c>
      <c r="P123" s="51" t="str">
        <f ca="1">IF($G123=Lists!$R$3,TEXT('SEGUIMIENTO Y EVALUACIÓN'!O123,"00,00%"),IF('SEGUIMIENTO Y EVALUACIÓN'!O123=0,0,TEXT('SEGUIMIENTO Y EVALUACIÓN'!O123,"##.###")))</f>
        <v>533</v>
      </c>
      <c r="Q123" s="209" t="str">
        <f>IF(FORMULACIÓN!R123&lt;&gt;"",FORMULACIÓN!R123,"")</f>
        <v>P3 - Fortalecimiento a la gestión de actividades, proyectos y programas de proyección social.</v>
      </c>
      <c r="R123" s="209">
        <f>IF(FORMULACIÓN!S123&lt;&gt;"",FORMULACIÓN!S123,"")</f>
        <v>0.02</v>
      </c>
      <c r="S123" s="209" t="str">
        <f>IF(FORMULACIÓN!T123&lt;&gt;"",FORMULACIÓN!T123,"")</f>
        <v>Vicerrector de Investigación, Extensión y Proyección Social</v>
      </c>
      <c r="T123" s="42"/>
      <c r="U123" s="42"/>
      <c r="V123" s="42"/>
      <c r="W123" s="43" t="str">
        <f t="shared" si="9"/>
        <v/>
      </c>
      <c r="X123" s="42"/>
      <c r="Y123" s="42"/>
      <c r="Z123" s="42"/>
      <c r="AA123" s="43" t="str">
        <f t="shared" si="10"/>
        <v/>
      </c>
      <c r="AB123" s="42"/>
      <c r="AC123" s="42"/>
      <c r="AD123" s="42"/>
      <c r="AE123" s="43" t="str">
        <f t="shared" si="11"/>
        <v/>
      </c>
      <c r="AF123" s="42"/>
      <c r="AG123" s="42"/>
      <c r="AH123" s="42"/>
      <c r="AI123" s="46" t="str">
        <f t="shared" si="12"/>
        <v/>
      </c>
      <c r="AJ123" s="46" t="str">
        <f>IF(SUM(AA123,AE123,W123,AI123)=0,"",SUM((AA123,AE123,W123,AI123)))</f>
        <v/>
      </c>
      <c r="AK123"/>
      <c r="AL123" s="1" t="str">
        <f t="shared" si="16"/>
        <v>L3M3P3</v>
      </c>
      <c r="AM123" s="56" t="str">
        <f t="shared" si="17"/>
        <v>Eventos de apropiación social del conocimiento gestionados</v>
      </c>
      <c r="AN123" s="112" t="str">
        <f ca="1">IF($G123=Lists!$R$3,"T1: "&amp;TEXT(FORMULACIÓN!L123,"00,00%")&amp;CHAR(10)&amp;"T2: "&amp;TEXT(FORMULACIÓN!M123,"00,00%")&amp;CHAR(10)&amp;"T3: "&amp;TEXT(FORMULACIÓN!N123,"00,00%")&amp;CHAR(10)&amp;"Tn: "&amp;TEXT(FORMULACIÓN!O123,"00,00%"),IF(FORMULACIÓN!Q123=0,0,"T1: "&amp;TEXT(FORMULACIÓN!L123,"##.###")&amp;CHAR(10)&amp;"T2: "&amp;TEXT(FORMULACIÓN!M123,"##.###")&amp;CHAR(10)&amp;"T3: "&amp;TEXT(FORMULACIÓN!N123,"##.###")&amp;CHAR(10)&amp;"Tn: "&amp;TEXT(FORMULACIÓN!O123,"##.###")))</f>
        <v>T1: 240
T2: 240
T3: 240
Tn: 80</v>
      </c>
      <c r="AO123" s="117">
        <f>IFERROR(IF($H123=Lists!$S$6,IF(AND(FORMULACIÓN!L123&gt;K123,K123&gt;0),1,0),IF((K123/FORMULACIÓN!L123)&lt;&gt;0,K123/FORMULACIÓN!L123,0)),"")</f>
        <v>2.2208333333333332</v>
      </c>
      <c r="AP123" s="117">
        <f>IFERROR(IF($H123=Lists!$S$6,IF(AND(FORMULACIÓN!M123&gt;L123,L123&gt;0),1,0),IF((L123/FORMULACIÓN!M123)&lt;&gt;0,L123/FORMULACIÓN!M123,0)),"")</f>
        <v>0</v>
      </c>
      <c r="AQ123" s="117">
        <f>IFERROR(IF($H123=Lists!$S$6,IF(AND(FORMULACIÓN!N123&gt;M123,M123&gt;0),1,0),IF((M123/FORMULACIÓN!N123)&lt;&gt;0,M123/FORMULACIÓN!N123,0)),"")</f>
        <v>0</v>
      </c>
      <c r="AR123" s="117">
        <f>IFERROR(IF($H123=Lists!$S$6,IF(AND(FORMULACIÓN!O123&gt;N123,N123&gt;0),1,0),IF((N123/FORMULACIÓN!O123)&lt;&gt;0,N123/FORMULACIÓN!O123,0)),"")</f>
        <v>0</v>
      </c>
      <c r="AS123" s="110"/>
      <c r="AT123" s="118" t="str">
        <f ca="1">IF($H123=Lists!$S$6,TEXT(COUNTIF('SEGUIMIENTO Y EVALUACIÓN'!K123:N123,"&lt;"&amp;FORMULACIÓN!Q123),"##.###")&amp;" / "&amp;TEXT(COUNTIF('SEGUIMIENTO Y EVALUACIÓN'!K123:N123,"&gt;"&amp;0),"##.###"),IF($G123=Lists!$R$3,TEXT('SEGUIMIENTO Y EVALUACIÓN'!O123,"00,00%")&amp;" / "&amp;TEXT(FORMULACIÓN!P123,"00,00%"),IF('SEGUIMIENTO Y EVALUACIÓN'!O123=0,0,TEXT('SEGUIMIENTO Y EVALUACIÓN'!O123,"##.###")&amp;" / "&amp;TEXT(FORMULACIÓN!P123,"##.###"))))</f>
        <v>533 / 800</v>
      </c>
      <c r="AU123" s="57">
        <f ca="1">IFERROR(IF((P123/FORMULACIÓN!Q123)&lt;&gt;0,IF($H123=Lists!$S$6,COUNTIF('SEGUIMIENTO Y EVALUACIÓN'!K123:N123,"&lt;"&amp;FORMULACIÓN!Q123),'SEGUIMIENTO Y EVALUACIÓN'!P123)/IF($H123=Lists!$S$6,COUNTIF('SEGUIMIENTO Y EVALUACIÓN'!K123:N123,"&gt;"&amp;0),FORMULACIÓN!P123),0),0)</f>
        <v>0.66625000000000001</v>
      </c>
      <c r="AV123" s="93">
        <f t="shared" ca="1" si="15"/>
        <v>1.3325E-2</v>
      </c>
      <c r="AW123" s="93" cm="1">
        <f t="array" ref="AW123">IF(INDEX(AO123:AU123,1,$AV$3)&gt;1,IF($AU$2=1,1,INDEX(AO123:AU123,1,$AV$3)),INDEX(AO123:AU123,1,$AV$3))</f>
        <v>1</v>
      </c>
      <c r="AX123"/>
      <c r="AY123" s="119" t="str">
        <f>IFERROR(IF((W123/FORMULACIÓN!X123)&lt;&gt;0,W123/FORMULACIÓN!X123,0),"")</f>
        <v/>
      </c>
      <c r="AZ123" s="119" t="str">
        <f>IFERROR(IF((AA123/FORMULACIÓN!AB123)&lt;&gt;0,AA123/FORMULACIÓN!AB123,0),"")</f>
        <v/>
      </c>
      <c r="BA123" s="119" t="str">
        <f>IFERROR(IF((AE123/FORMULACIÓN!AF123)&lt;&gt;0,(AE123/FORMULACIÓN!AF123),0),"")</f>
        <v/>
      </c>
      <c r="BB123" s="119" t="str">
        <f>IFERROR(IF((AI123/FORMULACIÓN!AJ123)&lt;&gt;0,AI123/FORMULACIÓN!AJ123,0),"")</f>
        <v/>
      </c>
      <c r="BC123" s="120" t="str">
        <f>IF('SEGUIMIENTO Y EVALUACIÓN'!AI123=0,0,TEXT('SEGUIMIENTO Y EVALUACIÓN'!AI123,"$ ##.###")&amp;" / "&amp;TEXT(FORMULACIÓN!AK123,"$ ##.###"))</f>
        <v xml:space="preserve"> / $ 2.528.379.102</v>
      </c>
      <c r="BD123" s="57">
        <f>IFERROR(IF((AJ123/FORMULACIÓN!AK123)&lt;&gt;0,AJ123/FORMULACIÓN!AK123,0),0)</f>
        <v>0</v>
      </c>
      <c r="CL123" s="7"/>
    </row>
    <row r="124" spans="1:90" s="1" customFormat="1" ht="99.95" customHeight="1">
      <c r="A124" s="45">
        <f>IF(FORMULACIÓN!A124="","",FORMULACIÓN!A124)</f>
        <v>113</v>
      </c>
      <c r="B124" s="45" t="str">
        <f>IF(FORMULACIÓN!B124="","",FORMULACIÓN!B124)</f>
        <v>L3 - Impacto regional, Nacional e Internacional desde la Extensión y proyección social</v>
      </c>
      <c r="C124" s="45" t="str">
        <f>IF(FORMULACIÓN!E124="","",FORMULACIÓN!E124)</f>
        <v xml:space="preserve">M4 - Responsabilidad social universitaria RSU.  </v>
      </c>
      <c r="D124" s="45" t="str">
        <f>IF(FORMULACIÓN!F124="","",FORMULACIÓN!F124)</f>
        <v>Elaborar e implementar en forma sostenible la política institucional de Responsabilidad Social Universitaria RSU y ejecutar por lo menos 50 proyectos del Voluntariado UA.</v>
      </c>
      <c r="E124" s="45" t="str">
        <f>IF(FORMULACIÓN!G124="","",FORMULACIÓN!G124)</f>
        <v xml:space="preserve">Política institucional Responsabilidad Social Universitaria RSU </v>
      </c>
      <c r="F124" s="45" t="str">
        <f>IF(FORMULACIÓN!H124="","",FORMULACIÓN!H124)</f>
        <v>Política institucional Responsabilidad Social Universitaria RSU aprobada</v>
      </c>
      <c r="G124" s="45" t="str">
        <f>IF(FORMULACIÓN!I124="","",FORMULACIÓN!I124)</f>
        <v>Unidad</v>
      </c>
      <c r="H124" s="45" t="str">
        <f>IF(FORMULACIÓN!J124="","",FORMULACIÓN!J124)</f>
        <v>Nuevo gestionado durante la vigencia</v>
      </c>
      <c r="I124" s="188" t="str">
        <f ca="1">IF($G124=Lists!$R$3,"PDI: "&amp;TEXT(FORMULACIÓN!Q124,"00,00%")&amp;CHAR(10)&amp;CHAR(10)&amp;"T1: "&amp;TEXT(FORMULACIÓN!L124,"00,00%")&amp;CHAR(10)&amp;"T2: "&amp;TEXT(FORMULACIÓN!M124,"00,00%")&amp;CHAR(10)&amp;"T3: "&amp;TEXT(FORMULACIÓN!N124,"00,00%")&amp;CHAR(10)&amp;"Tn: "&amp;TEXT(FORMULACIÓN!O124,"00,00%"),IF(FORMULACIÓN!Q124=0,0,"PDI: "&amp;TEXT(FORMULACIÓN!Q124,"##.###")&amp;CHAR(10)&amp;CHAR(10)&amp;"T1: "&amp;TEXT(FORMULACIÓN!L124,"##.###")&amp;CHAR(10)&amp;"T2: "&amp;TEXT(FORMULACIÓN!M124,"##.###")&amp;CHAR(10)&amp;"T3: "&amp;TEXT(FORMULACIÓN!N124,"##.###")&amp;CHAR(10)&amp;"Tn: "&amp;TEXT(FORMULACIÓN!O124,"##.###")))</f>
        <v xml:space="preserve">PDI: 1
T1: 1
T2: 
T3: 
Tn: </v>
      </c>
      <c r="J124" s="122">
        <f>IF(FORMULACIÓN!K124&lt;&gt;"",FORMULACIÓN!K124,"")</f>
        <v>0</v>
      </c>
      <c r="K124" s="310">
        <v>0</v>
      </c>
      <c r="L124" s="58"/>
      <c r="M124" s="58"/>
      <c r="N124" s="58"/>
      <c r="O124" s="47">
        <f ca="1">IFERROR(IF($H124=Lists!$S$2,SUM('SEGUIMIENTO Y EVALUACIÓN'!J124:N124),IF('SEGUIMIENTO Y EVALUACIÓN'!$H124=Lists!$S$3,SUM('SEGUIMIENTO Y EVALUACIÓN'!K124:N124),IF('SEGUIMIENTO Y EVALUACIÓN'!$H124=Lists!$S$4,AVERAGE('SEGUIMIENTO Y EVALUACIÓN'!K124:N124),IF('SEGUIMIENTO Y EVALUACIÓN'!$H124=Lists!$S$5,OFFSET(J124,0,COUNTA(K124:N124)),IF($H124=Lists!$S$6,COUNTIF(K124:N124,"&lt;"&amp;FORMULACIÓN!Q124)/COUNT('SEGUIMIENTO Y EVALUACIÓN'!K124:N124),""))))),"")</f>
        <v>0</v>
      </c>
      <c r="P124" s="51">
        <f ca="1">IF($G124=Lists!$R$3,TEXT('SEGUIMIENTO Y EVALUACIÓN'!O124,"00,00%"),IF('SEGUIMIENTO Y EVALUACIÓN'!O124=0,0,TEXT('SEGUIMIENTO Y EVALUACIÓN'!O124,"##.###")))</f>
        <v>0</v>
      </c>
      <c r="Q124" s="209" t="str">
        <f>IF(FORMULACIÓN!R124&lt;&gt;"",FORMULACIÓN!R124,"")</f>
        <v>P1 - Creación de políticas institucionales en RSU</v>
      </c>
      <c r="R124" s="209">
        <f>IF(FORMULACIÓN!S124&lt;&gt;"",FORMULACIÓN!S124,"")</f>
        <v>0.05</v>
      </c>
      <c r="S124" s="209" t="str">
        <f>IF(FORMULACIÓN!T124&lt;&gt;"",FORMULACIÓN!T124,"")</f>
        <v>Vicerrector de Investigación, Extensión y Proyección Social</v>
      </c>
      <c r="T124" s="42"/>
      <c r="U124" s="42"/>
      <c r="V124" s="42"/>
      <c r="W124" s="43" t="str">
        <f t="shared" si="9"/>
        <v/>
      </c>
      <c r="X124" s="42"/>
      <c r="Y124" s="42"/>
      <c r="Z124" s="42"/>
      <c r="AA124" s="43" t="str">
        <f t="shared" si="10"/>
        <v/>
      </c>
      <c r="AB124" s="42"/>
      <c r="AC124" s="42"/>
      <c r="AD124" s="42"/>
      <c r="AE124" s="43" t="str">
        <f t="shared" si="11"/>
        <v/>
      </c>
      <c r="AF124" s="42"/>
      <c r="AG124" s="42"/>
      <c r="AH124" s="42"/>
      <c r="AI124" s="46" t="str">
        <f t="shared" si="12"/>
        <v/>
      </c>
      <c r="AJ124" s="46" t="str">
        <f>IF(SUM(AA124,AE124,W124,AI124)=0,"",SUM((AA124,AE124,W124,AI124)))</f>
        <v/>
      </c>
      <c r="AK124"/>
      <c r="AL124" s="1" t="str">
        <f t="shared" si="16"/>
        <v>L3M4P1</v>
      </c>
      <c r="AM124" s="56" t="str">
        <f t="shared" si="17"/>
        <v xml:space="preserve">Política institucional Responsabilidad Social Universitaria RSU </v>
      </c>
      <c r="AN124" s="112" t="str">
        <f ca="1">IF($G124=Lists!$R$3,"T1: "&amp;TEXT(FORMULACIÓN!L124,"00,00%")&amp;CHAR(10)&amp;"T2: "&amp;TEXT(FORMULACIÓN!M124,"00,00%")&amp;CHAR(10)&amp;"T3: "&amp;TEXT(FORMULACIÓN!N124,"00,00%")&amp;CHAR(10)&amp;"Tn: "&amp;TEXT(FORMULACIÓN!O124,"00,00%"),IF(FORMULACIÓN!Q124=0,0,"T1: "&amp;TEXT(FORMULACIÓN!L124,"##.###")&amp;CHAR(10)&amp;"T2: "&amp;TEXT(FORMULACIÓN!M124,"##.###")&amp;CHAR(10)&amp;"T3: "&amp;TEXT(FORMULACIÓN!N124,"##.###")&amp;CHAR(10)&amp;"Tn: "&amp;TEXT(FORMULACIÓN!O124,"##.###")))</f>
        <v xml:space="preserve">T1: 1
T2: 
T3: 
Tn: </v>
      </c>
      <c r="AO124" s="117">
        <f>IFERROR(IF($H124=Lists!$S$6,IF(AND(FORMULACIÓN!L124&gt;K124,K124&gt;0),1,0),IF((K124/FORMULACIÓN!L124)&lt;&gt;0,K124/FORMULACIÓN!L124,0)),"")</f>
        <v>0</v>
      </c>
      <c r="AP124" s="117" t="str">
        <f>IFERROR(IF($H124=Lists!$S$6,IF(AND(FORMULACIÓN!M124&gt;L124,L124&gt;0),1,0),IF((L124/FORMULACIÓN!M124)&lt;&gt;0,L124/FORMULACIÓN!M124,0)),"")</f>
        <v/>
      </c>
      <c r="AQ124" s="117" t="str">
        <f>IFERROR(IF($H124=Lists!$S$6,IF(AND(FORMULACIÓN!N124&gt;M124,M124&gt;0),1,0),IF((M124/FORMULACIÓN!N124)&lt;&gt;0,M124/FORMULACIÓN!N124,0)),"")</f>
        <v/>
      </c>
      <c r="AR124" s="117" t="str">
        <f>IFERROR(IF($H124=Lists!$S$6,IF(AND(FORMULACIÓN!O124&gt;N124,N124&gt;0),1,0),IF((N124/FORMULACIÓN!O124)&lt;&gt;0,N124/FORMULACIÓN!O124,0)),"")</f>
        <v/>
      </c>
      <c r="AS124" s="110"/>
      <c r="AT124" s="118">
        <f ca="1">IF($H124=Lists!$S$6,TEXT(COUNTIF('SEGUIMIENTO Y EVALUACIÓN'!K124:N124,"&lt;"&amp;FORMULACIÓN!Q124),"##.###")&amp;" / "&amp;TEXT(COUNTIF('SEGUIMIENTO Y EVALUACIÓN'!K124:N124,"&gt;"&amp;0),"##.###"),IF($G124=Lists!$R$3,TEXT('SEGUIMIENTO Y EVALUACIÓN'!O124,"00,00%")&amp;" / "&amp;TEXT(FORMULACIÓN!P124,"00,00%"),IF('SEGUIMIENTO Y EVALUACIÓN'!O124=0,0,TEXT('SEGUIMIENTO Y EVALUACIÓN'!O124,"##.###")&amp;" / "&amp;TEXT(FORMULACIÓN!P124,"##.###"))))</f>
        <v>0</v>
      </c>
      <c r="AU124" s="57">
        <f ca="1">IFERROR(IF((P124/FORMULACIÓN!Q124)&lt;&gt;0,IF($H124=Lists!$S$6,COUNTIF('SEGUIMIENTO Y EVALUACIÓN'!K124:N124,"&lt;"&amp;FORMULACIÓN!Q124),'SEGUIMIENTO Y EVALUACIÓN'!P124)/IF($H124=Lists!$S$6,COUNTIF('SEGUIMIENTO Y EVALUACIÓN'!K124:N124,"&gt;"&amp;0),FORMULACIÓN!P124),0),0)</f>
        <v>0</v>
      </c>
      <c r="AV124" s="93">
        <f t="shared" ca="1" si="15"/>
        <v>0</v>
      </c>
      <c r="AW124" s="93" cm="1">
        <f t="array" ref="AW124">IF(INDEX(AO124:AU124,1,$AV$3)&gt;1,IF($AU$2=1,1,INDEX(AO124:AU124,1,$AV$3)),INDEX(AO124:AU124,1,$AV$3))</f>
        <v>0</v>
      </c>
      <c r="AX124"/>
      <c r="AY124" s="119" t="str">
        <f>IFERROR(IF((W124/FORMULACIÓN!X124)&lt;&gt;0,W124/FORMULACIÓN!X124,0),"")</f>
        <v/>
      </c>
      <c r="AZ124" s="119" t="str">
        <f>IFERROR(IF((AA124/FORMULACIÓN!AB124)&lt;&gt;0,AA124/FORMULACIÓN!AB124,0),"")</f>
        <v/>
      </c>
      <c r="BA124" s="119" t="str">
        <f>IFERROR(IF((AE124/FORMULACIÓN!AF124)&lt;&gt;0,(AE124/FORMULACIÓN!AF124),0),"")</f>
        <v/>
      </c>
      <c r="BB124" s="119" t="str">
        <f>IFERROR(IF((AI124/FORMULACIÓN!AJ124)&lt;&gt;0,AI124/FORMULACIÓN!AJ124,0),"")</f>
        <v/>
      </c>
      <c r="BC124" s="120" t="str">
        <f>IF('SEGUIMIENTO Y EVALUACIÓN'!AI124=0,0,TEXT('SEGUIMIENTO Y EVALUACIÓN'!AI124,"$ ##.###")&amp;" / "&amp;TEXT(FORMULACIÓN!AK124,"$ ##.###"))</f>
        <v xml:space="preserve"> / $ 823.033.412</v>
      </c>
      <c r="BD124" s="57">
        <f>IFERROR(IF((AJ124/FORMULACIÓN!AK124)&lt;&gt;0,AJ124/FORMULACIÓN!AK124,0),0)</f>
        <v>0</v>
      </c>
      <c r="CL124" s="7"/>
    </row>
    <row r="125" spans="1:90" s="1" customFormat="1" ht="99.95" customHeight="1">
      <c r="A125" s="45">
        <f>IF(FORMULACIÓN!A125="","",FORMULACIÓN!A125)</f>
        <v>114</v>
      </c>
      <c r="B125" s="45" t="str">
        <f>IF(FORMULACIÓN!B125="","",FORMULACIÓN!B125)</f>
        <v>L3 - Impacto regional, Nacional e Internacional desde la Extensión y proyección social</v>
      </c>
      <c r="C125" s="45" t="str">
        <f>IF(FORMULACIÓN!E125="","",FORMULACIÓN!E125)</f>
        <v xml:space="preserve">M4 - Responsabilidad social universitaria RSU.  </v>
      </c>
      <c r="D125" s="45" t="str">
        <f>IF(FORMULACIÓN!F125="","",FORMULACIÓN!F125)</f>
        <v>Elaborar e implementar en forma sostenible la política institucional de Responsabilidad Social Universitaria RSU y ejecutar por lo menos 50 proyectos del Voluntariado UA.</v>
      </c>
      <c r="E125" s="45" t="str">
        <f>IF(FORMULACIÓN!G125="","",FORMULACIÓN!G125)</f>
        <v>Porcentaje de implementación de la política institucional Responsabilidad Social Universitaria RSU</v>
      </c>
      <c r="F125" s="45" t="str">
        <f>IF(FORMULACIÓN!H125="","",FORMULACIÓN!H125)</f>
        <v>(N° de componentes de la Política  institucional RSU implementados / N° total de componentes de la política) *100</v>
      </c>
      <c r="G125" s="45" t="str">
        <f>IF(FORMULACIÓN!I125="","",FORMULACIÓN!I125)</f>
        <v>Porcentaje</v>
      </c>
      <c r="H125" s="45" t="str">
        <f>IF(FORMULACIÓN!J125="","",FORMULACIÓN!J125)</f>
        <v>Acumulado</v>
      </c>
      <c r="I125" s="188" t="str">
        <f ca="1">IF($G125=Lists!$R$3,"PDI: "&amp;TEXT(FORMULACIÓN!Q125,"00,00%")&amp;CHAR(10)&amp;CHAR(10)&amp;"T1: "&amp;TEXT(FORMULACIÓN!L125,"00,00%")&amp;CHAR(10)&amp;"T2: "&amp;TEXT(FORMULACIÓN!M125,"00,00%")&amp;CHAR(10)&amp;"T3: "&amp;TEXT(FORMULACIÓN!N125,"00,00%")&amp;CHAR(10)&amp;"Tn: "&amp;TEXT(FORMULACIÓN!O125,"00,00%"),IF(FORMULACIÓN!Q125=0,0,"PDI: "&amp;TEXT(FORMULACIÓN!Q125,"##.###")&amp;CHAR(10)&amp;CHAR(10)&amp;"T1: "&amp;TEXT(FORMULACIÓN!L125,"##.###")&amp;CHAR(10)&amp;"T2: "&amp;TEXT(FORMULACIÓN!M125,"##.###")&amp;CHAR(10)&amp;"T3: "&amp;TEXT(FORMULACIÓN!N125,"##.###")&amp;CHAR(10)&amp;"Tn: "&amp;TEXT(FORMULACIÓN!O125,"##.###")))</f>
        <v>PDI: 100,00%
T1: 00,00%
T2: 40,00%
T3: 40,00%
Tn: 20,00%</v>
      </c>
      <c r="J125" s="122">
        <f>IF(FORMULACIÓN!K125&lt;&gt;"",FORMULACIÓN!K125,"")</f>
        <v>0</v>
      </c>
      <c r="K125" s="309">
        <v>0</v>
      </c>
      <c r="L125" s="58"/>
      <c r="M125" s="58"/>
      <c r="N125" s="58"/>
      <c r="O125" s="47">
        <f ca="1">IFERROR(IF($H125=Lists!$S$2,SUM('SEGUIMIENTO Y EVALUACIÓN'!J125:N125),IF('SEGUIMIENTO Y EVALUACIÓN'!$H125=Lists!$S$3,SUM('SEGUIMIENTO Y EVALUACIÓN'!K125:N125),IF('SEGUIMIENTO Y EVALUACIÓN'!$H125=Lists!$S$4,AVERAGE('SEGUIMIENTO Y EVALUACIÓN'!K125:N125),IF('SEGUIMIENTO Y EVALUACIÓN'!$H125=Lists!$S$5,OFFSET(J125,0,COUNTA(K125:N125)),IF($H125=Lists!$S$6,COUNTIF(K125:N125,"&lt;"&amp;FORMULACIÓN!Q125)/COUNT('SEGUIMIENTO Y EVALUACIÓN'!K125:N125),""))))),"")</f>
        <v>0</v>
      </c>
      <c r="P125" s="51" t="str">
        <f ca="1">IF($G125=Lists!$R$3,TEXT('SEGUIMIENTO Y EVALUACIÓN'!O125,"00,00%"),IF('SEGUIMIENTO Y EVALUACIÓN'!O125=0,0,TEXT('SEGUIMIENTO Y EVALUACIÓN'!O125,"##.###")))</f>
        <v>00,00%</v>
      </c>
      <c r="Q125" s="209" t="str">
        <f>IF(FORMULACIÓN!R125&lt;&gt;"",FORMULACIÓN!R125,"")</f>
        <v>P1 - Creación de políticas institucionales en RSU</v>
      </c>
      <c r="R125" s="209">
        <f>IF(FORMULACIÓN!S125&lt;&gt;"",FORMULACIÓN!S125,"")</f>
        <v>0.05</v>
      </c>
      <c r="S125" s="209" t="str">
        <f>IF(FORMULACIÓN!T125&lt;&gt;"",FORMULACIÓN!T125,"")</f>
        <v>Vicerrector de Investigación, Extensión y Proyección Social</v>
      </c>
      <c r="T125" s="42"/>
      <c r="U125" s="42"/>
      <c r="V125" s="42"/>
      <c r="W125" s="43" t="str">
        <f t="shared" si="9"/>
        <v/>
      </c>
      <c r="X125" s="42"/>
      <c r="Y125" s="42"/>
      <c r="Z125" s="42"/>
      <c r="AA125" s="43" t="str">
        <f t="shared" si="10"/>
        <v/>
      </c>
      <c r="AB125" s="42"/>
      <c r="AC125" s="42"/>
      <c r="AD125" s="42"/>
      <c r="AE125" s="43" t="str">
        <f t="shared" si="11"/>
        <v/>
      </c>
      <c r="AF125" s="42"/>
      <c r="AG125" s="42"/>
      <c r="AH125" s="42"/>
      <c r="AI125" s="46" t="str">
        <f t="shared" si="12"/>
        <v/>
      </c>
      <c r="AJ125" s="46" t="str">
        <f>IF(SUM(AA125,AE125,W125,AI125)=0,"",SUM((AA125,AE125,W125,AI125)))</f>
        <v/>
      </c>
      <c r="AK125"/>
      <c r="AL125" s="1" t="str">
        <f t="shared" si="16"/>
        <v>L3M4P1</v>
      </c>
      <c r="AM125" s="56" t="str">
        <f t="shared" si="17"/>
        <v>Porcentaje de implementación de la política institucional Responsabilidad Social Universitaria RSU</v>
      </c>
      <c r="AN125" s="112" t="str">
        <f>IF($G125=Lists!$R$3,"T1: "&amp;TEXT(FORMULACIÓN!L125,"00,00%")&amp;CHAR(10)&amp;"T2: "&amp;TEXT(FORMULACIÓN!M125,"00,00%")&amp;CHAR(10)&amp;"T3: "&amp;TEXT(FORMULACIÓN!N125,"00,00%")&amp;CHAR(10)&amp;"Tn: "&amp;TEXT(FORMULACIÓN!O125,"00,00%"),IF(FORMULACIÓN!Q125=0,0,"T1: "&amp;TEXT(FORMULACIÓN!L125,"##.###")&amp;CHAR(10)&amp;"T2: "&amp;TEXT(FORMULACIÓN!M125,"##.###")&amp;CHAR(10)&amp;"T3: "&amp;TEXT(FORMULACIÓN!N125,"##.###")&amp;CHAR(10)&amp;"Tn: "&amp;TEXT(FORMULACIÓN!O125,"##.###")))</f>
        <v>T1: 00,00%
T2: 40,00%
T3: 40,00%
Tn: 20,00%</v>
      </c>
      <c r="AO125" s="117" t="str">
        <f>IFERROR(IF($H125=Lists!$S$6,IF(AND(FORMULACIÓN!L125&gt;K125,K125&gt;0),1,0),IF((K125/FORMULACIÓN!L125)&lt;&gt;0,K125/FORMULACIÓN!L125,0)),"")</f>
        <v/>
      </c>
      <c r="AP125" s="117">
        <f>IFERROR(IF($H125=Lists!$S$6,IF(AND(FORMULACIÓN!M125&gt;L125,L125&gt;0),1,0),IF((L125/FORMULACIÓN!M125)&lt;&gt;0,L125/FORMULACIÓN!M125,0)),"")</f>
        <v>0</v>
      </c>
      <c r="AQ125" s="117">
        <f>IFERROR(IF($H125=Lists!$S$6,IF(AND(FORMULACIÓN!N125&gt;M125,M125&gt;0),1,0),IF((M125/FORMULACIÓN!N125)&lt;&gt;0,M125/FORMULACIÓN!N125,0)),"")</f>
        <v>0</v>
      </c>
      <c r="AR125" s="117">
        <f>IFERROR(IF($H125=Lists!$S$6,IF(AND(FORMULACIÓN!O125&gt;N125,N125&gt;0),1,0),IF((N125/FORMULACIÓN!O125)&lt;&gt;0,N125/FORMULACIÓN!O125,0)),"")</f>
        <v>0</v>
      </c>
      <c r="AS125" s="110"/>
      <c r="AT125" s="118" t="str">
        <f ca="1">IF($H125=Lists!$S$6,TEXT(COUNTIF('SEGUIMIENTO Y EVALUACIÓN'!K125:N125,"&lt;"&amp;FORMULACIÓN!Q125),"##.###")&amp;" / "&amp;TEXT(COUNTIF('SEGUIMIENTO Y EVALUACIÓN'!K125:N125,"&gt;"&amp;0),"##.###"),IF($G125=Lists!$R$3,TEXT('SEGUIMIENTO Y EVALUACIÓN'!O125,"00,00%")&amp;" / "&amp;TEXT(FORMULACIÓN!P125,"00,00%"),IF('SEGUIMIENTO Y EVALUACIÓN'!O125=0,0,TEXT('SEGUIMIENTO Y EVALUACIÓN'!O125,"##.###")&amp;" / "&amp;TEXT(FORMULACIÓN!P125,"##.###"))))</f>
        <v>00,00% / 100,00%</v>
      </c>
      <c r="AU125" s="57">
        <f ca="1">IFERROR(IF((P125/FORMULACIÓN!Q125)&lt;&gt;0,IF($H125=Lists!$S$6,COUNTIF('SEGUIMIENTO Y EVALUACIÓN'!K125:N125,"&lt;"&amp;FORMULACIÓN!Q125),'SEGUIMIENTO Y EVALUACIÓN'!P125)/IF($H125=Lists!$S$6,COUNTIF('SEGUIMIENTO Y EVALUACIÓN'!K125:N125,"&gt;"&amp;0),FORMULACIÓN!P125),0),0)</f>
        <v>0</v>
      </c>
      <c r="AV125" s="93">
        <f t="shared" ca="1" si="15"/>
        <v>0</v>
      </c>
      <c r="AW125" s="93" cm="1">
        <f t="array" ref="AW125">IF(INDEX(AO125:AU125,1,$AV$3)&gt;1,IF($AU$2=1,1,INDEX(AO125:AU125,1,$AV$3)),INDEX(AO125:AU125,1,$AV$3))</f>
        <v>1</v>
      </c>
      <c r="AX125"/>
      <c r="AY125" s="119" t="str">
        <f>IFERROR(IF((W125/FORMULACIÓN!X125)&lt;&gt;0,W125/FORMULACIÓN!X125,0),"")</f>
        <v/>
      </c>
      <c r="AZ125" s="119" t="str">
        <f>IFERROR(IF((AA125/FORMULACIÓN!AB125)&lt;&gt;0,AA125/FORMULACIÓN!AB125,0),"")</f>
        <v/>
      </c>
      <c r="BA125" s="119" t="str">
        <f>IFERROR(IF((AE125/FORMULACIÓN!AF125)&lt;&gt;0,(AE125/FORMULACIÓN!AF125),0),"")</f>
        <v/>
      </c>
      <c r="BB125" s="119" t="str">
        <f>IFERROR(IF((AI125/FORMULACIÓN!AJ125)&lt;&gt;0,AI125/FORMULACIÓN!AJ125,0),"")</f>
        <v/>
      </c>
      <c r="BC125" s="120" t="str">
        <f>IF('SEGUIMIENTO Y EVALUACIÓN'!AI125=0,0,TEXT('SEGUIMIENTO Y EVALUACIÓN'!AI125,"$ ##.###")&amp;" / "&amp;TEXT(FORMULACIÓN!AK125,"$ ##.###"))</f>
        <v xml:space="preserve"> / $ 6.584.267.295</v>
      </c>
      <c r="BD125" s="57">
        <f>IFERROR(IF((AJ125/FORMULACIÓN!AK125)&lt;&gt;0,AJ125/FORMULACIÓN!AK125,0),0)</f>
        <v>0</v>
      </c>
      <c r="CL125" s="7"/>
    </row>
    <row r="126" spans="1:90" s="1" customFormat="1" ht="99.95" customHeight="1">
      <c r="A126" s="45">
        <f>IF(FORMULACIÓN!A126="","",FORMULACIÓN!A126)</f>
        <v>115</v>
      </c>
      <c r="B126" s="45" t="str">
        <f>IF(FORMULACIÓN!B126="","",FORMULACIÓN!B126)</f>
        <v>L3 - Impacto regional, Nacional e Internacional desde la Extensión y proyección social</v>
      </c>
      <c r="C126" s="45" t="str">
        <f>IF(FORMULACIÓN!E126="","",FORMULACIÓN!E126)</f>
        <v xml:space="preserve">M4 - Responsabilidad social universitaria RSU.  </v>
      </c>
      <c r="D126" s="45" t="str">
        <f>IF(FORMULACIÓN!F126="","",FORMULACIÓN!F126)</f>
        <v>Elaborar e implementar en forma sostenible la política institucional de Responsabilidad Social Universitaria RSU y ejecutar por lo menos 50 proyectos del Voluntariado UA.</v>
      </c>
      <c r="E126" s="45" t="str">
        <f>IF(FORMULACIÓN!G126="","",FORMULACIÓN!G126)</f>
        <v xml:space="preserve">Creación del Voluntariado UA con sus Proyectos asociados </v>
      </c>
      <c r="F126" s="45" t="str">
        <f>IF(FORMULACIÓN!H126="","",FORMULACIÓN!H126)</f>
        <v xml:space="preserve">N° de proyectos ejecutados por el Voluntariado UA </v>
      </c>
      <c r="G126" s="45" t="str">
        <f>IF(FORMULACIÓN!I126="","",FORMULACIÓN!I126)</f>
        <v>Unidad</v>
      </c>
      <c r="H126" s="45" t="str">
        <f>IF(FORMULACIÓN!J126="","",FORMULACIÓN!J126)</f>
        <v>Nuevo gestionado durante la vigencia</v>
      </c>
      <c r="I126" s="188" t="str">
        <f ca="1">IF($G126=Lists!$R$3,"PDI: "&amp;TEXT(FORMULACIÓN!Q126,"00,00%")&amp;CHAR(10)&amp;CHAR(10)&amp;"T1: "&amp;TEXT(FORMULACIÓN!L126,"00,00%")&amp;CHAR(10)&amp;"T2: "&amp;TEXT(FORMULACIÓN!M126,"00,00%")&amp;CHAR(10)&amp;"T3: "&amp;TEXT(FORMULACIÓN!N126,"00,00%")&amp;CHAR(10)&amp;"Tn: "&amp;TEXT(FORMULACIÓN!O126,"00,00%"),IF(FORMULACIÓN!Q126=0,0,"PDI: "&amp;TEXT(FORMULACIÓN!Q126,"##.###")&amp;CHAR(10)&amp;CHAR(10)&amp;"T1: "&amp;TEXT(FORMULACIÓN!L126,"##.###")&amp;CHAR(10)&amp;"T2: "&amp;TEXT(FORMULACIÓN!M126,"##.###")&amp;CHAR(10)&amp;"T3: "&amp;TEXT(FORMULACIÓN!N126,"##.###")&amp;CHAR(10)&amp;"Tn: "&amp;TEXT(FORMULACIÓN!O126,"##.###")))</f>
        <v>PDI: 50
T1: 15
T2: 15
T3: 15
Tn: 5</v>
      </c>
      <c r="J126" s="122">
        <f>IF(FORMULACIÓN!K126&lt;&gt;"",FORMULACIÓN!K126,"")</f>
        <v>0</v>
      </c>
      <c r="K126" s="310">
        <v>20</v>
      </c>
      <c r="L126" s="58"/>
      <c r="M126" s="58"/>
      <c r="N126" s="58"/>
      <c r="O126" s="47">
        <f ca="1">IFERROR(IF($H126=Lists!$S$2,SUM('SEGUIMIENTO Y EVALUACIÓN'!J126:N126),IF('SEGUIMIENTO Y EVALUACIÓN'!$H126=Lists!$S$3,SUM('SEGUIMIENTO Y EVALUACIÓN'!K126:N126),IF('SEGUIMIENTO Y EVALUACIÓN'!$H126=Lists!$S$4,AVERAGE('SEGUIMIENTO Y EVALUACIÓN'!K126:N126),IF('SEGUIMIENTO Y EVALUACIÓN'!$H126=Lists!$S$5,OFFSET(J126,0,COUNTA(K126:N126)),IF($H126=Lists!$S$6,COUNTIF(K126:N126,"&lt;"&amp;FORMULACIÓN!Q126)/COUNT('SEGUIMIENTO Y EVALUACIÓN'!K126:N126),""))))),"")</f>
        <v>20</v>
      </c>
      <c r="P126" s="51" t="str">
        <f ca="1">IF($G126=Lists!$R$3,TEXT('SEGUIMIENTO Y EVALUACIÓN'!O126,"00,00%"),IF('SEGUIMIENTO Y EVALUACIÓN'!O126=0,0,TEXT('SEGUIMIENTO Y EVALUACIÓN'!O126,"##.###")))</f>
        <v>20</v>
      </c>
      <c r="Q126" s="209" t="str">
        <f>IF(FORMULACIÓN!R126&lt;&gt;"",FORMULACIÓN!R126,"")</f>
        <v xml:space="preserve">P2 - Fortalecer la participación en las iniciativas locales y globales de la agenda 2030 para el desarrollo sostenible. </v>
      </c>
      <c r="R126" s="209">
        <f>IF(FORMULACIÓN!S126&lt;&gt;"",FORMULACIÓN!S126,"")</f>
        <v>0.05</v>
      </c>
      <c r="S126" s="209" t="str">
        <f>IF(FORMULACIÓN!T126&lt;&gt;"",FORMULACIÓN!T126,"")</f>
        <v>Vicerrector de Investigación, Extensión y Proyección Social</v>
      </c>
      <c r="T126" s="42"/>
      <c r="U126" s="42"/>
      <c r="V126" s="42"/>
      <c r="W126" s="43" t="str">
        <f t="shared" si="9"/>
        <v/>
      </c>
      <c r="X126" s="42"/>
      <c r="Y126" s="42"/>
      <c r="Z126" s="42"/>
      <c r="AA126" s="43" t="str">
        <f t="shared" si="10"/>
        <v/>
      </c>
      <c r="AB126" s="42"/>
      <c r="AC126" s="42"/>
      <c r="AD126" s="42"/>
      <c r="AE126" s="43" t="str">
        <f t="shared" si="11"/>
        <v/>
      </c>
      <c r="AF126" s="42"/>
      <c r="AG126" s="42"/>
      <c r="AH126" s="42"/>
      <c r="AI126" s="46" t="str">
        <f t="shared" si="12"/>
        <v/>
      </c>
      <c r="AJ126" s="46" t="str">
        <f>IF(SUM(AA126,AE126,W126,AI126)=0,"",SUM((AA126,AE126,W126,AI126)))</f>
        <v/>
      </c>
      <c r="AK126"/>
      <c r="AL126" s="1" t="str">
        <f t="shared" si="16"/>
        <v>L3M4P2</v>
      </c>
      <c r="AM126" s="56" t="str">
        <f t="shared" si="17"/>
        <v xml:space="preserve">Creación del Voluntariado UA con sus Proyectos asociados </v>
      </c>
      <c r="AN126" s="112" t="str">
        <f ca="1">IF($G126=Lists!$R$3,"T1: "&amp;TEXT(FORMULACIÓN!L126,"00,00%")&amp;CHAR(10)&amp;"T2: "&amp;TEXT(FORMULACIÓN!M126,"00,00%")&amp;CHAR(10)&amp;"T3: "&amp;TEXT(FORMULACIÓN!N126,"00,00%")&amp;CHAR(10)&amp;"Tn: "&amp;TEXT(FORMULACIÓN!O126,"00,00%"),IF(FORMULACIÓN!Q126=0,0,"T1: "&amp;TEXT(FORMULACIÓN!L126,"##.###")&amp;CHAR(10)&amp;"T2: "&amp;TEXT(FORMULACIÓN!M126,"##.###")&amp;CHAR(10)&amp;"T3: "&amp;TEXT(FORMULACIÓN!N126,"##.###")&amp;CHAR(10)&amp;"Tn: "&amp;TEXT(FORMULACIÓN!O126,"##.###")))</f>
        <v>T1: 15
T2: 15
T3: 15
Tn: 5</v>
      </c>
      <c r="AO126" s="117">
        <f>IFERROR(IF($H126=Lists!$S$6,IF(AND(FORMULACIÓN!L126&gt;K126,K126&gt;0),1,0),IF((K126/FORMULACIÓN!L126)&lt;&gt;0,K126/FORMULACIÓN!L126,0)),"")</f>
        <v>1.3333333333333333</v>
      </c>
      <c r="AP126" s="117">
        <f>IFERROR(IF($H126=Lists!$S$6,IF(AND(FORMULACIÓN!M126&gt;L126,L126&gt;0),1,0),IF((L126/FORMULACIÓN!M126)&lt;&gt;0,L126/FORMULACIÓN!M126,0)),"")</f>
        <v>0</v>
      </c>
      <c r="AQ126" s="117">
        <f>IFERROR(IF($H126=Lists!$S$6,IF(AND(FORMULACIÓN!N126&gt;M126,M126&gt;0),1,0),IF((M126/FORMULACIÓN!N126)&lt;&gt;0,M126/FORMULACIÓN!N126,0)),"")</f>
        <v>0</v>
      </c>
      <c r="AR126" s="117">
        <f>IFERROR(IF($H126=Lists!$S$6,IF(AND(FORMULACIÓN!O126&gt;N126,N126&gt;0),1,0),IF((N126/FORMULACIÓN!O126)&lt;&gt;0,N126/FORMULACIÓN!O126,0)),"")</f>
        <v>0</v>
      </c>
      <c r="AS126" s="110"/>
      <c r="AT126" s="118" t="str">
        <f ca="1">IF($H126=Lists!$S$6,TEXT(COUNTIF('SEGUIMIENTO Y EVALUACIÓN'!K126:N126,"&lt;"&amp;FORMULACIÓN!Q126),"##.###")&amp;" / "&amp;TEXT(COUNTIF('SEGUIMIENTO Y EVALUACIÓN'!K126:N126,"&gt;"&amp;0),"##.###"),IF($G126=Lists!$R$3,TEXT('SEGUIMIENTO Y EVALUACIÓN'!O126,"00,00%")&amp;" / "&amp;TEXT(FORMULACIÓN!P126,"00,00%"),IF('SEGUIMIENTO Y EVALUACIÓN'!O126=0,0,TEXT('SEGUIMIENTO Y EVALUACIÓN'!O126,"##.###")&amp;" / "&amp;TEXT(FORMULACIÓN!P126,"##.###"))))</f>
        <v>20 / 50</v>
      </c>
      <c r="AU126" s="57">
        <f ca="1">IFERROR(IF((P126/FORMULACIÓN!Q126)&lt;&gt;0,IF($H126=Lists!$S$6,COUNTIF('SEGUIMIENTO Y EVALUACIÓN'!K126:N126,"&lt;"&amp;FORMULACIÓN!Q126),'SEGUIMIENTO Y EVALUACIÓN'!P126)/IF($H126=Lists!$S$6,COUNTIF('SEGUIMIENTO Y EVALUACIÓN'!K126:N126,"&gt;"&amp;0),FORMULACIÓN!P126),0),0)</f>
        <v>0.4</v>
      </c>
      <c r="AV126" s="93">
        <f t="shared" ca="1" si="15"/>
        <v>2.0000000000000004E-2</v>
      </c>
      <c r="AW126" s="93" cm="1">
        <f t="array" ref="AW126">IF(INDEX(AO126:AU126,1,$AV$3)&gt;1,IF($AU$2=1,1,INDEX(AO126:AU126,1,$AV$3)),INDEX(AO126:AU126,1,$AV$3))</f>
        <v>1</v>
      </c>
      <c r="AX126"/>
      <c r="AY126" s="119" t="str">
        <f>IFERROR(IF((W126/FORMULACIÓN!X126)&lt;&gt;0,W126/FORMULACIÓN!X126,0),"")</f>
        <v/>
      </c>
      <c r="AZ126" s="119" t="str">
        <f>IFERROR(IF((AA126/FORMULACIÓN!AB126)&lt;&gt;0,AA126/FORMULACIÓN!AB126,0),"")</f>
        <v/>
      </c>
      <c r="BA126" s="119" t="str">
        <f>IFERROR(IF((AE126/FORMULACIÓN!AF126)&lt;&gt;0,(AE126/FORMULACIÓN!AF126),0),"")</f>
        <v/>
      </c>
      <c r="BB126" s="119" t="str">
        <f>IFERROR(IF((AI126/FORMULACIÓN!AJ126)&lt;&gt;0,AI126/FORMULACIÓN!AJ126,0),"")</f>
        <v/>
      </c>
      <c r="BC126" s="120" t="str">
        <f>IF('SEGUIMIENTO Y EVALUACIÓN'!AI126=0,0,TEXT('SEGUIMIENTO Y EVALUACIÓN'!AI126,"$ ##.###")&amp;" / "&amp;TEXT(FORMULACIÓN!AK126,"$ ##.###"))</f>
        <v xml:space="preserve"> / $ 2.469.100.235</v>
      </c>
      <c r="BD126" s="57">
        <f>IFERROR(IF((AJ126/FORMULACIÓN!AK126)&lt;&gt;0,AJ126/FORMULACIÓN!AK126,0),0)</f>
        <v>0</v>
      </c>
      <c r="CL126" s="7"/>
    </row>
    <row r="127" spans="1:90" s="1" customFormat="1" ht="99.95" customHeight="1">
      <c r="A127" s="45">
        <f>IF(FORMULACIÓN!A127="","",FORMULACIÓN!A127)</f>
        <v>116</v>
      </c>
      <c r="B127" s="45" t="str">
        <f>IF(FORMULACIÓN!B127="","",FORMULACIÓN!B127)</f>
        <v>L3 - Impacto regional, Nacional e Internacional desde la Extensión y proyección social</v>
      </c>
      <c r="C127" s="45" t="str">
        <f>IF(FORMULACIÓN!E127="","",FORMULACIÓN!E127)</f>
        <v xml:space="preserve">M4 - Responsabilidad social universitaria RSU.  </v>
      </c>
      <c r="D127" s="45" t="str">
        <f>IF(FORMULACIÓN!F127="","",FORMULACIÓN!F127)</f>
        <v xml:space="preserve">Caracterizar el impacto de por lo menos 50  programas y/o proyectos Responsabilidad Social Universitaria RSU desarrollados </v>
      </c>
      <c r="E127" s="45" t="str">
        <f>IF(FORMULACIÓN!G127="","",FORMULACIÓN!G127)</f>
        <v xml:space="preserve">Impacto sobre los grupos de interés y territorios beneficiados por los Proyectos de Responsabilidad Social Universitaria RSU </v>
      </c>
      <c r="F127" s="45" t="str">
        <f>IF(FORMULACIÓN!H127="","",FORMULACIÓN!H127)</f>
        <v>N° de Informes de resultado de los proyectos de RSU</v>
      </c>
      <c r="G127" s="45" t="str">
        <f>IF(FORMULACIÓN!I127="","",FORMULACIÓN!I127)</f>
        <v>Unidad</v>
      </c>
      <c r="H127" s="45" t="str">
        <f>IF(FORMULACIÓN!J127="","",FORMULACIÓN!J127)</f>
        <v>Acumulado</v>
      </c>
      <c r="I127" s="188" t="str">
        <f ca="1">IF($G127=Lists!$R$3,"PDI: "&amp;TEXT(FORMULACIÓN!Q127,"00,00%")&amp;CHAR(10)&amp;CHAR(10)&amp;"T1: "&amp;TEXT(FORMULACIÓN!L127,"00,00%")&amp;CHAR(10)&amp;"T2: "&amp;TEXT(FORMULACIÓN!M127,"00,00%")&amp;CHAR(10)&amp;"T3: "&amp;TEXT(FORMULACIÓN!N127,"00,00%")&amp;CHAR(10)&amp;"Tn: "&amp;TEXT(FORMULACIÓN!O127,"00,00%"),IF(FORMULACIÓN!Q127=0,0,"PDI: "&amp;TEXT(FORMULACIÓN!Q127,"##.###")&amp;CHAR(10)&amp;CHAR(10)&amp;"T1: "&amp;TEXT(FORMULACIÓN!L127,"##.###")&amp;CHAR(10)&amp;"T2: "&amp;TEXT(FORMULACIÓN!M127,"##.###")&amp;CHAR(10)&amp;"T3: "&amp;TEXT(FORMULACIÓN!N127,"##.###")&amp;CHAR(10)&amp;"Tn: "&amp;TEXT(FORMULACIÓN!O127,"##.###")))</f>
        <v>PDI: 50
T1: 15
T2: 15
T3: 15
Tn: 5</v>
      </c>
      <c r="J127" s="122">
        <f>IF(FORMULACIÓN!K127&lt;&gt;"",FORMULACIÓN!K127,"")</f>
        <v>0</v>
      </c>
      <c r="K127" s="310">
        <v>17</v>
      </c>
      <c r="L127" s="58"/>
      <c r="M127" s="58"/>
      <c r="N127" s="58"/>
      <c r="O127" s="47">
        <f ca="1">IFERROR(IF($H127=Lists!$S$2,SUM('SEGUIMIENTO Y EVALUACIÓN'!J127:N127),IF('SEGUIMIENTO Y EVALUACIÓN'!$H127=Lists!$S$3,SUM('SEGUIMIENTO Y EVALUACIÓN'!K127:N127),IF('SEGUIMIENTO Y EVALUACIÓN'!$H127=Lists!$S$4,AVERAGE('SEGUIMIENTO Y EVALUACIÓN'!K127:N127),IF('SEGUIMIENTO Y EVALUACIÓN'!$H127=Lists!$S$5,OFFSET(J127,0,COUNTA(K127:N127)),IF($H127=Lists!$S$6,COUNTIF(K127:N127,"&lt;"&amp;FORMULACIÓN!Q127)/COUNT('SEGUIMIENTO Y EVALUACIÓN'!K127:N127),""))))),"")</f>
        <v>17</v>
      </c>
      <c r="P127" s="51" t="str">
        <f ca="1">IF($G127=Lists!$R$3,TEXT('SEGUIMIENTO Y EVALUACIÓN'!O127,"00,00%"),IF('SEGUIMIENTO Y EVALUACIÓN'!O127=0,0,TEXT('SEGUIMIENTO Y EVALUACIÓN'!O127,"##.###")))</f>
        <v>17</v>
      </c>
      <c r="Q127" s="209" t="str">
        <f>IF(FORMULACIÓN!R127&lt;&gt;"",FORMULACIÓN!R127,"")</f>
        <v xml:space="preserve">P2 - Fortalecer la participación en las iniciativas locales y globales de la agenda 2030 para el desarrollo sostenible. </v>
      </c>
      <c r="R127" s="209">
        <f>IF(FORMULACIÓN!S127&lt;&gt;"",FORMULACIÓN!S127,"")</f>
        <v>0.05</v>
      </c>
      <c r="S127" s="209" t="str">
        <f>IF(FORMULACIÓN!T127&lt;&gt;"",FORMULACIÓN!T127,"")</f>
        <v>Vicerrector de Investigación, Extensión y Proyección Social</v>
      </c>
      <c r="T127" s="42"/>
      <c r="U127" s="42"/>
      <c r="V127" s="42"/>
      <c r="W127" s="43" t="str">
        <f t="shared" si="9"/>
        <v/>
      </c>
      <c r="X127" s="42"/>
      <c r="Y127" s="42"/>
      <c r="Z127" s="42"/>
      <c r="AA127" s="43" t="str">
        <f t="shared" si="10"/>
        <v/>
      </c>
      <c r="AB127" s="42"/>
      <c r="AC127" s="42"/>
      <c r="AD127" s="42"/>
      <c r="AE127" s="43" t="str">
        <f t="shared" si="11"/>
        <v/>
      </c>
      <c r="AF127" s="42"/>
      <c r="AG127" s="42"/>
      <c r="AH127" s="42"/>
      <c r="AI127" s="46" t="str">
        <f t="shared" si="12"/>
        <v/>
      </c>
      <c r="AJ127" s="46" t="str">
        <f>IF(SUM(AA127,AE127,W127,AI127)=0,"",SUM((AA127,AE127,W127,AI127)))</f>
        <v/>
      </c>
      <c r="AK127"/>
      <c r="AL127" s="1" t="str">
        <f t="shared" si="16"/>
        <v>L3M4P2</v>
      </c>
      <c r="AM127" s="56" t="str">
        <f t="shared" si="17"/>
        <v xml:space="preserve">Impacto sobre los grupos de interés y territorios beneficiados por los Proyectos de Responsabilidad Social Universitaria RSU </v>
      </c>
      <c r="AN127" s="112" t="str">
        <f ca="1">IF($G127=Lists!$R$3,"T1: "&amp;TEXT(FORMULACIÓN!L127,"00,00%")&amp;CHAR(10)&amp;"T2: "&amp;TEXT(FORMULACIÓN!M127,"00,00%")&amp;CHAR(10)&amp;"T3: "&amp;TEXT(FORMULACIÓN!N127,"00,00%")&amp;CHAR(10)&amp;"Tn: "&amp;TEXT(FORMULACIÓN!O127,"00,00%"),IF(FORMULACIÓN!Q127=0,0,"T1: "&amp;TEXT(FORMULACIÓN!L127,"##.###")&amp;CHAR(10)&amp;"T2: "&amp;TEXT(FORMULACIÓN!M127,"##.###")&amp;CHAR(10)&amp;"T3: "&amp;TEXT(FORMULACIÓN!N127,"##.###")&amp;CHAR(10)&amp;"Tn: "&amp;TEXT(FORMULACIÓN!O127,"##.###")))</f>
        <v>T1: 15
T2: 15
T3: 15
Tn: 5</v>
      </c>
      <c r="AO127" s="117">
        <f>IFERROR(IF($H127=Lists!$S$6,IF(AND(FORMULACIÓN!L127&gt;K127,K127&gt;0),1,0),IF((K127/FORMULACIÓN!L127)&lt;&gt;0,K127/FORMULACIÓN!L127,0)),"")</f>
        <v>1.1333333333333333</v>
      </c>
      <c r="AP127" s="117">
        <f>IFERROR(IF($H127=Lists!$S$6,IF(AND(FORMULACIÓN!M127&gt;L127,L127&gt;0),1,0),IF((L127/FORMULACIÓN!M127)&lt;&gt;0,L127/FORMULACIÓN!M127,0)),"")</f>
        <v>0</v>
      </c>
      <c r="AQ127" s="117">
        <f>IFERROR(IF($H127=Lists!$S$6,IF(AND(FORMULACIÓN!N127&gt;M127,M127&gt;0),1,0),IF((M127/FORMULACIÓN!N127)&lt;&gt;0,M127/FORMULACIÓN!N127,0)),"")</f>
        <v>0</v>
      </c>
      <c r="AR127" s="117">
        <f>IFERROR(IF($H127=Lists!$S$6,IF(AND(FORMULACIÓN!O127&gt;N127,N127&gt;0),1,0),IF((N127/FORMULACIÓN!O127)&lt;&gt;0,N127/FORMULACIÓN!O127,0)),"")</f>
        <v>0</v>
      </c>
      <c r="AS127" s="110"/>
      <c r="AT127" s="118" t="str">
        <f ca="1">IF($H127=Lists!$S$6,TEXT(COUNTIF('SEGUIMIENTO Y EVALUACIÓN'!K127:N127,"&lt;"&amp;FORMULACIÓN!Q127),"##.###")&amp;" / "&amp;TEXT(COUNTIF('SEGUIMIENTO Y EVALUACIÓN'!K127:N127,"&gt;"&amp;0),"##.###"),IF($G127=Lists!$R$3,TEXT('SEGUIMIENTO Y EVALUACIÓN'!O127,"00,00%")&amp;" / "&amp;TEXT(FORMULACIÓN!P127,"00,00%"),IF('SEGUIMIENTO Y EVALUACIÓN'!O127=0,0,TEXT('SEGUIMIENTO Y EVALUACIÓN'!O127,"##.###")&amp;" / "&amp;TEXT(FORMULACIÓN!P127,"##.###"))))</f>
        <v>17 / 50</v>
      </c>
      <c r="AU127" s="57">
        <f ca="1">IFERROR(IF((P127/FORMULACIÓN!Q127)&lt;&gt;0,IF($H127=Lists!$S$6,COUNTIF('SEGUIMIENTO Y EVALUACIÓN'!K127:N127,"&lt;"&amp;FORMULACIÓN!Q127),'SEGUIMIENTO Y EVALUACIÓN'!P127)/IF($H127=Lists!$S$6,COUNTIF('SEGUIMIENTO Y EVALUACIÓN'!K127:N127,"&gt;"&amp;0),FORMULACIÓN!P127),0),0)</f>
        <v>0.34</v>
      </c>
      <c r="AV127" s="93">
        <f t="shared" ca="1" si="15"/>
        <v>1.7000000000000001E-2</v>
      </c>
      <c r="AW127" s="93" cm="1">
        <f t="array" ref="AW127">IF(INDEX(AO127:AU127,1,$AV$3)&gt;1,IF($AU$2=1,1,INDEX(AO127:AU127,1,$AV$3)),INDEX(AO127:AU127,1,$AV$3))</f>
        <v>1</v>
      </c>
      <c r="AX127"/>
      <c r="AY127" s="119" t="str">
        <f>IFERROR(IF((W127/FORMULACIÓN!X127)&lt;&gt;0,W127/FORMULACIÓN!X127,0),"")</f>
        <v/>
      </c>
      <c r="AZ127" s="119" t="str">
        <f>IFERROR(IF((AA127/FORMULACIÓN!AB127)&lt;&gt;0,AA127/FORMULACIÓN!AB127,0),"")</f>
        <v/>
      </c>
      <c r="BA127" s="119" t="str">
        <f>IFERROR(IF((AE127/FORMULACIÓN!AF127)&lt;&gt;0,(AE127/FORMULACIÓN!AF127),0),"")</f>
        <v/>
      </c>
      <c r="BB127" s="119" t="str">
        <f>IFERROR(IF((AI127/FORMULACIÓN!AJ127)&lt;&gt;0,AI127/FORMULACIÓN!AJ127,0),"")</f>
        <v/>
      </c>
      <c r="BC127" s="120" t="str">
        <f>IF('SEGUIMIENTO Y EVALUACIÓN'!AI127=0,0,TEXT('SEGUIMIENTO Y EVALUACIÓN'!AI127,"$ ##.###")&amp;" / "&amp;TEXT(FORMULACIÓN!AK127,"$ ##.###"))</f>
        <v xml:space="preserve"> / $ 2.469.100.235</v>
      </c>
      <c r="BD127" s="57">
        <f>IFERROR(IF((AJ127/FORMULACIÓN!AK127)&lt;&gt;0,AJ127/FORMULACIÓN!AK127,0),0)</f>
        <v>0</v>
      </c>
      <c r="CL127" s="7"/>
    </row>
    <row r="128" spans="1:90" s="1" customFormat="1" ht="99.95" customHeight="1">
      <c r="A128" s="45">
        <f>IF(FORMULACIÓN!A128="","",FORMULACIÓN!A128)</f>
        <v>117</v>
      </c>
      <c r="B128" s="45" t="str">
        <f>IF(FORMULACIÓN!B128="","",FORMULACIÓN!B128)</f>
        <v>L3 - Impacto regional, Nacional e Internacional desde la Extensión y proyección social</v>
      </c>
      <c r="C128" s="45" t="str">
        <f>IF(FORMULACIÓN!E128="","",FORMULACIÓN!E128)</f>
        <v xml:space="preserve">M4 - Responsabilidad social universitaria RSU.  </v>
      </c>
      <c r="D128" s="45" t="str">
        <f>IF(FORMULACIÓN!F128="","",FORMULACIÓN!F128)</f>
        <v>Promover la comercialización de mínimo 2 proyectos que generen Spin-Off</v>
      </c>
      <c r="E128" s="45" t="str">
        <f>IF(FORMULACIÓN!G128="","",FORMULACIÓN!G128)</f>
        <v xml:space="preserve">Proyectos que generen Spin-Off </v>
      </c>
      <c r="F128" s="45" t="str">
        <f>IF(FORMULACIÓN!H128="","",FORMULACIÓN!H128)</f>
        <v>N° de proyectos Spin-Off comercializados</v>
      </c>
      <c r="G128" s="45" t="str">
        <f>IF(FORMULACIÓN!I128="","",FORMULACIÓN!I128)</f>
        <v>Unidad</v>
      </c>
      <c r="H128" s="45" t="str">
        <f>IF(FORMULACIÓN!J128="","",FORMULACIÓN!J128)</f>
        <v>Acumulado</v>
      </c>
      <c r="I128" s="188" t="str">
        <f ca="1">IF($G128=Lists!$R$3,"PDI: "&amp;TEXT(FORMULACIÓN!Q128,"00,00%")&amp;CHAR(10)&amp;CHAR(10)&amp;"T1: "&amp;TEXT(FORMULACIÓN!L128,"00,00%")&amp;CHAR(10)&amp;"T2: "&amp;TEXT(FORMULACIÓN!M128,"00,00%")&amp;CHAR(10)&amp;"T3: "&amp;TEXT(FORMULACIÓN!N128,"00,00%")&amp;CHAR(10)&amp;"Tn: "&amp;TEXT(FORMULACIÓN!O128,"00,00%"),IF(FORMULACIÓN!Q128=0,0,"PDI: "&amp;TEXT(FORMULACIÓN!Q128,"##.###")&amp;CHAR(10)&amp;CHAR(10)&amp;"T1: "&amp;TEXT(FORMULACIÓN!L128,"##.###")&amp;CHAR(10)&amp;"T2: "&amp;TEXT(FORMULACIÓN!M128,"##.###")&amp;CHAR(10)&amp;"T3: "&amp;TEXT(FORMULACIÓN!N128,"##.###")&amp;CHAR(10)&amp;"Tn: "&amp;TEXT(FORMULACIÓN!O128,"##.###")))</f>
        <v xml:space="preserve">PDI: 2
T1: 1
T2: 
T3: 1
Tn: </v>
      </c>
      <c r="J128" s="122">
        <f>IF(FORMULACIÓN!K128&lt;&gt;"",FORMULACIÓN!K128,"")</f>
        <v>0</v>
      </c>
      <c r="K128" s="310">
        <v>0</v>
      </c>
      <c r="L128" s="58"/>
      <c r="M128" s="58"/>
      <c r="N128" s="58"/>
      <c r="O128" s="47">
        <f ca="1">IFERROR(IF($H128=Lists!$S$2,SUM('SEGUIMIENTO Y EVALUACIÓN'!J128:N128),IF('SEGUIMIENTO Y EVALUACIÓN'!$H128=Lists!$S$3,SUM('SEGUIMIENTO Y EVALUACIÓN'!K128:N128),IF('SEGUIMIENTO Y EVALUACIÓN'!$H128=Lists!$S$4,AVERAGE('SEGUIMIENTO Y EVALUACIÓN'!K128:N128),IF('SEGUIMIENTO Y EVALUACIÓN'!$H128=Lists!$S$5,OFFSET(J128,0,COUNTA(K128:N128)),IF($H128=Lists!$S$6,COUNTIF(K128:N128,"&lt;"&amp;FORMULACIÓN!Q128)/COUNT('SEGUIMIENTO Y EVALUACIÓN'!K128:N128),""))))),"")</f>
        <v>0</v>
      </c>
      <c r="P128" s="51">
        <f ca="1">IF($G128=Lists!$R$3,TEXT('SEGUIMIENTO Y EVALUACIÓN'!O128,"00,00%"),IF('SEGUIMIENTO Y EVALUACIÓN'!O128=0,0,TEXT('SEGUIMIENTO Y EVALUACIÓN'!O128,"##.###")))</f>
        <v>0</v>
      </c>
      <c r="Q128" s="209" t="str">
        <f>IF(FORMULACIÓN!R128&lt;&gt;"",FORMULACIÓN!R128,"")</f>
        <v xml:space="preserve">P2 - Fortalecer la participación en las iniciativas locales y globales de la agenda 2030 para el desarrollo sostenible. </v>
      </c>
      <c r="R128" s="209">
        <f>IF(FORMULACIÓN!S128&lt;&gt;"",FORMULACIÓN!S128,"")</f>
        <v>0.05</v>
      </c>
      <c r="S128" s="209" t="str">
        <f>IF(FORMULACIÓN!T128&lt;&gt;"",FORMULACIÓN!T128,"")</f>
        <v>Vicerrector de Investigación, Extensión y Proyección Social</v>
      </c>
      <c r="T128" s="42"/>
      <c r="U128" s="42"/>
      <c r="V128" s="42"/>
      <c r="W128" s="43" t="str">
        <f t="shared" si="9"/>
        <v/>
      </c>
      <c r="X128" s="42"/>
      <c r="Y128" s="42"/>
      <c r="Z128" s="42"/>
      <c r="AA128" s="43" t="str">
        <f t="shared" si="10"/>
        <v/>
      </c>
      <c r="AB128" s="42"/>
      <c r="AC128" s="42"/>
      <c r="AD128" s="42"/>
      <c r="AE128" s="43" t="str">
        <f t="shared" si="11"/>
        <v/>
      </c>
      <c r="AF128" s="42"/>
      <c r="AG128" s="42"/>
      <c r="AH128" s="42"/>
      <c r="AI128" s="46" t="str">
        <f t="shared" si="12"/>
        <v/>
      </c>
      <c r="AJ128" s="46" t="str">
        <f>IF(SUM(AA128,AE128,W128,AI128)=0,"",SUM((AA128,AE128,W128,AI128)))</f>
        <v/>
      </c>
      <c r="AK128"/>
      <c r="AL128" s="1" t="str">
        <f t="shared" si="16"/>
        <v>L3M4P2</v>
      </c>
      <c r="AM128" s="56" t="str">
        <f t="shared" si="17"/>
        <v xml:space="preserve">Proyectos que generen Spin-Off </v>
      </c>
      <c r="AN128" s="112" t="str">
        <f ca="1">IF($G128=Lists!$R$3,"T1: "&amp;TEXT(FORMULACIÓN!L128,"00,00%")&amp;CHAR(10)&amp;"T2: "&amp;TEXT(FORMULACIÓN!M128,"00,00%")&amp;CHAR(10)&amp;"T3: "&amp;TEXT(FORMULACIÓN!N128,"00,00%")&amp;CHAR(10)&amp;"Tn: "&amp;TEXT(FORMULACIÓN!O128,"00,00%"),IF(FORMULACIÓN!Q128=0,0,"T1: "&amp;TEXT(FORMULACIÓN!L128,"##.###")&amp;CHAR(10)&amp;"T2: "&amp;TEXT(FORMULACIÓN!M128,"##.###")&amp;CHAR(10)&amp;"T3: "&amp;TEXT(FORMULACIÓN!N128,"##.###")&amp;CHAR(10)&amp;"Tn: "&amp;TEXT(FORMULACIÓN!O128,"##.###")))</f>
        <v xml:space="preserve">T1: 1
T2: 
T3: 1
Tn: </v>
      </c>
      <c r="AO128" s="117">
        <f>IFERROR(IF($H128=Lists!$S$6,IF(AND(FORMULACIÓN!L128&gt;K128,K128&gt;0),1,0),IF((K128/FORMULACIÓN!L128)&lt;&gt;0,K128/FORMULACIÓN!L128,0)),"")</f>
        <v>0</v>
      </c>
      <c r="AP128" s="117" t="str">
        <f>IFERROR(IF($H128=Lists!$S$6,IF(AND(FORMULACIÓN!M128&gt;L128,L128&gt;0),1,0),IF((L128/FORMULACIÓN!M128)&lt;&gt;0,L128/FORMULACIÓN!M128,0)),"")</f>
        <v/>
      </c>
      <c r="AQ128" s="117">
        <f>IFERROR(IF($H128=Lists!$S$6,IF(AND(FORMULACIÓN!N128&gt;M128,M128&gt;0),1,0),IF((M128/FORMULACIÓN!N128)&lt;&gt;0,M128/FORMULACIÓN!N128,0)),"")</f>
        <v>0</v>
      </c>
      <c r="AR128" s="117" t="str">
        <f>IFERROR(IF($H128=Lists!$S$6,IF(AND(FORMULACIÓN!O128&gt;N128,N128&gt;0),1,0),IF((N128/FORMULACIÓN!O128)&lt;&gt;0,N128/FORMULACIÓN!O128,0)),"")</f>
        <v/>
      </c>
      <c r="AS128" s="110"/>
      <c r="AT128" s="118">
        <f ca="1">IF($H128=Lists!$S$6,TEXT(COUNTIF('SEGUIMIENTO Y EVALUACIÓN'!K128:N128,"&lt;"&amp;FORMULACIÓN!Q128),"##.###")&amp;" / "&amp;TEXT(COUNTIF('SEGUIMIENTO Y EVALUACIÓN'!K128:N128,"&gt;"&amp;0),"##.###"),IF($G128=Lists!$R$3,TEXT('SEGUIMIENTO Y EVALUACIÓN'!O128,"00,00%")&amp;" / "&amp;TEXT(FORMULACIÓN!P128,"00,00%"),IF('SEGUIMIENTO Y EVALUACIÓN'!O128=0,0,TEXT('SEGUIMIENTO Y EVALUACIÓN'!O128,"##.###")&amp;" / "&amp;TEXT(FORMULACIÓN!P128,"##.###"))))</f>
        <v>0</v>
      </c>
      <c r="AU128" s="57">
        <f ca="1">IFERROR(IF((P128/FORMULACIÓN!Q128)&lt;&gt;0,IF($H128=Lists!$S$6,COUNTIF('SEGUIMIENTO Y EVALUACIÓN'!K128:N128,"&lt;"&amp;FORMULACIÓN!Q128),'SEGUIMIENTO Y EVALUACIÓN'!P128)/IF($H128=Lists!$S$6,COUNTIF('SEGUIMIENTO Y EVALUACIÓN'!K128:N128,"&gt;"&amp;0),FORMULACIÓN!P128),0),0)</f>
        <v>0</v>
      </c>
      <c r="AV128" s="93">
        <f t="shared" ca="1" si="15"/>
        <v>0</v>
      </c>
      <c r="AW128" s="93" cm="1">
        <f t="array" ref="AW128">IF(INDEX(AO128:AU128,1,$AV$3)&gt;1,IF($AU$2=1,1,INDEX(AO128:AU128,1,$AV$3)),INDEX(AO128:AU128,1,$AV$3))</f>
        <v>0</v>
      </c>
      <c r="AX128"/>
      <c r="AY128" s="119" t="str">
        <f>IFERROR(IF((W128/FORMULACIÓN!X128)&lt;&gt;0,W128/FORMULACIÓN!X128,0),"")</f>
        <v/>
      </c>
      <c r="AZ128" s="119" t="str">
        <f>IFERROR(IF((AA128/FORMULACIÓN!AB128)&lt;&gt;0,AA128/FORMULACIÓN!AB128,0),"")</f>
        <v/>
      </c>
      <c r="BA128" s="119" t="str">
        <f>IFERROR(IF((AE128/FORMULACIÓN!AF128)&lt;&gt;0,(AE128/FORMULACIÓN!AF128),0),"")</f>
        <v/>
      </c>
      <c r="BB128" s="119" t="str">
        <f>IFERROR(IF((AI128/FORMULACIÓN!AJ128)&lt;&gt;0,AI128/FORMULACIÓN!AJ128,0),"")</f>
        <v/>
      </c>
      <c r="BC128" s="120" t="str">
        <f>IF('SEGUIMIENTO Y EVALUACIÓN'!AI128=0,0,TEXT('SEGUIMIENTO Y EVALUACIÓN'!AI128,"$ ##.###")&amp;" / "&amp;TEXT(FORMULACIÓN!AK128,"$ ##.###"))</f>
        <v xml:space="preserve"> / $ 2.469.100.235</v>
      </c>
      <c r="BD128" s="57">
        <f>IFERROR(IF((AJ128/FORMULACIÓN!AK128)&lt;&gt;0,AJ128/FORMULACIÓN!AK128,0),0)</f>
        <v>0</v>
      </c>
      <c r="CL128" s="7"/>
    </row>
    <row r="129" spans="1:90" s="1" customFormat="1" ht="99.95" customHeight="1">
      <c r="A129" s="45">
        <f>IF(FORMULACIÓN!A129="","",FORMULACIÓN!A129)</f>
        <v>118</v>
      </c>
      <c r="B129" s="45" t="str">
        <f>IF(FORMULACIÓN!B129="","",FORMULACIÓN!B129)</f>
        <v>L4 - Bienestar Universitario, Salud mental positiva, Inclusión y Democracia.</v>
      </c>
      <c r="C129" s="45" t="str">
        <f>IF(FORMULACIÓN!E129="","",FORMULACIÓN!E129)</f>
        <v>M1 - Fortalecimiento para la permanencia y graduación oportuna</v>
      </c>
      <c r="D129" s="45" t="str">
        <f>IF(FORMULACIÓN!F129="","",FORMULACIÓN!F129)</f>
        <v>Establecer un sistema de evaluación para controlar el impacto de las estrategias de permanencia y graduación que permita fortalecer el proceso formativo.</v>
      </c>
      <c r="E129" s="45" t="str">
        <f>IF(FORMULACIÓN!G129="","",FORMULACIÓN!G129)</f>
        <v xml:space="preserve">Sistema de evaluación del impacto de las estrategias de permanencia y graduación estudiantil </v>
      </c>
      <c r="F129" s="45" t="str">
        <f>IF(FORMULACIÓN!H129="","",FORMULACIÓN!H129)</f>
        <v>Documento de evaluación periódica en relación al impacto de las estrategias de permanencia y graduación estudiantil por trienio</v>
      </c>
      <c r="G129" s="45" t="str">
        <f>IF(FORMULACIÓN!I129="","",FORMULACIÓN!I129)</f>
        <v>Unidad</v>
      </c>
      <c r="H129" s="45" t="str">
        <f>IF(FORMULACIÓN!J129="","",FORMULACIÓN!J129)</f>
        <v>Acumulado</v>
      </c>
      <c r="I129" s="188" t="str">
        <f ca="1">IF($G129=Lists!$R$3,"PDI: "&amp;TEXT(FORMULACIÓN!Q129,"00,00%")&amp;CHAR(10)&amp;CHAR(10)&amp;"T1: "&amp;TEXT(FORMULACIÓN!L129,"00,00%")&amp;CHAR(10)&amp;"T2: "&amp;TEXT(FORMULACIÓN!M129,"00,00%")&amp;CHAR(10)&amp;"T3: "&amp;TEXT(FORMULACIÓN!N129,"00,00%")&amp;CHAR(10)&amp;"Tn: "&amp;TEXT(FORMULACIÓN!O129,"00,00%"),IF(FORMULACIÓN!Q129=0,0,"PDI: "&amp;TEXT(FORMULACIÓN!Q129,"##.###")&amp;CHAR(10)&amp;CHAR(10)&amp;"T1: "&amp;TEXT(FORMULACIÓN!L129,"##.###")&amp;CHAR(10)&amp;"T2: "&amp;TEXT(FORMULACIÓN!M129,"##.###")&amp;CHAR(10)&amp;"T3: "&amp;TEXT(FORMULACIÓN!N129,"##.###")&amp;CHAR(10)&amp;"Tn: "&amp;TEXT(FORMULACIÓN!O129,"##.###")))</f>
        <v xml:space="preserve">PDI: 3
T1: 1
T2: 1
T3: 1
Tn: </v>
      </c>
      <c r="J129" s="122">
        <f>IF(FORMULACIÓN!K129&lt;&gt;"",FORMULACIÓN!K129,"")</f>
        <v>0</v>
      </c>
      <c r="K129" s="310">
        <v>1</v>
      </c>
      <c r="L129" s="58"/>
      <c r="M129" s="58"/>
      <c r="N129" s="58"/>
      <c r="O129" s="47">
        <f ca="1">IFERROR(IF($H129=Lists!$S$2,SUM('SEGUIMIENTO Y EVALUACIÓN'!J129:N129),IF('SEGUIMIENTO Y EVALUACIÓN'!$H129=Lists!$S$3,SUM('SEGUIMIENTO Y EVALUACIÓN'!K129:N129),IF('SEGUIMIENTO Y EVALUACIÓN'!$H129=Lists!$S$4,AVERAGE('SEGUIMIENTO Y EVALUACIÓN'!K129:N129),IF('SEGUIMIENTO Y EVALUACIÓN'!$H129=Lists!$S$5,OFFSET(J129,0,COUNTA(K129:N129)),IF($H129=Lists!$S$6,COUNTIF(K129:N129,"&lt;"&amp;FORMULACIÓN!Q129)/COUNT('SEGUIMIENTO Y EVALUACIÓN'!K129:N129),""))))),"")</f>
        <v>1</v>
      </c>
      <c r="P129" s="51" t="str">
        <f ca="1">IF($G129=Lists!$R$3,TEXT('SEGUIMIENTO Y EVALUACIÓN'!O129,"00,00%"),IF('SEGUIMIENTO Y EVALUACIÓN'!O129=0,0,TEXT('SEGUIMIENTO Y EVALUACIÓN'!O129,"##.###")))</f>
        <v>1</v>
      </c>
      <c r="Q129" s="209" t="str">
        <f>IF(FORMULACIÓN!R129&lt;&gt;"",FORMULACIÓN!R129,"")</f>
        <v>P1 - Promoción al acceso, permanencia y graduación estudiantil</v>
      </c>
      <c r="R129" s="209">
        <f>IF(FORMULACIÓN!S129&lt;&gt;"",FORMULACIÓN!S129,"")</f>
        <v>0.1</v>
      </c>
      <c r="S129" s="209" t="str">
        <f>IF(FORMULACIÓN!T129&lt;&gt;"",FORMULACIÓN!T129,"")</f>
        <v>Vicerrector de Bienestar Universitario</v>
      </c>
      <c r="T129" s="42"/>
      <c r="U129" s="42"/>
      <c r="V129" s="42"/>
      <c r="W129" s="43" t="str">
        <f t="shared" si="9"/>
        <v/>
      </c>
      <c r="X129" s="42"/>
      <c r="Y129" s="42"/>
      <c r="Z129" s="42"/>
      <c r="AA129" s="43" t="str">
        <f t="shared" si="10"/>
        <v/>
      </c>
      <c r="AB129" s="42"/>
      <c r="AC129" s="42"/>
      <c r="AD129" s="42"/>
      <c r="AE129" s="43" t="str">
        <f t="shared" si="11"/>
        <v/>
      </c>
      <c r="AF129" s="42"/>
      <c r="AG129" s="42"/>
      <c r="AH129" s="42"/>
      <c r="AI129" s="46" t="str">
        <f t="shared" si="12"/>
        <v/>
      </c>
      <c r="AJ129" s="46" t="str">
        <f>IF(SUM(AA129,AE129,W129,AI129)=0,"",SUM((AA129,AE129,W129,AI129)))</f>
        <v/>
      </c>
      <c r="AK129"/>
      <c r="AL129" s="1" t="str">
        <f t="shared" si="16"/>
        <v>L4M1P1</v>
      </c>
      <c r="AM129" s="56" t="str">
        <f t="shared" si="17"/>
        <v xml:space="preserve">Sistema de evaluación del impacto de las estrategias de permanencia y graduación estudiantil </v>
      </c>
      <c r="AN129" s="112" t="str">
        <f ca="1">IF($G129=Lists!$R$3,"T1: "&amp;TEXT(FORMULACIÓN!L129,"00,00%")&amp;CHAR(10)&amp;"T2: "&amp;TEXT(FORMULACIÓN!M129,"00,00%")&amp;CHAR(10)&amp;"T3: "&amp;TEXT(FORMULACIÓN!N129,"00,00%")&amp;CHAR(10)&amp;"Tn: "&amp;TEXT(FORMULACIÓN!O129,"00,00%"),IF(FORMULACIÓN!Q129=0,0,"T1: "&amp;TEXT(FORMULACIÓN!L129,"##.###")&amp;CHAR(10)&amp;"T2: "&amp;TEXT(FORMULACIÓN!M129,"##.###")&amp;CHAR(10)&amp;"T3: "&amp;TEXT(FORMULACIÓN!N129,"##.###")&amp;CHAR(10)&amp;"Tn: "&amp;TEXT(FORMULACIÓN!O129,"##.###")))</f>
        <v xml:space="preserve">T1: 1
T2: 1
T3: 1
Tn: </v>
      </c>
      <c r="AO129" s="117">
        <f>IFERROR(IF($H129=Lists!$S$6,IF(AND(FORMULACIÓN!L129&gt;K129,K129&gt;0),1,0),IF((K129/FORMULACIÓN!L129)&lt;&gt;0,K129/FORMULACIÓN!L129,0)),"")</f>
        <v>1</v>
      </c>
      <c r="AP129" s="117">
        <f>IFERROR(IF($H129=Lists!$S$6,IF(AND(FORMULACIÓN!M129&gt;L129,L129&gt;0),1,0),IF((L129/FORMULACIÓN!M129)&lt;&gt;0,L129/FORMULACIÓN!M129,0)),"")</f>
        <v>0</v>
      </c>
      <c r="AQ129" s="117">
        <f>IFERROR(IF($H129=Lists!$S$6,IF(AND(FORMULACIÓN!N129&gt;M129,M129&gt;0),1,0),IF((M129/FORMULACIÓN!N129)&lt;&gt;0,M129/FORMULACIÓN!N129,0)),"")</f>
        <v>0</v>
      </c>
      <c r="AR129" s="117" t="str">
        <f>IFERROR(IF($H129=Lists!$S$6,IF(AND(FORMULACIÓN!O129&gt;N129,N129&gt;0),1,0),IF((N129/FORMULACIÓN!O129)&lt;&gt;0,N129/FORMULACIÓN!O129,0)),"")</f>
        <v/>
      </c>
      <c r="AS129" s="110"/>
      <c r="AT129" s="118" t="str">
        <f ca="1">IF($H129=Lists!$S$6,TEXT(COUNTIF('SEGUIMIENTO Y EVALUACIÓN'!K129:N129,"&lt;"&amp;FORMULACIÓN!Q129),"##.###")&amp;" / "&amp;TEXT(COUNTIF('SEGUIMIENTO Y EVALUACIÓN'!K129:N129,"&gt;"&amp;0),"##.###"),IF($G129=Lists!$R$3,TEXT('SEGUIMIENTO Y EVALUACIÓN'!O129,"00,00%")&amp;" / "&amp;TEXT(FORMULACIÓN!P129,"00,00%"),IF('SEGUIMIENTO Y EVALUACIÓN'!O129=0,0,TEXT('SEGUIMIENTO Y EVALUACIÓN'!O129,"##.###")&amp;" / "&amp;TEXT(FORMULACIÓN!P129,"##.###"))))</f>
        <v>1 / 3</v>
      </c>
      <c r="AU129" s="57">
        <f ca="1">IFERROR(IF((P129/FORMULACIÓN!Q129)&lt;&gt;0,IF($H129=Lists!$S$6,COUNTIF('SEGUIMIENTO Y EVALUACIÓN'!K129:N129,"&lt;"&amp;FORMULACIÓN!Q129),'SEGUIMIENTO Y EVALUACIÓN'!P129)/IF($H129=Lists!$S$6,COUNTIF('SEGUIMIENTO Y EVALUACIÓN'!K129:N129,"&gt;"&amp;0),FORMULACIÓN!P129),0),0)</f>
        <v>0.33333333333333331</v>
      </c>
      <c r="AV129" s="93">
        <f t="shared" ca="1" si="15"/>
        <v>3.3333333333333333E-2</v>
      </c>
      <c r="AW129" s="93" cm="1">
        <f t="array" ref="AW129">IF(INDEX(AO129:AU129,1,$AV$3)&gt;1,IF($AU$2=1,1,INDEX(AO129:AU129,1,$AV$3)),INDEX(AO129:AU129,1,$AV$3))</f>
        <v>1</v>
      </c>
      <c r="AX129"/>
      <c r="AY129" s="119" t="str">
        <f>IFERROR(IF((W129/FORMULACIÓN!X129)&lt;&gt;0,W129/FORMULACIÓN!X129,0),"")</f>
        <v/>
      </c>
      <c r="AZ129" s="119" t="str">
        <f>IFERROR(IF((AA129/FORMULACIÓN!AB129)&lt;&gt;0,AA129/FORMULACIÓN!AB129,0),"")</f>
        <v/>
      </c>
      <c r="BA129" s="119" t="str">
        <f>IFERROR(IF((AE129/FORMULACIÓN!AF129)&lt;&gt;0,(AE129/FORMULACIÓN!AF129),0),"")</f>
        <v/>
      </c>
      <c r="BB129" s="119" t="str">
        <f>IFERROR(IF((AI129/FORMULACIÓN!AJ129)&lt;&gt;0,AI129/FORMULACIÓN!AJ129,0),"")</f>
        <v/>
      </c>
      <c r="BC129" s="120" t="str">
        <f>IF('SEGUIMIENTO Y EVALUACIÓN'!AI129=0,0,TEXT('SEGUIMIENTO Y EVALUACIÓN'!AI129,"$ ##.###")&amp;" / "&amp;TEXT(FORMULACIÓN!AK129,"$ ##.###"))</f>
        <v xml:space="preserve"> / $ 2.240.378.114</v>
      </c>
      <c r="BD129" s="57">
        <f>IFERROR(IF((AJ129/FORMULACIÓN!AK129)&lt;&gt;0,AJ129/FORMULACIÓN!AK129,0),0)</f>
        <v>0</v>
      </c>
      <c r="CL129" s="7"/>
    </row>
    <row r="130" spans="1:90" s="1" customFormat="1" ht="99.95" customHeight="1">
      <c r="A130" s="45">
        <f>IF(FORMULACIÓN!A130="","",FORMULACIÓN!A130)</f>
        <v>119</v>
      </c>
      <c r="B130" s="45" t="str">
        <f>IF(FORMULACIÓN!B130="","",FORMULACIÓN!B130)</f>
        <v>L4 - Bienestar Universitario, Salud mental positiva, Inclusión y Democracia.</v>
      </c>
      <c r="C130" s="45" t="str">
        <f>IF(FORMULACIÓN!E130="","",FORMULACIÓN!E130)</f>
        <v>M1 - Fortalecimiento para la permanencia y graduación oportuna</v>
      </c>
      <c r="D130" s="45" t="str">
        <f>IF(FORMULACIÓN!F130="","",FORMULACIÓN!F130)</f>
        <v>Aumentar el índice de permanencia y oportuna graduación estudiantil basado en el acompañamiento institucional, psicosocial, académico y socioeconómico en cada etapa del  proyecto de vida universitario del estudiante.</v>
      </c>
      <c r="E130" s="45" t="str">
        <f>IF(FORMULACIÓN!G130="","",FORMULACIÓN!G130)</f>
        <v>Tasa de deserción anual</v>
      </c>
      <c r="F130" s="45" t="str">
        <f>IF(FORMULACIÓN!H130="","",FORMULACIÓN!H130)</f>
        <v>(Desertores en Período (t) / Matriculados en Período (t-2)) x 100%</v>
      </c>
      <c r="G130" s="45" t="str">
        <f>IF(FORMULACIÓN!I130="","",FORMULACIÓN!I130)</f>
        <v>Porcentaje</v>
      </c>
      <c r="H130" s="45" t="str">
        <f>IF(FORMULACIÓN!J130="","",FORMULACIÓN!J130)</f>
        <v>Último valor reportado</v>
      </c>
      <c r="I130" s="188" t="str">
        <f ca="1">IF($G130=Lists!$R$3,"PDI: "&amp;TEXT(FORMULACIÓN!Q130,"00,00%")&amp;CHAR(10)&amp;CHAR(10)&amp;"T1: "&amp;TEXT(FORMULACIÓN!L130,"00,00%")&amp;CHAR(10)&amp;"T2: "&amp;TEXT(FORMULACIÓN!M130,"00,00%")&amp;CHAR(10)&amp;"T3: "&amp;TEXT(FORMULACIÓN!N130,"00,00%")&amp;CHAR(10)&amp;"Tn: "&amp;TEXT(FORMULACIÓN!O130,"00,00%"),IF(FORMULACIÓN!Q130=0,0,"PDI: "&amp;TEXT(FORMULACIÓN!Q130,"##.###")&amp;CHAR(10)&amp;CHAR(10)&amp;"T1: "&amp;TEXT(FORMULACIÓN!L130,"##.###")&amp;CHAR(10)&amp;"T2: "&amp;TEXT(FORMULACIÓN!M130,"##.###")&amp;CHAR(10)&amp;"T3: "&amp;TEXT(FORMULACIÓN!N130,"##.###")&amp;CHAR(10)&amp;"Tn: "&amp;TEXT(FORMULACIÓN!O130,"##.###")))</f>
        <v>PDI: 07,00%
T1: 09,50%
T2: 08,50%
T3: 07,50%
Tn: 07,00%</v>
      </c>
      <c r="J130" s="209">
        <f>IF(FORMULACIÓN!K130&lt;&gt;"",FORMULACIÓN!K130,"")</f>
        <v>0.105</v>
      </c>
      <c r="K130" s="309">
        <v>0.09</v>
      </c>
      <c r="L130" s="58"/>
      <c r="M130" s="58"/>
      <c r="N130" s="58"/>
      <c r="O130" s="47">
        <f ca="1">IFERROR(IF($H130=Lists!$S$2,SUM('SEGUIMIENTO Y EVALUACIÓN'!J130:N130),IF('SEGUIMIENTO Y EVALUACIÓN'!$H130=Lists!$S$3,SUM('SEGUIMIENTO Y EVALUACIÓN'!K130:N130),IF('SEGUIMIENTO Y EVALUACIÓN'!$H130=Lists!$S$4,AVERAGE('SEGUIMIENTO Y EVALUACIÓN'!K130:N130),IF('SEGUIMIENTO Y EVALUACIÓN'!$H130=Lists!$S$5,OFFSET(J130,0,COUNTA(K130:N130)),IF($H130=Lists!$S$6,COUNTIF(K130:N130,"&lt;"&amp;FORMULACIÓN!Q130)/COUNT('SEGUIMIENTO Y EVALUACIÓN'!K130:N130),""))))),"")</f>
        <v>0.09</v>
      </c>
      <c r="P130" s="51" t="str">
        <f ca="1">IF($G130=Lists!$R$3,TEXT('SEGUIMIENTO Y EVALUACIÓN'!O130,"00,00%"),IF('SEGUIMIENTO Y EVALUACIÓN'!O130=0,0,TEXT('SEGUIMIENTO Y EVALUACIÓN'!O130,"##.###")))</f>
        <v>09,00%</v>
      </c>
      <c r="Q130" s="209" t="str">
        <f>IF(FORMULACIÓN!R130&lt;&gt;"",FORMULACIÓN!R130,"")</f>
        <v>P1 - Promoción al acceso, permanencia y graduación estudiantil</v>
      </c>
      <c r="R130" s="209">
        <f>IF(FORMULACIÓN!S130&lt;&gt;"",FORMULACIÓN!S130,"")</f>
        <v>0.1</v>
      </c>
      <c r="S130" s="209" t="str">
        <f>IF(FORMULACIÓN!T130&lt;&gt;"",FORMULACIÓN!T130,"")</f>
        <v>Vicerrector de Bienestar Universitario</v>
      </c>
      <c r="T130" s="42"/>
      <c r="U130" s="42"/>
      <c r="V130" s="42"/>
      <c r="W130" s="43" t="str">
        <f t="shared" si="9"/>
        <v/>
      </c>
      <c r="X130" s="42"/>
      <c r="Y130" s="42"/>
      <c r="Z130" s="42"/>
      <c r="AA130" s="43" t="str">
        <f t="shared" si="10"/>
        <v/>
      </c>
      <c r="AB130" s="42"/>
      <c r="AC130" s="42"/>
      <c r="AD130" s="42"/>
      <c r="AE130" s="43" t="str">
        <f t="shared" si="11"/>
        <v/>
      </c>
      <c r="AF130" s="42"/>
      <c r="AG130" s="42"/>
      <c r="AH130" s="42"/>
      <c r="AI130" s="46" t="str">
        <f t="shared" si="12"/>
        <v/>
      </c>
      <c r="AJ130" s="46" t="str">
        <f>IF(SUM(AA130,AE130,W130,AI130)=0,"",SUM((AA130,AE130,W130,AI130)))</f>
        <v/>
      </c>
      <c r="AK130"/>
      <c r="AL130" s="1" t="str">
        <f t="shared" si="16"/>
        <v>L4M1P1</v>
      </c>
      <c r="AM130" s="56" t="str">
        <f t="shared" si="17"/>
        <v>Tasa de deserción anual</v>
      </c>
      <c r="AN130" s="112" t="str">
        <f>IF($G130=Lists!$R$3,"T1: "&amp;TEXT(FORMULACIÓN!L130,"00,00%")&amp;CHAR(10)&amp;"T2: "&amp;TEXT(FORMULACIÓN!M130,"00,00%")&amp;CHAR(10)&amp;"T3: "&amp;TEXT(FORMULACIÓN!N130,"00,00%")&amp;CHAR(10)&amp;"Tn: "&amp;TEXT(FORMULACIÓN!O130,"00,00%"),IF(FORMULACIÓN!Q130=0,0,"T1: "&amp;TEXT(FORMULACIÓN!L130,"##.###")&amp;CHAR(10)&amp;"T2: "&amp;TEXT(FORMULACIÓN!M130,"##.###")&amp;CHAR(10)&amp;"T3: "&amp;TEXT(FORMULACIÓN!N130,"##.###")&amp;CHAR(10)&amp;"Tn: "&amp;TEXT(FORMULACIÓN!O130,"##.###")))</f>
        <v>T1: 09,50%
T2: 08,50%
T3: 07,50%
Tn: 07,00%</v>
      </c>
      <c r="AO130" s="117">
        <f>IFERROR(IF($H130=Lists!$S$6,IF(AND(FORMULACIÓN!L130&gt;K130,K130&gt;0),1,0),IF((K130/FORMULACIÓN!L130)&lt;&gt;0,K130/FORMULACIÓN!L130,0)),"")</f>
        <v>0.94736842105263153</v>
      </c>
      <c r="AP130" s="117">
        <f>IFERROR(IF($H130=Lists!$S$6,IF(AND(FORMULACIÓN!M130&gt;L130,L130&gt;0),1,0),IF((L130/FORMULACIÓN!M130)&lt;&gt;0,L130/FORMULACIÓN!M130,0)),"")</f>
        <v>0</v>
      </c>
      <c r="AQ130" s="117">
        <f>IFERROR(IF($H130=Lists!$S$6,IF(AND(FORMULACIÓN!N130&gt;M130,M130&gt;0),1,0),IF((M130/FORMULACIÓN!N130)&lt;&gt;0,M130/FORMULACIÓN!N130,0)),"")</f>
        <v>0</v>
      </c>
      <c r="AR130" s="117">
        <f>IFERROR(IF($H130=Lists!$S$6,IF(AND(FORMULACIÓN!O130&gt;N130,N130&gt;0),1,0),IF((N130/FORMULACIÓN!O130)&lt;&gt;0,N130/FORMULACIÓN!O130,0)),"")</f>
        <v>0</v>
      </c>
      <c r="AS130" s="110"/>
      <c r="AT130" s="118" t="str">
        <f ca="1">IF($H130=Lists!$S$6,TEXT(COUNTIF('SEGUIMIENTO Y EVALUACIÓN'!K130:N130,"&lt;"&amp;FORMULACIÓN!Q130),"##.###")&amp;" / "&amp;TEXT(COUNTIF('SEGUIMIENTO Y EVALUACIÓN'!K130:N130,"&gt;"&amp;0),"##.###"),IF($G130=Lists!$R$3,TEXT('SEGUIMIENTO Y EVALUACIÓN'!O130,"00,00%")&amp;" / "&amp;TEXT(FORMULACIÓN!P130,"00,00%"),IF('SEGUIMIENTO Y EVALUACIÓN'!O130=0,0,TEXT('SEGUIMIENTO Y EVALUACIÓN'!O130,"##.###")&amp;" / "&amp;TEXT(FORMULACIÓN!P130,"##.###"))))</f>
        <v>09,00% / 07,00%</v>
      </c>
      <c r="AU130" s="57">
        <f ca="1">IFERROR(IF((P130/FORMULACIÓN!Q130)&lt;&gt;0,IF($H130=Lists!$S$6,COUNTIF('SEGUIMIENTO Y EVALUACIÓN'!K130:N130,"&lt;"&amp;FORMULACIÓN!Q130),'SEGUIMIENTO Y EVALUACIÓN'!P130)/IF($H130=Lists!$S$6,COUNTIF('SEGUIMIENTO Y EVALUACIÓN'!K130:N130,"&gt;"&amp;0),FORMULACIÓN!P130),0),0)</f>
        <v>1.2857142857142856</v>
      </c>
      <c r="AV130" s="93">
        <f t="shared" ca="1" si="15"/>
        <v>0.1</v>
      </c>
      <c r="AW130" s="93" cm="1">
        <f t="array" ref="AW130">IF(INDEX(AO130:AU130,1,$AV$3)&gt;1,IF($AU$2=1,1,INDEX(AO130:AU130,1,$AV$3)),INDEX(AO130:AU130,1,$AV$3))</f>
        <v>0.94736842105263153</v>
      </c>
      <c r="AX130"/>
      <c r="AY130" s="119" t="str">
        <f>IFERROR(IF((W130/FORMULACIÓN!X130)&lt;&gt;0,W130/FORMULACIÓN!X130,0),"")</f>
        <v/>
      </c>
      <c r="AZ130" s="119" t="str">
        <f>IFERROR(IF((AA130/FORMULACIÓN!AB130)&lt;&gt;0,AA130/FORMULACIÓN!AB130,0),"")</f>
        <v/>
      </c>
      <c r="BA130" s="119" t="str">
        <f>IFERROR(IF((AE130/FORMULACIÓN!AF130)&lt;&gt;0,(AE130/FORMULACIÓN!AF130),0),"")</f>
        <v/>
      </c>
      <c r="BB130" s="119" t="str">
        <f>IFERROR(IF((AI130/FORMULACIÓN!AJ130)&lt;&gt;0,AI130/FORMULACIÓN!AJ130,0),"")</f>
        <v/>
      </c>
      <c r="BC130" s="120" t="str">
        <f>IF('SEGUIMIENTO Y EVALUACIÓN'!AI130=0,0,TEXT('SEGUIMIENTO Y EVALUACIÓN'!AI130,"$ ##.###")&amp;" / "&amp;TEXT(FORMULACIÓN!AK130,"$ ##.###"))</f>
        <v xml:space="preserve"> / $ 2.240.378.114</v>
      </c>
      <c r="BD130" s="57">
        <f>IFERROR(IF((AJ130/FORMULACIÓN!AK130)&lt;&gt;0,AJ130/FORMULACIÓN!AK130,0),0)</f>
        <v>0</v>
      </c>
      <c r="CL130" s="7"/>
    </row>
    <row r="131" spans="1:90" s="1" customFormat="1" ht="99.95" customHeight="1">
      <c r="A131" s="45">
        <f>IF(FORMULACIÓN!A131="","",FORMULACIÓN!A131)</f>
        <v>120</v>
      </c>
      <c r="B131" s="45" t="str">
        <f>IF(FORMULACIÓN!B131="","",FORMULACIÓN!B131)</f>
        <v>L4 - Bienestar Universitario, Salud mental positiva, Inclusión y Democracia.</v>
      </c>
      <c r="C131" s="45" t="str">
        <f>IF(FORMULACIÓN!E131="","",FORMULACIÓN!E131)</f>
        <v>M1 - Fortalecimiento para la permanencia y graduación oportuna</v>
      </c>
      <c r="D131" s="45" t="str">
        <f>IF(FORMULACIÓN!F131="","",FORMULACIÓN!F131)</f>
        <v>Diseñar e implementar la Política de Permanencia y Graduación estudiantil.</v>
      </c>
      <c r="E131" s="45" t="str">
        <f>IF(FORMULACIÓN!G131="","",FORMULACIÓN!G131)</f>
        <v>Diseño e implementación de una Política de Permanencia y Graduación estudiantil en la Universidad del Atlántico que conlleve a la creación del Comité institucional de permanencia.</v>
      </c>
      <c r="F131" s="45" t="str">
        <f>IF(FORMULACIÓN!H131="","",FORMULACIÓN!H131)</f>
        <v>(N° de componentes implementados de la Política de Permanencia y Graduación estudiantil /total de componentes aprobados de la Política)* 100</v>
      </c>
      <c r="G131" s="45" t="str">
        <f>IF(FORMULACIÓN!I131="","",FORMULACIÓN!I131)</f>
        <v>Porcentaje</v>
      </c>
      <c r="H131" s="45" t="str">
        <f>IF(FORMULACIÓN!J131="","",FORMULACIÓN!J131)</f>
        <v>Acumulado</v>
      </c>
      <c r="I131" s="188" t="str">
        <f ca="1">IF($G131=Lists!$R$3,"PDI: "&amp;TEXT(FORMULACIÓN!Q131,"00,00%")&amp;CHAR(10)&amp;CHAR(10)&amp;"T1: "&amp;TEXT(FORMULACIÓN!L131,"00,00%")&amp;CHAR(10)&amp;"T2: "&amp;TEXT(FORMULACIÓN!M131,"00,00%")&amp;CHAR(10)&amp;"T3: "&amp;TEXT(FORMULACIÓN!N131,"00,00%")&amp;CHAR(10)&amp;"Tn: "&amp;TEXT(FORMULACIÓN!O131,"00,00%"),IF(FORMULACIÓN!Q131=0,0,"PDI: "&amp;TEXT(FORMULACIÓN!Q131,"##.###")&amp;CHAR(10)&amp;CHAR(10)&amp;"T1: "&amp;TEXT(FORMULACIÓN!L131,"##.###")&amp;CHAR(10)&amp;"T2: "&amp;TEXT(FORMULACIÓN!M131,"##.###")&amp;CHAR(10)&amp;"T3: "&amp;TEXT(FORMULACIÓN!N131,"##.###")&amp;CHAR(10)&amp;"Tn: "&amp;TEXT(FORMULACIÓN!O131,"##.###")))</f>
        <v>PDI: 100,00%
T1: 20,00%
T2: 30,00%
T3: 40,00%
Tn: 10,00%</v>
      </c>
      <c r="J131" s="122">
        <f>IF(FORMULACIÓN!K131&lt;&gt;"",FORMULACIÓN!K131,"")</f>
        <v>0</v>
      </c>
      <c r="K131" s="309">
        <v>0</v>
      </c>
      <c r="L131" s="58"/>
      <c r="M131" s="58"/>
      <c r="N131" s="58"/>
      <c r="O131" s="47">
        <f ca="1">IFERROR(IF($H131=Lists!$S$2,SUM('SEGUIMIENTO Y EVALUACIÓN'!J131:N131),IF('SEGUIMIENTO Y EVALUACIÓN'!$H131=Lists!$S$3,SUM('SEGUIMIENTO Y EVALUACIÓN'!K131:N131),IF('SEGUIMIENTO Y EVALUACIÓN'!$H131=Lists!$S$4,AVERAGE('SEGUIMIENTO Y EVALUACIÓN'!K131:N131),IF('SEGUIMIENTO Y EVALUACIÓN'!$H131=Lists!$S$5,OFFSET(J131,0,COUNTA(K131:N131)),IF($H131=Lists!$S$6,COUNTIF(K131:N131,"&lt;"&amp;FORMULACIÓN!Q131)/COUNT('SEGUIMIENTO Y EVALUACIÓN'!K131:N131),""))))),"")</f>
        <v>0</v>
      </c>
      <c r="P131" s="51" t="str">
        <f ca="1">IF($G131=Lists!$R$3,TEXT('SEGUIMIENTO Y EVALUACIÓN'!O131,"00,00%"),IF('SEGUIMIENTO Y EVALUACIÓN'!O131=0,0,TEXT('SEGUIMIENTO Y EVALUACIÓN'!O131,"##.###")))</f>
        <v>00,00%</v>
      </c>
      <c r="Q131" s="209" t="str">
        <f>IF(FORMULACIÓN!R131&lt;&gt;"",FORMULACIÓN!R131,"")</f>
        <v>P1 - Promoción al acceso, permanencia y graduación estudiantil</v>
      </c>
      <c r="R131" s="209">
        <f>IF(FORMULACIÓN!S131&lt;&gt;"",FORMULACIÓN!S131,"")</f>
        <v>0.1</v>
      </c>
      <c r="S131" s="209" t="str">
        <f>IF(FORMULACIÓN!T131&lt;&gt;"",FORMULACIÓN!T131,"")</f>
        <v>Vicerrector de Bienestar Universitario</v>
      </c>
      <c r="T131" s="42"/>
      <c r="U131" s="42"/>
      <c r="V131" s="42"/>
      <c r="W131" s="43" t="str">
        <f t="shared" si="9"/>
        <v/>
      </c>
      <c r="X131" s="42"/>
      <c r="Y131" s="42"/>
      <c r="Z131" s="42"/>
      <c r="AA131" s="43" t="str">
        <f t="shared" si="10"/>
        <v/>
      </c>
      <c r="AB131" s="42"/>
      <c r="AC131" s="42"/>
      <c r="AD131" s="42"/>
      <c r="AE131" s="43" t="str">
        <f t="shared" si="11"/>
        <v/>
      </c>
      <c r="AF131" s="42"/>
      <c r="AG131" s="42"/>
      <c r="AH131" s="42"/>
      <c r="AI131" s="46" t="str">
        <f t="shared" si="12"/>
        <v/>
      </c>
      <c r="AJ131" s="46" t="str">
        <f>IF(SUM(AA131,AE131,W131,AI131)=0,"",SUM((AA131,AE131,W131,AI131)))</f>
        <v/>
      </c>
      <c r="AK131"/>
      <c r="AL131" s="1" t="str">
        <f t="shared" si="16"/>
        <v>L4M1P1</v>
      </c>
      <c r="AM131" s="56" t="str">
        <f t="shared" si="17"/>
        <v>Diseño e implementación de una Política de Permanencia y Graduación estudiantil en la Universidad del Atlántico que conlleve a la creación del Comité institucional de permanencia.</v>
      </c>
      <c r="AN131" s="112" t="str">
        <f>IF($G131=Lists!$R$3,"T1: "&amp;TEXT(FORMULACIÓN!L131,"00,00%")&amp;CHAR(10)&amp;"T2: "&amp;TEXT(FORMULACIÓN!M131,"00,00%")&amp;CHAR(10)&amp;"T3: "&amp;TEXT(FORMULACIÓN!N131,"00,00%")&amp;CHAR(10)&amp;"Tn: "&amp;TEXT(FORMULACIÓN!O131,"00,00%"),IF(FORMULACIÓN!Q131=0,0,"T1: "&amp;TEXT(FORMULACIÓN!L131,"##.###")&amp;CHAR(10)&amp;"T2: "&amp;TEXT(FORMULACIÓN!M131,"##.###")&amp;CHAR(10)&amp;"T3: "&amp;TEXT(FORMULACIÓN!N131,"##.###")&amp;CHAR(10)&amp;"Tn: "&amp;TEXT(FORMULACIÓN!O131,"##.###")))</f>
        <v>T1: 20,00%
T2: 30,00%
T3: 40,00%
Tn: 10,00%</v>
      </c>
      <c r="AO131" s="117">
        <f>IFERROR(IF($H131=Lists!$S$6,IF(AND(FORMULACIÓN!L131&gt;K131,K131&gt;0),1,0),IF((K131/FORMULACIÓN!L131)&lt;&gt;0,K131/FORMULACIÓN!L131,0)),"")</f>
        <v>0</v>
      </c>
      <c r="AP131" s="117">
        <f>IFERROR(IF($H131=Lists!$S$6,IF(AND(FORMULACIÓN!M131&gt;L131,L131&gt;0),1,0),IF((L131/FORMULACIÓN!M131)&lt;&gt;0,L131/FORMULACIÓN!M131,0)),"")</f>
        <v>0</v>
      </c>
      <c r="AQ131" s="117">
        <f>IFERROR(IF($H131=Lists!$S$6,IF(AND(FORMULACIÓN!N131&gt;M131,M131&gt;0),1,0),IF((M131/FORMULACIÓN!N131)&lt;&gt;0,M131/FORMULACIÓN!N131,0)),"")</f>
        <v>0</v>
      </c>
      <c r="AR131" s="117">
        <f>IFERROR(IF($H131=Lists!$S$6,IF(AND(FORMULACIÓN!O131&gt;N131,N131&gt;0),1,0),IF((N131/FORMULACIÓN!O131)&lt;&gt;0,N131/FORMULACIÓN!O131,0)),"")</f>
        <v>0</v>
      </c>
      <c r="AS131" s="110"/>
      <c r="AT131" s="118" t="str">
        <f ca="1">IF($H131=Lists!$S$6,TEXT(COUNTIF('SEGUIMIENTO Y EVALUACIÓN'!K131:N131,"&lt;"&amp;FORMULACIÓN!Q131),"##.###")&amp;" / "&amp;TEXT(COUNTIF('SEGUIMIENTO Y EVALUACIÓN'!K131:N131,"&gt;"&amp;0),"##.###"),IF($G131=Lists!$R$3,TEXT('SEGUIMIENTO Y EVALUACIÓN'!O131,"00,00%")&amp;" / "&amp;TEXT(FORMULACIÓN!P131,"00,00%"),IF('SEGUIMIENTO Y EVALUACIÓN'!O131=0,0,TEXT('SEGUIMIENTO Y EVALUACIÓN'!O131,"##.###")&amp;" / "&amp;TEXT(FORMULACIÓN!P131,"##.###"))))</f>
        <v>00,00% / 100,00%</v>
      </c>
      <c r="AU131" s="57">
        <f ca="1">IFERROR(IF((P131/FORMULACIÓN!Q131)&lt;&gt;0,IF($H131=Lists!$S$6,COUNTIF('SEGUIMIENTO Y EVALUACIÓN'!K131:N131,"&lt;"&amp;FORMULACIÓN!Q131),'SEGUIMIENTO Y EVALUACIÓN'!P131)/IF($H131=Lists!$S$6,COUNTIF('SEGUIMIENTO Y EVALUACIÓN'!K131:N131,"&gt;"&amp;0),FORMULACIÓN!P131),0),0)</f>
        <v>0</v>
      </c>
      <c r="AV131" s="93">
        <f t="shared" ca="1" si="15"/>
        <v>0</v>
      </c>
      <c r="AW131" s="93" cm="1">
        <f t="array" ref="AW131">IF(INDEX(AO131:AU131,1,$AV$3)&gt;1,IF($AU$2=1,1,INDEX(AO131:AU131,1,$AV$3)),INDEX(AO131:AU131,1,$AV$3))</f>
        <v>0</v>
      </c>
      <c r="AX131"/>
      <c r="AY131" s="119" t="str">
        <f>IFERROR(IF((W131/FORMULACIÓN!X131)&lt;&gt;0,W131/FORMULACIÓN!X131,0),"")</f>
        <v/>
      </c>
      <c r="AZ131" s="119" t="str">
        <f>IFERROR(IF((AA131/FORMULACIÓN!AB131)&lt;&gt;0,AA131/FORMULACIÓN!AB131,0),"")</f>
        <v/>
      </c>
      <c r="BA131" s="119" t="str">
        <f>IFERROR(IF((AE131/FORMULACIÓN!AF131)&lt;&gt;0,(AE131/FORMULACIÓN!AF131),0),"")</f>
        <v/>
      </c>
      <c r="BB131" s="119" t="str">
        <f>IFERROR(IF((AI131/FORMULACIÓN!AJ131)&lt;&gt;0,AI131/FORMULACIÓN!AJ131,0),"")</f>
        <v/>
      </c>
      <c r="BC131" s="120" t="str">
        <f>IF('SEGUIMIENTO Y EVALUACIÓN'!AI131=0,0,TEXT('SEGUIMIENTO Y EVALUACIÓN'!AI131,"$ ##.###")&amp;" / "&amp;TEXT(FORMULACIÓN!AK131,"$ ##.###"))</f>
        <v xml:space="preserve"> / $ 2.240.378.114</v>
      </c>
      <c r="BD131" s="57">
        <f>IFERROR(IF((AJ131/FORMULACIÓN!AK131)&lt;&gt;0,AJ131/FORMULACIÓN!AK131,0),0)</f>
        <v>0</v>
      </c>
      <c r="CL131" s="7"/>
    </row>
    <row r="132" spans="1:90" s="1" customFormat="1" ht="99.95" customHeight="1">
      <c r="A132" s="45">
        <f>IF(FORMULACIÓN!A132="","",FORMULACIÓN!A132)</f>
        <v>121</v>
      </c>
      <c r="B132" s="45" t="str">
        <f>IF(FORMULACIÓN!B132="","",FORMULACIÓN!B132)</f>
        <v>L4 - Bienestar Universitario, Salud mental positiva, Inclusión y Democracia.</v>
      </c>
      <c r="C132" s="45" t="str">
        <f>IF(FORMULACIÓN!E132="","",FORMULACIÓN!E132)</f>
        <v>M1 - Fortalecimiento para la permanencia y graduación oportuna</v>
      </c>
      <c r="D132" s="45" t="str">
        <f>IF(FORMULACIÓN!F132="","",FORMULACIÓN!F132)</f>
        <v>Diseñar e implementar el programa de Plan Padrino para el sostenimiento de mínimo 200 estudiantes en riesgo de deserción, impulsando el aporte voluntario de entes territoriales, egresados, empresarios y docentes.</v>
      </c>
      <c r="E132" s="45" t="str">
        <f>IF(FORMULACIÓN!G132="","",FORMULACIÓN!G132)</f>
        <v>Puesta en marcha del programa Plan Padrino</v>
      </c>
      <c r="F132" s="45" t="str">
        <f>IF(FORMULACIÓN!H132="","",FORMULACIÓN!H132)</f>
        <v>(N° de estudiantes beneficiados por el Plan Padrino que mantengan su promedio académico semestral igual o superior a 4.0 / total de estudiantes beneficiados por el plan padrino) * 100</v>
      </c>
      <c r="G132" s="45" t="str">
        <f>IF(FORMULACIÓN!I132="","",FORMULACIÓN!I132)</f>
        <v>Unidad</v>
      </c>
      <c r="H132" s="45" t="str">
        <f>IF(FORMULACIÓN!J132="","",FORMULACIÓN!J132)</f>
        <v>Acumulado</v>
      </c>
      <c r="I132" s="188" t="str">
        <f ca="1">IF($G132=Lists!$R$3,"PDI: "&amp;TEXT(FORMULACIÓN!Q132,"00,00%")&amp;CHAR(10)&amp;CHAR(10)&amp;"T1: "&amp;TEXT(FORMULACIÓN!L132,"00,00%")&amp;CHAR(10)&amp;"T2: "&amp;TEXT(FORMULACIÓN!M132,"00,00%")&amp;CHAR(10)&amp;"T3: "&amp;TEXT(FORMULACIÓN!N132,"00,00%")&amp;CHAR(10)&amp;"Tn: "&amp;TEXT(FORMULACIÓN!O132,"00,00%"),IF(FORMULACIÓN!Q132=0,0,"PDI: "&amp;TEXT(FORMULACIÓN!Q132,"##.###")&amp;CHAR(10)&amp;CHAR(10)&amp;"T1: "&amp;TEXT(FORMULACIÓN!L132,"##.###")&amp;CHAR(10)&amp;"T2: "&amp;TEXT(FORMULACIÓN!M132,"##.###")&amp;CHAR(10)&amp;"T3: "&amp;TEXT(FORMULACIÓN!N132,"##.###")&amp;CHAR(10)&amp;"Tn: "&amp;TEXT(FORMULACIÓN!O132,"##.###")))</f>
        <v>PDI: 200
T1: 50
T2: 50
T3: 70
Tn: 30</v>
      </c>
      <c r="J132" s="122">
        <f>IF(FORMULACIÓN!K132&lt;&gt;"",FORMULACIÓN!K132,"")</f>
        <v>0</v>
      </c>
      <c r="K132" s="310">
        <v>20</v>
      </c>
      <c r="L132" s="58"/>
      <c r="M132" s="58"/>
      <c r="N132" s="58"/>
      <c r="O132" s="47">
        <f ca="1">IFERROR(IF($H132=Lists!$S$2,SUM('SEGUIMIENTO Y EVALUACIÓN'!J132:N132),IF('SEGUIMIENTO Y EVALUACIÓN'!$H132=Lists!$S$3,SUM('SEGUIMIENTO Y EVALUACIÓN'!K132:N132),IF('SEGUIMIENTO Y EVALUACIÓN'!$H132=Lists!$S$4,AVERAGE('SEGUIMIENTO Y EVALUACIÓN'!K132:N132),IF('SEGUIMIENTO Y EVALUACIÓN'!$H132=Lists!$S$5,OFFSET(J132,0,COUNTA(K132:N132)),IF($H132=Lists!$S$6,COUNTIF(K132:N132,"&lt;"&amp;FORMULACIÓN!Q132)/COUNT('SEGUIMIENTO Y EVALUACIÓN'!K132:N132),""))))),"")</f>
        <v>20</v>
      </c>
      <c r="P132" s="51" t="str">
        <f ca="1">IF($G132=Lists!$R$3,TEXT('SEGUIMIENTO Y EVALUACIÓN'!O132,"00,00%"),IF('SEGUIMIENTO Y EVALUACIÓN'!O132=0,0,TEXT('SEGUIMIENTO Y EVALUACIÓN'!O132,"##.###")))</f>
        <v>20</v>
      </c>
      <c r="Q132" s="209" t="str">
        <f>IF(FORMULACIÓN!R132&lt;&gt;"",FORMULACIÓN!R132,"")</f>
        <v>P2 - Fortalecimiento de ayudas socioeconómicas para el éxito estudiantil</v>
      </c>
      <c r="R132" s="209">
        <f>IF(FORMULACIÓN!S132&lt;&gt;"",FORMULACIÓN!S132,"")</f>
        <v>0.2</v>
      </c>
      <c r="S132" s="209" t="str">
        <f>IF(FORMULACIÓN!T132&lt;&gt;"",FORMULACIÓN!T132,"")</f>
        <v>Vicerrector de Bienestar Universitario</v>
      </c>
      <c r="T132" s="42"/>
      <c r="U132" s="42"/>
      <c r="V132" s="42"/>
      <c r="W132" s="43" t="str">
        <f t="shared" si="9"/>
        <v/>
      </c>
      <c r="X132" s="42"/>
      <c r="Y132" s="42"/>
      <c r="Z132" s="42"/>
      <c r="AA132" s="43" t="str">
        <f t="shared" si="10"/>
        <v/>
      </c>
      <c r="AB132" s="42"/>
      <c r="AC132" s="42"/>
      <c r="AD132" s="42"/>
      <c r="AE132" s="43" t="str">
        <f t="shared" si="11"/>
        <v/>
      </c>
      <c r="AF132" s="42"/>
      <c r="AG132" s="42"/>
      <c r="AH132" s="42"/>
      <c r="AI132" s="46" t="str">
        <f t="shared" si="12"/>
        <v/>
      </c>
      <c r="AJ132" s="46" t="str">
        <f>IF(SUM(AA132,AE132,W132,AI132)=0,"",SUM((AA132,AE132,W132,AI132)))</f>
        <v/>
      </c>
      <c r="AK132"/>
      <c r="AL132" s="1" t="str">
        <f t="shared" si="16"/>
        <v>L4M1P2</v>
      </c>
      <c r="AM132" s="56" t="str">
        <f t="shared" si="17"/>
        <v>Puesta en marcha del programa Plan Padrino</v>
      </c>
      <c r="AN132" s="112" t="str">
        <f ca="1">IF($G132=Lists!$R$3,"T1: "&amp;TEXT(FORMULACIÓN!L132,"00,00%")&amp;CHAR(10)&amp;"T2: "&amp;TEXT(FORMULACIÓN!M132,"00,00%")&amp;CHAR(10)&amp;"T3: "&amp;TEXT(FORMULACIÓN!N132,"00,00%")&amp;CHAR(10)&amp;"Tn: "&amp;TEXT(FORMULACIÓN!O132,"00,00%"),IF(FORMULACIÓN!Q132=0,0,"T1: "&amp;TEXT(FORMULACIÓN!L132,"##.###")&amp;CHAR(10)&amp;"T2: "&amp;TEXT(FORMULACIÓN!M132,"##.###")&amp;CHAR(10)&amp;"T3: "&amp;TEXT(FORMULACIÓN!N132,"##.###")&amp;CHAR(10)&amp;"Tn: "&amp;TEXT(FORMULACIÓN!O132,"##.###")))</f>
        <v>T1: 50
T2: 50
T3: 70
Tn: 30</v>
      </c>
      <c r="AO132" s="117">
        <f>IFERROR(IF($H132=Lists!$S$6,IF(AND(FORMULACIÓN!L132&gt;K132,K132&gt;0),1,0),IF((K132/FORMULACIÓN!L132)&lt;&gt;0,K132/FORMULACIÓN!L132,0)),"")</f>
        <v>0.4</v>
      </c>
      <c r="AP132" s="117">
        <f>IFERROR(IF($H132=Lists!$S$6,IF(AND(FORMULACIÓN!M132&gt;L132,L132&gt;0),1,0),IF((L132/FORMULACIÓN!M132)&lt;&gt;0,L132/FORMULACIÓN!M132,0)),"")</f>
        <v>0</v>
      </c>
      <c r="AQ132" s="117">
        <f>IFERROR(IF($H132=Lists!$S$6,IF(AND(FORMULACIÓN!N132&gt;M132,M132&gt;0),1,0),IF((M132/FORMULACIÓN!N132)&lt;&gt;0,M132/FORMULACIÓN!N132,0)),"")</f>
        <v>0</v>
      </c>
      <c r="AR132" s="117">
        <f>IFERROR(IF($H132=Lists!$S$6,IF(AND(FORMULACIÓN!O132&gt;N132,N132&gt;0),1,0),IF((N132/FORMULACIÓN!O132)&lt;&gt;0,N132/FORMULACIÓN!O132,0)),"")</f>
        <v>0</v>
      </c>
      <c r="AS132" s="110"/>
      <c r="AT132" s="118" t="str">
        <f ca="1">IF($H132=Lists!$S$6,TEXT(COUNTIF('SEGUIMIENTO Y EVALUACIÓN'!K132:N132,"&lt;"&amp;FORMULACIÓN!Q132),"##.###")&amp;" / "&amp;TEXT(COUNTIF('SEGUIMIENTO Y EVALUACIÓN'!K132:N132,"&gt;"&amp;0),"##.###"),IF($G132=Lists!$R$3,TEXT('SEGUIMIENTO Y EVALUACIÓN'!O132,"00,00%")&amp;" / "&amp;TEXT(FORMULACIÓN!P132,"00,00%"),IF('SEGUIMIENTO Y EVALUACIÓN'!O132=0,0,TEXT('SEGUIMIENTO Y EVALUACIÓN'!O132,"##.###")&amp;" / "&amp;TEXT(FORMULACIÓN!P132,"##.###"))))</f>
        <v>20 / 200</v>
      </c>
      <c r="AU132" s="57">
        <f ca="1">IFERROR(IF((P132/FORMULACIÓN!Q132)&lt;&gt;0,IF($H132=Lists!$S$6,COUNTIF('SEGUIMIENTO Y EVALUACIÓN'!K132:N132,"&lt;"&amp;FORMULACIÓN!Q132),'SEGUIMIENTO Y EVALUACIÓN'!P132)/IF($H132=Lists!$S$6,COUNTIF('SEGUIMIENTO Y EVALUACIÓN'!K132:N132,"&gt;"&amp;0),FORMULACIÓN!P132),0),0)</f>
        <v>0.1</v>
      </c>
      <c r="AV132" s="93">
        <f t="shared" ca="1" si="15"/>
        <v>2.0000000000000004E-2</v>
      </c>
      <c r="AW132" s="93" cm="1">
        <f t="array" ref="AW132">IF(INDEX(AO132:AU132,1,$AV$3)&gt;1,IF($AU$2=1,1,INDEX(AO132:AU132,1,$AV$3)),INDEX(AO132:AU132,1,$AV$3))</f>
        <v>0.4</v>
      </c>
      <c r="AX132"/>
      <c r="AY132" s="119" t="str">
        <f>IFERROR(IF((W132/FORMULACIÓN!X132)&lt;&gt;0,W132/FORMULACIÓN!X132,0),"")</f>
        <v/>
      </c>
      <c r="AZ132" s="119" t="str">
        <f>IFERROR(IF((AA132/FORMULACIÓN!AB132)&lt;&gt;0,AA132/FORMULACIÓN!AB132,0),"")</f>
        <v/>
      </c>
      <c r="BA132" s="119" t="str">
        <f>IFERROR(IF((AE132/FORMULACIÓN!AF132)&lt;&gt;0,(AE132/FORMULACIÓN!AF132),0),"")</f>
        <v/>
      </c>
      <c r="BB132" s="119" t="str">
        <f>IFERROR(IF((AI132/FORMULACIÓN!AJ132)&lt;&gt;0,AI132/FORMULACIÓN!AJ132,0),"")</f>
        <v/>
      </c>
      <c r="BC132" s="120" t="str">
        <f>IF('SEGUIMIENTO Y EVALUACIÓN'!AI132=0,0,TEXT('SEGUIMIENTO Y EVALUACIÓN'!AI132,"$ ##.###")&amp;" / "&amp;TEXT(FORMULACIÓN!AK132,"$ ##.###"))</f>
        <v xml:space="preserve"> / $ 9.720.340.268</v>
      </c>
      <c r="BD132" s="57">
        <f>IFERROR(IF((AJ132/FORMULACIÓN!AK132)&lt;&gt;0,AJ132/FORMULACIÓN!AK132,0),0)</f>
        <v>0</v>
      </c>
      <c r="CL132" s="7"/>
    </row>
    <row r="133" spans="1:90" s="1" customFormat="1" ht="99.95" customHeight="1">
      <c r="A133" s="45">
        <f>IF(FORMULACIÓN!A133="","",FORMULACIÓN!A133)</f>
        <v>122</v>
      </c>
      <c r="B133" s="45" t="str">
        <f>IF(FORMULACIÓN!B133="","",FORMULACIÓN!B133)</f>
        <v>L4 - Bienestar Universitario, Salud mental positiva, Inclusión y Democracia.</v>
      </c>
      <c r="C133" s="45" t="str">
        <f>IF(FORMULACIÓN!E133="","",FORMULACIÓN!E133)</f>
        <v>M2 - Cultura ciudadana, cultura política, equidad de género e inclusión</v>
      </c>
      <c r="D133" s="45" t="str">
        <f>IF(FORMULACIÓN!F133="","",FORMULACIÓN!F133)</f>
        <v>Estimular el desarrollo de las relaciones constructivas entre los miembros de la comunidad universitaria con base en la difusión y práctica de valores de respeto a la dignidad humana y a la diversidad, alcanzando un incremento del 6% en los resultados de percepción de cultura ciudadana, 7 estructuras de diálogo y resolución de conflictos y la Política de Género.</v>
      </c>
      <c r="E133" s="45" t="str">
        <f>IF(FORMULACIÓN!G133="","",FORMULACIÓN!G133)</f>
        <v>Incremento en la favorabilidad de los resultados de la encuesta de percepción de cultura ciudadana y Derechos Humanos</v>
      </c>
      <c r="F133" s="45" t="str">
        <f>IF(FORMULACIÓN!H133="","",FORMULACIÓN!H133)</f>
        <v xml:space="preserve"> (Resultados favorables de las encuestas del año final - resultados favorables de las encuestas del año inicial) </v>
      </c>
      <c r="G133" s="45" t="str">
        <f>IF(FORMULACIÓN!I133="","",FORMULACIÓN!I133)</f>
        <v>Porcentaje</v>
      </c>
      <c r="H133" s="45" t="str">
        <f>IF(FORMULACIÓN!J133="","",FORMULACIÓN!J133)</f>
        <v>Acumulado</v>
      </c>
      <c r="I133" s="188" t="str">
        <f ca="1">IF($G133=Lists!$R$3,"PDI: "&amp;TEXT(FORMULACIÓN!Q133,"00,00%")&amp;CHAR(10)&amp;CHAR(10)&amp;"T1: "&amp;TEXT(FORMULACIÓN!L133,"00,00%")&amp;CHAR(10)&amp;"T2: "&amp;TEXT(FORMULACIÓN!M133,"00,00%")&amp;CHAR(10)&amp;"T3: "&amp;TEXT(FORMULACIÓN!N133,"00,00%")&amp;CHAR(10)&amp;"Tn: "&amp;TEXT(FORMULACIÓN!O133,"00,00%"),IF(FORMULACIÓN!Q133=0,0,"PDI: "&amp;TEXT(FORMULACIÓN!Q133,"##.###")&amp;CHAR(10)&amp;CHAR(10)&amp;"T1: "&amp;TEXT(FORMULACIÓN!L133,"##.###")&amp;CHAR(10)&amp;"T2: "&amp;TEXT(FORMULACIÓN!M133,"##.###")&amp;CHAR(10)&amp;"T3: "&amp;TEXT(FORMULACIÓN!N133,"##.###")&amp;CHAR(10)&amp;"Tn: "&amp;TEXT(FORMULACIÓN!O133,"##.###")))</f>
        <v>PDI: 06,00%
T1: 01,00%
T2: 02,00%
T3: 02,00%
Tn: 01,00%</v>
      </c>
      <c r="J133" s="122">
        <f>IF(FORMULACIÓN!K133&lt;&gt;"",FORMULACIÓN!K133,"")</f>
        <v>0</v>
      </c>
      <c r="K133" s="309">
        <v>0</v>
      </c>
      <c r="L133" s="58"/>
      <c r="M133" s="58"/>
      <c r="N133" s="58"/>
      <c r="O133" s="47">
        <f ca="1">IFERROR(IF($H133=Lists!$S$2,SUM('SEGUIMIENTO Y EVALUACIÓN'!J133:N133),IF('SEGUIMIENTO Y EVALUACIÓN'!$H133=Lists!$S$3,SUM('SEGUIMIENTO Y EVALUACIÓN'!K133:N133),IF('SEGUIMIENTO Y EVALUACIÓN'!$H133=Lists!$S$4,AVERAGE('SEGUIMIENTO Y EVALUACIÓN'!K133:N133),IF('SEGUIMIENTO Y EVALUACIÓN'!$H133=Lists!$S$5,OFFSET(J133,0,COUNTA(K133:N133)),IF($H133=Lists!$S$6,COUNTIF(K133:N133,"&lt;"&amp;FORMULACIÓN!Q133)/COUNT('SEGUIMIENTO Y EVALUACIÓN'!K133:N133),""))))),"")</f>
        <v>0</v>
      </c>
      <c r="P133" s="51" t="str">
        <f ca="1">IF($G133=Lists!$R$3,TEXT('SEGUIMIENTO Y EVALUACIÓN'!O133,"00,00%"),IF('SEGUIMIENTO Y EVALUACIÓN'!O133=0,0,TEXT('SEGUIMIENTO Y EVALUACIÓN'!O133,"##.###")))</f>
        <v>00,00%</v>
      </c>
      <c r="Q133" s="209" t="str">
        <f>IF(FORMULACIÓN!R133&lt;&gt;"",FORMULACIÓN!R133,"")</f>
        <v>P1 - Cultura ciudadana, equidad y convivencia</v>
      </c>
      <c r="R133" s="209">
        <f>IF(FORMULACIÓN!S133&lt;&gt;"",FORMULACIÓN!S133,"")</f>
        <v>0.04</v>
      </c>
      <c r="S133" s="209" t="str">
        <f>IF(FORMULACIÓN!T133&lt;&gt;"",FORMULACIÓN!T133,"")</f>
        <v>Vicerrector de Bienestar Universitario</v>
      </c>
      <c r="T133" s="42"/>
      <c r="U133" s="42"/>
      <c r="V133" s="42"/>
      <c r="W133" s="43" t="str">
        <f t="shared" si="9"/>
        <v/>
      </c>
      <c r="X133" s="42"/>
      <c r="Y133" s="42"/>
      <c r="Z133" s="42"/>
      <c r="AA133" s="43" t="str">
        <f t="shared" si="10"/>
        <v/>
      </c>
      <c r="AB133" s="42"/>
      <c r="AC133" s="42"/>
      <c r="AD133" s="42"/>
      <c r="AE133" s="43" t="str">
        <f t="shared" si="11"/>
        <v/>
      </c>
      <c r="AF133" s="42"/>
      <c r="AG133" s="42"/>
      <c r="AH133" s="42"/>
      <c r="AI133" s="46" t="str">
        <f t="shared" si="12"/>
        <v/>
      </c>
      <c r="AJ133" s="46" t="str">
        <f>IF(SUM(AA133,AE133,W133,AI133)=0,"",SUM((AA133,AE133,W133,AI133)))</f>
        <v/>
      </c>
      <c r="AK133"/>
      <c r="AL133" s="1" t="str">
        <f t="shared" si="16"/>
        <v>L4M2P1</v>
      </c>
      <c r="AM133" s="56" t="str">
        <f t="shared" si="17"/>
        <v>Incremento en la favorabilidad de los resultados de la encuesta de percepción de cultura ciudadana y Derechos Humanos</v>
      </c>
      <c r="AN133" s="112" t="str">
        <f>IF($G133=Lists!$R$3,"T1: "&amp;TEXT(FORMULACIÓN!L133,"00,00%")&amp;CHAR(10)&amp;"T2: "&amp;TEXT(FORMULACIÓN!M133,"00,00%")&amp;CHAR(10)&amp;"T3: "&amp;TEXT(FORMULACIÓN!N133,"00,00%")&amp;CHAR(10)&amp;"Tn: "&amp;TEXT(FORMULACIÓN!O133,"00,00%"),IF(FORMULACIÓN!Q133=0,0,"T1: "&amp;TEXT(FORMULACIÓN!L133,"##.###")&amp;CHAR(10)&amp;"T2: "&amp;TEXT(FORMULACIÓN!M133,"##.###")&amp;CHAR(10)&amp;"T3: "&amp;TEXT(FORMULACIÓN!N133,"##.###")&amp;CHAR(10)&amp;"Tn: "&amp;TEXT(FORMULACIÓN!O133,"##.###")))</f>
        <v>T1: 01,00%
T2: 02,00%
T3: 02,00%
Tn: 01,00%</v>
      </c>
      <c r="AO133" s="117">
        <f>IFERROR(IF($H133=Lists!$S$6,IF(AND(FORMULACIÓN!L133&gt;K133,K133&gt;0),1,0),IF((K133/FORMULACIÓN!L133)&lt;&gt;0,K133/FORMULACIÓN!L133,0)),"")</f>
        <v>0</v>
      </c>
      <c r="AP133" s="117">
        <f>IFERROR(IF($H133=Lists!$S$6,IF(AND(FORMULACIÓN!M133&gt;L133,L133&gt;0),1,0),IF((L133/FORMULACIÓN!M133)&lt;&gt;0,L133/FORMULACIÓN!M133,0)),"")</f>
        <v>0</v>
      </c>
      <c r="AQ133" s="117">
        <f>IFERROR(IF($H133=Lists!$S$6,IF(AND(FORMULACIÓN!N133&gt;M133,M133&gt;0),1,0),IF((M133/FORMULACIÓN!N133)&lt;&gt;0,M133/FORMULACIÓN!N133,0)),"")</f>
        <v>0</v>
      </c>
      <c r="AR133" s="117">
        <f>IFERROR(IF($H133=Lists!$S$6,IF(AND(FORMULACIÓN!O133&gt;N133,N133&gt;0),1,0),IF((N133/FORMULACIÓN!O133)&lt;&gt;0,N133/FORMULACIÓN!O133,0)),"")</f>
        <v>0</v>
      </c>
      <c r="AS133" s="110"/>
      <c r="AT133" s="118" t="str">
        <f ca="1">IF($H133=Lists!$S$6,TEXT(COUNTIF('SEGUIMIENTO Y EVALUACIÓN'!K133:N133,"&lt;"&amp;FORMULACIÓN!Q133),"##.###")&amp;" / "&amp;TEXT(COUNTIF('SEGUIMIENTO Y EVALUACIÓN'!K133:N133,"&gt;"&amp;0),"##.###"),IF($G133=Lists!$R$3,TEXT('SEGUIMIENTO Y EVALUACIÓN'!O133,"00,00%")&amp;" / "&amp;TEXT(FORMULACIÓN!P133,"00,00%"),IF('SEGUIMIENTO Y EVALUACIÓN'!O133=0,0,TEXT('SEGUIMIENTO Y EVALUACIÓN'!O133,"##.###")&amp;" / "&amp;TEXT(FORMULACIÓN!P133,"##.###"))))</f>
        <v>00,00% / 06,00%</v>
      </c>
      <c r="AU133" s="57">
        <f ca="1">IFERROR(IF((P133/FORMULACIÓN!Q133)&lt;&gt;0,IF($H133=Lists!$S$6,COUNTIF('SEGUIMIENTO Y EVALUACIÓN'!K133:N133,"&lt;"&amp;FORMULACIÓN!Q133),'SEGUIMIENTO Y EVALUACIÓN'!P133)/IF($H133=Lists!$S$6,COUNTIF('SEGUIMIENTO Y EVALUACIÓN'!K133:N133,"&gt;"&amp;0),FORMULACIÓN!P133),0),0)</f>
        <v>0</v>
      </c>
      <c r="AV133" s="93">
        <f t="shared" ca="1" si="15"/>
        <v>0</v>
      </c>
      <c r="AW133" s="93" cm="1">
        <f t="array" ref="AW133">IF(INDEX(AO133:AU133,1,$AV$3)&gt;1,IF($AU$2=1,1,INDEX(AO133:AU133,1,$AV$3)),INDEX(AO133:AU133,1,$AV$3))</f>
        <v>0</v>
      </c>
      <c r="AX133"/>
      <c r="AY133" s="119" t="str">
        <f>IFERROR(IF((W133/FORMULACIÓN!X133)&lt;&gt;0,W133/FORMULACIÓN!X133,0),"")</f>
        <v/>
      </c>
      <c r="AZ133" s="119" t="str">
        <f>IFERROR(IF((AA133/FORMULACIÓN!AB133)&lt;&gt;0,AA133/FORMULACIÓN!AB133,0),"")</f>
        <v/>
      </c>
      <c r="BA133" s="119" t="str">
        <f>IFERROR(IF((AE133/FORMULACIÓN!AF133)&lt;&gt;0,(AE133/FORMULACIÓN!AF133),0),"")</f>
        <v/>
      </c>
      <c r="BB133" s="119" t="str">
        <f>IFERROR(IF((AI133/FORMULACIÓN!AJ133)&lt;&gt;0,AI133/FORMULACIÓN!AJ133,0),"")</f>
        <v/>
      </c>
      <c r="BC133" s="120" t="str">
        <f>IF('SEGUIMIENTO Y EVALUACIÓN'!AI133=0,0,TEXT('SEGUIMIENTO Y EVALUACIÓN'!AI133,"$ ##.###")&amp;" / "&amp;TEXT(FORMULACIÓN!AK133,"$ ##.###"))</f>
        <v xml:space="preserve"> / $ 1.774.894.585</v>
      </c>
      <c r="BD133" s="57">
        <f>IFERROR(IF((AJ133/FORMULACIÓN!AK133)&lt;&gt;0,AJ133/FORMULACIÓN!AK133,0),0)</f>
        <v>0</v>
      </c>
      <c r="CL133" s="7"/>
    </row>
    <row r="134" spans="1:90" s="1" customFormat="1" ht="99.95" customHeight="1">
      <c r="A134" s="45">
        <f>IF(FORMULACIÓN!A134="","",FORMULACIÓN!A134)</f>
        <v>123</v>
      </c>
      <c r="B134" s="45" t="str">
        <f>IF(FORMULACIÓN!B134="","",FORMULACIÓN!B134)</f>
        <v>L4 - Bienestar Universitario, Salud mental positiva, Inclusión y Democracia.</v>
      </c>
      <c r="C134" s="45" t="str">
        <f>IF(FORMULACIÓN!E134="","",FORMULACIÓN!E134)</f>
        <v>M2 - Cultura ciudadana, cultura política, equidad de género e inclusión</v>
      </c>
      <c r="D134" s="45" t="str">
        <f>IF(FORMULACIÓN!F134="","",FORMULACIÓN!F134)</f>
        <v>Estimular el desarrollo de las relaciones constructivas entre los miembros de la comunidad universitaria con base en la difusión y práctica de valores de respeto a la dignidad humana y a la diversidad, alcanzando un incremento del 6% en los resultados de percepción de cultura ciudadana, 7 estructuras de diálogo y resolución de conflictos y la Política de Género.</v>
      </c>
      <c r="E134" s="45" t="str">
        <f>IF(FORMULACIÓN!G134="","",FORMULACIÓN!G134)</f>
        <v>Estructuras de diálogo y resolución pacífica de conflictos empleadas en la UA  para mejorar  espacios de convivencia  y paz</v>
      </c>
      <c r="F134" s="45" t="str">
        <f>IF(FORMULACIÓN!H134="","",FORMULACIÓN!H134)</f>
        <v>N° de estructuras de diálogo y resolución de conflictos que mejoren espacios de convivencia y paz en el Campus Universitario</v>
      </c>
      <c r="G134" s="45" t="str">
        <f>IF(FORMULACIÓN!I134="","",FORMULACIÓN!I134)</f>
        <v>Unidad</v>
      </c>
      <c r="H134" s="45" t="str">
        <f>IF(FORMULACIÓN!J134="","",FORMULACIÓN!J134)</f>
        <v>Acumulado</v>
      </c>
      <c r="I134" s="188" t="str">
        <f ca="1">IF($G134=Lists!$R$3,"PDI: "&amp;TEXT(FORMULACIÓN!Q134,"00,00%")&amp;CHAR(10)&amp;CHAR(10)&amp;"T1: "&amp;TEXT(FORMULACIÓN!L134,"00,00%")&amp;CHAR(10)&amp;"T2: "&amp;TEXT(FORMULACIÓN!M134,"00,00%")&amp;CHAR(10)&amp;"T3: "&amp;TEXT(FORMULACIÓN!N134,"00,00%")&amp;CHAR(10)&amp;"Tn: "&amp;TEXT(FORMULACIÓN!O134,"00,00%"),IF(FORMULACIÓN!Q134=0,0,"PDI: "&amp;TEXT(FORMULACIÓN!Q134,"##.###")&amp;CHAR(10)&amp;CHAR(10)&amp;"T1: "&amp;TEXT(FORMULACIÓN!L134,"##.###")&amp;CHAR(10)&amp;"T2: "&amp;TEXT(FORMULACIÓN!M134,"##.###")&amp;CHAR(10)&amp;"T3: "&amp;TEXT(FORMULACIÓN!N134,"##.###")&amp;CHAR(10)&amp;"Tn: "&amp;TEXT(FORMULACIÓN!O134,"##.###")))</f>
        <v xml:space="preserve">PDI: 7
T1: 1
T2: 1
T3: 2
Tn: </v>
      </c>
      <c r="J134" s="122">
        <f>IF(FORMULACIÓN!K134&lt;&gt;"",FORMULACIÓN!K134,"")</f>
        <v>3</v>
      </c>
      <c r="K134" s="310">
        <v>2</v>
      </c>
      <c r="L134" s="58"/>
      <c r="M134" s="58"/>
      <c r="N134" s="58"/>
      <c r="O134" s="47">
        <f ca="1">IFERROR(IF($H134=Lists!$S$2,SUM('SEGUIMIENTO Y EVALUACIÓN'!J134:N134),IF('SEGUIMIENTO Y EVALUACIÓN'!$H134=Lists!$S$3,SUM('SEGUIMIENTO Y EVALUACIÓN'!K134:N134),IF('SEGUIMIENTO Y EVALUACIÓN'!$H134=Lists!$S$4,AVERAGE('SEGUIMIENTO Y EVALUACIÓN'!K134:N134),IF('SEGUIMIENTO Y EVALUACIÓN'!$H134=Lists!$S$5,OFFSET(J134,0,COUNTA(K134:N134)),IF($H134=Lists!$S$6,COUNTIF(K134:N134,"&lt;"&amp;FORMULACIÓN!Q134)/COUNT('SEGUIMIENTO Y EVALUACIÓN'!K134:N134),""))))),"")</f>
        <v>5</v>
      </c>
      <c r="P134" s="51" t="str">
        <f ca="1">IF($G134=Lists!$R$3,TEXT('SEGUIMIENTO Y EVALUACIÓN'!O134,"00,00%"),IF('SEGUIMIENTO Y EVALUACIÓN'!O134=0,0,TEXT('SEGUIMIENTO Y EVALUACIÓN'!O134,"##.###")))</f>
        <v>5</v>
      </c>
      <c r="Q134" s="209" t="str">
        <f>IF(FORMULACIÓN!R134&lt;&gt;"",FORMULACIÓN!R134,"")</f>
        <v>P1 - Cultura ciudadana, equidad y convivencia</v>
      </c>
      <c r="R134" s="209">
        <f>IF(FORMULACIÓN!S134&lt;&gt;"",FORMULACIÓN!S134,"")</f>
        <v>0.04</v>
      </c>
      <c r="S134" s="209" t="str">
        <f>IF(FORMULACIÓN!T134&lt;&gt;"",FORMULACIÓN!T134,"")</f>
        <v>Vicerrector de Bienestar Universitario</v>
      </c>
      <c r="T134" s="42"/>
      <c r="U134" s="42"/>
      <c r="V134" s="42"/>
      <c r="W134" s="43" t="str">
        <f t="shared" si="9"/>
        <v/>
      </c>
      <c r="X134" s="42"/>
      <c r="Y134" s="42"/>
      <c r="Z134" s="42"/>
      <c r="AA134" s="43" t="str">
        <f t="shared" si="10"/>
        <v/>
      </c>
      <c r="AB134" s="42"/>
      <c r="AC134" s="42"/>
      <c r="AD134" s="42"/>
      <c r="AE134" s="43" t="str">
        <f t="shared" si="11"/>
        <v/>
      </c>
      <c r="AF134" s="42"/>
      <c r="AG134" s="42"/>
      <c r="AH134" s="42"/>
      <c r="AI134" s="46" t="str">
        <f t="shared" si="12"/>
        <v/>
      </c>
      <c r="AJ134" s="46" t="str">
        <f>IF(SUM(AA134,AE134,W134,AI134)=0,"",SUM((AA134,AE134,W134,AI134)))</f>
        <v/>
      </c>
      <c r="AK134"/>
      <c r="AL134" s="1" t="str">
        <f t="shared" si="16"/>
        <v>L4M2P1</v>
      </c>
      <c r="AM134" s="56" t="str">
        <f t="shared" si="17"/>
        <v>Estructuras de diálogo y resolución pacífica de conflictos empleadas en la UA  para mejorar  espacios de convivencia  y paz</v>
      </c>
      <c r="AN134" s="112" t="str">
        <f ca="1">IF($G134=Lists!$R$3,"T1: "&amp;TEXT(FORMULACIÓN!L134,"00,00%")&amp;CHAR(10)&amp;"T2: "&amp;TEXT(FORMULACIÓN!M134,"00,00%")&amp;CHAR(10)&amp;"T3: "&amp;TEXT(FORMULACIÓN!N134,"00,00%")&amp;CHAR(10)&amp;"Tn: "&amp;TEXT(FORMULACIÓN!O134,"00,00%"),IF(FORMULACIÓN!Q134=0,0,"T1: "&amp;TEXT(FORMULACIÓN!L134,"##.###")&amp;CHAR(10)&amp;"T2: "&amp;TEXT(FORMULACIÓN!M134,"##.###")&amp;CHAR(10)&amp;"T3: "&amp;TEXT(FORMULACIÓN!N134,"##.###")&amp;CHAR(10)&amp;"Tn: "&amp;TEXT(FORMULACIÓN!O134,"##.###")))</f>
        <v xml:space="preserve">T1: 1
T2: 1
T3: 2
Tn: </v>
      </c>
      <c r="AO134" s="117">
        <f>IFERROR(IF($H134=Lists!$S$6,IF(AND(FORMULACIÓN!L134&gt;K134,K134&gt;0),1,0),IF((K134/FORMULACIÓN!L134)&lt;&gt;0,K134/FORMULACIÓN!L134,0)),"")</f>
        <v>2</v>
      </c>
      <c r="AP134" s="117">
        <f>IFERROR(IF($H134=Lists!$S$6,IF(AND(FORMULACIÓN!M134&gt;L134,L134&gt;0),1,0),IF((L134/FORMULACIÓN!M134)&lt;&gt;0,L134/FORMULACIÓN!M134,0)),"")</f>
        <v>0</v>
      </c>
      <c r="AQ134" s="117">
        <f>IFERROR(IF($H134=Lists!$S$6,IF(AND(FORMULACIÓN!N134&gt;M134,M134&gt;0),1,0),IF((M134/FORMULACIÓN!N134)&lt;&gt;0,M134/FORMULACIÓN!N134,0)),"")</f>
        <v>0</v>
      </c>
      <c r="AR134" s="117" t="str">
        <f>IFERROR(IF($H134=Lists!$S$6,IF(AND(FORMULACIÓN!O134&gt;N134,N134&gt;0),1,0),IF((N134/FORMULACIÓN!O134)&lt;&gt;0,N134/FORMULACIÓN!O134,0)),"")</f>
        <v/>
      </c>
      <c r="AS134" s="110"/>
      <c r="AT134" s="118" t="str">
        <f ca="1">IF($H134=Lists!$S$6,TEXT(COUNTIF('SEGUIMIENTO Y EVALUACIÓN'!K134:N134,"&lt;"&amp;FORMULACIÓN!Q134),"##.###")&amp;" / "&amp;TEXT(COUNTIF('SEGUIMIENTO Y EVALUACIÓN'!K134:N134,"&gt;"&amp;0),"##.###"),IF($G134=Lists!$R$3,TEXT('SEGUIMIENTO Y EVALUACIÓN'!O134,"00,00%")&amp;" / "&amp;TEXT(FORMULACIÓN!P134,"00,00%"),IF('SEGUIMIENTO Y EVALUACIÓN'!O134=0,0,TEXT('SEGUIMIENTO Y EVALUACIÓN'!O134,"##.###")&amp;" / "&amp;TEXT(FORMULACIÓN!P134,"##.###"))))</f>
        <v>5 / 7</v>
      </c>
      <c r="AU134" s="57">
        <f ca="1">IFERROR(IF((P134/FORMULACIÓN!Q134)&lt;&gt;0,IF($H134=Lists!$S$6,COUNTIF('SEGUIMIENTO Y EVALUACIÓN'!K134:N134,"&lt;"&amp;FORMULACIÓN!Q134),'SEGUIMIENTO Y EVALUACIÓN'!P134)/IF($H134=Lists!$S$6,COUNTIF('SEGUIMIENTO Y EVALUACIÓN'!K134:N134,"&gt;"&amp;0),FORMULACIÓN!P134),0),0)</f>
        <v>0.7142857142857143</v>
      </c>
      <c r="AV134" s="93">
        <f t="shared" ca="1" si="15"/>
        <v>2.8571428571428574E-2</v>
      </c>
      <c r="AW134" s="93" cm="1">
        <f t="array" ref="AW134">IF(INDEX(AO134:AU134,1,$AV$3)&gt;1,IF($AU$2=1,1,INDEX(AO134:AU134,1,$AV$3)),INDEX(AO134:AU134,1,$AV$3))</f>
        <v>1</v>
      </c>
      <c r="AX134"/>
      <c r="AY134" s="119" t="str">
        <f>IFERROR(IF((W134/FORMULACIÓN!X134)&lt;&gt;0,W134/FORMULACIÓN!X134,0),"")</f>
        <v/>
      </c>
      <c r="AZ134" s="119" t="str">
        <f>IFERROR(IF((AA134/FORMULACIÓN!AB134)&lt;&gt;0,AA134/FORMULACIÓN!AB134,0),"")</f>
        <v/>
      </c>
      <c r="BA134" s="119" t="str">
        <f>IFERROR(IF((AE134/FORMULACIÓN!AF134)&lt;&gt;0,(AE134/FORMULACIÓN!AF134),0),"")</f>
        <v/>
      </c>
      <c r="BB134" s="119" t="str">
        <f>IFERROR(IF((AI134/FORMULACIÓN!AJ134)&lt;&gt;0,AI134/FORMULACIÓN!AJ134,0),"")</f>
        <v/>
      </c>
      <c r="BC134" s="120" t="str">
        <f>IF('SEGUIMIENTO Y EVALUACIÓN'!AI134=0,0,TEXT('SEGUIMIENTO Y EVALUACIÓN'!AI134,"$ ##.###")&amp;" / "&amp;TEXT(FORMULACIÓN!AK134,"$ ##.###"))</f>
        <v xml:space="preserve"> / $ 1.774.894.585</v>
      </c>
      <c r="BD134" s="57">
        <f>IFERROR(IF((AJ134/FORMULACIÓN!AK134)&lt;&gt;0,AJ134/FORMULACIÓN!AK134,0),0)</f>
        <v>0</v>
      </c>
      <c r="CL134" s="7"/>
    </row>
    <row r="135" spans="1:90" s="1" customFormat="1" ht="99.95" customHeight="1">
      <c r="A135" s="45">
        <f>IF(FORMULACIÓN!A135="","",FORMULACIÓN!A135)</f>
        <v>124</v>
      </c>
      <c r="B135" s="45" t="str">
        <f>IF(FORMULACIÓN!B135="","",FORMULACIÓN!B135)</f>
        <v>L4 - Bienestar Universitario, Salud mental positiva, Inclusión y Democracia.</v>
      </c>
      <c r="C135" s="45" t="str">
        <f>IF(FORMULACIÓN!E135="","",FORMULACIÓN!E135)</f>
        <v>M2 - Cultura ciudadana, cultura política, equidad de género e inclusión</v>
      </c>
      <c r="D135" s="45" t="str">
        <f>IF(FORMULACIÓN!F135="","",FORMULACIÓN!F135)</f>
        <v>Estimular el desarrollo de las relaciones constructivas entre los miembros de la comunidad universitaria con base en la difusión y práctica de valores de respeto a la dignidad humana y a la diversidad, alcanzando un incremento del 6% en los resultados de percepción de cultura ciudadana, 7 estructuras de diálogo y resolución de conflictos y la Política de Género.</v>
      </c>
      <c r="E135" s="45" t="str">
        <f>IF(FORMULACIÓN!G135="","",FORMULACIÓN!G135)</f>
        <v>Diseño y construcción de una Política de Género en la Universidad del Atlántico que reconozca los espacios de reparación desde lo colectivo hacia las mujeres, hombres y/o persona no binaria que hayan sido víctimas de acoso en cualquiera de sus formas</v>
      </c>
      <c r="F135" s="45" t="str">
        <f>IF(FORMULACIÓN!H135="","",FORMULACIÓN!H135)</f>
        <v>Política de género construida</v>
      </c>
      <c r="G135" s="45" t="str">
        <f>IF(FORMULACIÓN!I135="","",FORMULACIÓN!I135)</f>
        <v>Unidad</v>
      </c>
      <c r="H135" s="45" t="str">
        <f>IF(FORMULACIÓN!J135="","",FORMULACIÓN!J135)</f>
        <v>Nuevo gestionado durante la vigencia</v>
      </c>
      <c r="I135" s="188" t="str">
        <f ca="1">IF($G135=Lists!$R$3,"PDI: "&amp;TEXT(FORMULACIÓN!Q135,"00,00%")&amp;CHAR(10)&amp;CHAR(10)&amp;"T1: "&amp;TEXT(FORMULACIÓN!L135,"00,00%")&amp;CHAR(10)&amp;"T2: "&amp;TEXT(FORMULACIÓN!M135,"00,00%")&amp;CHAR(10)&amp;"T3: "&amp;TEXT(FORMULACIÓN!N135,"00,00%")&amp;CHAR(10)&amp;"Tn: "&amp;TEXT(FORMULACIÓN!O135,"00,00%"),IF(FORMULACIÓN!Q135=0,0,"PDI: "&amp;TEXT(FORMULACIÓN!Q135,"##.###")&amp;CHAR(10)&amp;CHAR(10)&amp;"T1: "&amp;TEXT(FORMULACIÓN!L135,"##.###")&amp;CHAR(10)&amp;"T2: "&amp;TEXT(FORMULACIÓN!M135,"##.###")&amp;CHAR(10)&amp;"T3: "&amp;TEXT(FORMULACIÓN!N135,"##.###")&amp;CHAR(10)&amp;"Tn: "&amp;TEXT(FORMULACIÓN!O135,"##.###")))</f>
        <v xml:space="preserve">PDI: 1
T1: 1
T2: 
T3: 
Tn: </v>
      </c>
      <c r="J135" s="122">
        <f>IF(FORMULACIÓN!K135&lt;&gt;"",FORMULACIÓN!K135,"")</f>
        <v>0</v>
      </c>
      <c r="K135" s="310">
        <v>0</v>
      </c>
      <c r="L135" s="58"/>
      <c r="M135" s="58"/>
      <c r="N135" s="58"/>
      <c r="O135" s="47">
        <f ca="1">IFERROR(IF($H135=Lists!$S$2,SUM('SEGUIMIENTO Y EVALUACIÓN'!J135:N135),IF('SEGUIMIENTO Y EVALUACIÓN'!$H135=Lists!$S$3,SUM('SEGUIMIENTO Y EVALUACIÓN'!K135:N135),IF('SEGUIMIENTO Y EVALUACIÓN'!$H135=Lists!$S$4,AVERAGE('SEGUIMIENTO Y EVALUACIÓN'!K135:N135),IF('SEGUIMIENTO Y EVALUACIÓN'!$H135=Lists!$S$5,OFFSET(J135,0,COUNTA(K135:N135)),IF($H135=Lists!$S$6,COUNTIF(K135:N135,"&lt;"&amp;FORMULACIÓN!Q135)/COUNT('SEGUIMIENTO Y EVALUACIÓN'!K135:N135),""))))),"")</f>
        <v>0</v>
      </c>
      <c r="P135" s="51">
        <f ca="1">IF($G135=Lists!$R$3,TEXT('SEGUIMIENTO Y EVALUACIÓN'!O135,"00,00%"),IF('SEGUIMIENTO Y EVALUACIÓN'!O135=0,0,TEXT('SEGUIMIENTO Y EVALUACIÓN'!O135,"##.###")))</f>
        <v>0</v>
      </c>
      <c r="Q135" s="209" t="str">
        <f>IF(FORMULACIÓN!R135&lt;&gt;"",FORMULACIÓN!R135,"")</f>
        <v>P1 - Cultura ciudadana, equidad y convivencia</v>
      </c>
      <c r="R135" s="209">
        <f>IF(FORMULACIÓN!S135&lt;&gt;"",FORMULACIÓN!S135,"")</f>
        <v>0.04</v>
      </c>
      <c r="S135" s="209" t="str">
        <f>IF(FORMULACIÓN!T135&lt;&gt;"",FORMULACIÓN!T135,"")</f>
        <v>Vicerrector de Bienestar Universitario</v>
      </c>
      <c r="T135" s="42"/>
      <c r="U135" s="42"/>
      <c r="V135" s="42"/>
      <c r="W135" s="43" t="str">
        <f t="shared" si="9"/>
        <v/>
      </c>
      <c r="X135" s="42"/>
      <c r="Y135" s="42"/>
      <c r="Z135" s="42"/>
      <c r="AA135" s="43" t="str">
        <f t="shared" si="10"/>
        <v/>
      </c>
      <c r="AB135" s="42"/>
      <c r="AC135" s="42"/>
      <c r="AD135" s="42"/>
      <c r="AE135" s="43" t="str">
        <f t="shared" si="11"/>
        <v/>
      </c>
      <c r="AF135" s="42"/>
      <c r="AG135" s="42"/>
      <c r="AH135" s="42"/>
      <c r="AI135" s="46" t="str">
        <f t="shared" si="12"/>
        <v/>
      </c>
      <c r="AJ135" s="46" t="str">
        <f>IF(SUM(AA135,AE135,W135,AI135)=0,"",SUM((AA135,AE135,W135,AI135)))</f>
        <v/>
      </c>
      <c r="AK135"/>
      <c r="AL135" s="1" t="str">
        <f t="shared" si="16"/>
        <v>L4M2P1</v>
      </c>
      <c r="AM135" s="56" t="str">
        <f t="shared" si="17"/>
        <v>Diseño y construcción de una Política de Género en la Universidad del Atlántico que reconozca los espacios de reparación desde lo colectivo hacia las mujeres, hombres y/o persona no binaria que hayan sido víctimas de acoso en cualquiera de sus formas</v>
      </c>
      <c r="AN135" s="112" t="str">
        <f ca="1">IF($G135=Lists!$R$3,"T1: "&amp;TEXT(FORMULACIÓN!L135,"00,00%")&amp;CHAR(10)&amp;"T2: "&amp;TEXT(FORMULACIÓN!M135,"00,00%")&amp;CHAR(10)&amp;"T3: "&amp;TEXT(FORMULACIÓN!N135,"00,00%")&amp;CHAR(10)&amp;"Tn: "&amp;TEXT(FORMULACIÓN!O135,"00,00%"),IF(FORMULACIÓN!Q135=0,0,"T1: "&amp;TEXT(FORMULACIÓN!L135,"##.###")&amp;CHAR(10)&amp;"T2: "&amp;TEXT(FORMULACIÓN!M135,"##.###")&amp;CHAR(10)&amp;"T3: "&amp;TEXT(FORMULACIÓN!N135,"##.###")&amp;CHAR(10)&amp;"Tn: "&amp;TEXT(FORMULACIÓN!O135,"##.###")))</f>
        <v xml:space="preserve">T1: 1
T2: 
T3: 
Tn: </v>
      </c>
      <c r="AO135" s="117">
        <f>IFERROR(IF($H135=Lists!$S$6,IF(AND(FORMULACIÓN!L135&gt;K135,K135&gt;0),1,0),IF((K135/FORMULACIÓN!L135)&lt;&gt;0,K135/FORMULACIÓN!L135,0)),"")</f>
        <v>0</v>
      </c>
      <c r="AP135" s="117" t="str">
        <f>IFERROR(IF($H135=Lists!$S$6,IF(AND(FORMULACIÓN!M135&gt;L135,L135&gt;0),1,0),IF((L135/FORMULACIÓN!M135)&lt;&gt;0,L135/FORMULACIÓN!M135,0)),"")</f>
        <v/>
      </c>
      <c r="AQ135" s="117" t="str">
        <f>IFERROR(IF($H135=Lists!$S$6,IF(AND(FORMULACIÓN!N135&gt;M135,M135&gt;0),1,0),IF((M135/FORMULACIÓN!N135)&lt;&gt;0,M135/FORMULACIÓN!N135,0)),"")</f>
        <v/>
      </c>
      <c r="AR135" s="117" t="str">
        <f>IFERROR(IF($H135=Lists!$S$6,IF(AND(FORMULACIÓN!O135&gt;N135,N135&gt;0),1,0),IF((N135/FORMULACIÓN!O135)&lt;&gt;0,N135/FORMULACIÓN!O135,0)),"")</f>
        <v/>
      </c>
      <c r="AS135" s="110"/>
      <c r="AT135" s="118">
        <f ca="1">IF($H135=Lists!$S$6,TEXT(COUNTIF('SEGUIMIENTO Y EVALUACIÓN'!K135:N135,"&lt;"&amp;FORMULACIÓN!Q135),"##.###")&amp;" / "&amp;TEXT(COUNTIF('SEGUIMIENTO Y EVALUACIÓN'!K135:N135,"&gt;"&amp;0),"##.###"),IF($G135=Lists!$R$3,TEXT('SEGUIMIENTO Y EVALUACIÓN'!O135,"00,00%")&amp;" / "&amp;TEXT(FORMULACIÓN!P135,"00,00%"),IF('SEGUIMIENTO Y EVALUACIÓN'!O135=0,0,TEXT('SEGUIMIENTO Y EVALUACIÓN'!O135,"##.###")&amp;" / "&amp;TEXT(FORMULACIÓN!P135,"##.###"))))</f>
        <v>0</v>
      </c>
      <c r="AU135" s="57">
        <f ca="1">IFERROR(IF((P135/FORMULACIÓN!Q135)&lt;&gt;0,IF($H135=Lists!$S$6,COUNTIF('SEGUIMIENTO Y EVALUACIÓN'!K135:N135,"&lt;"&amp;FORMULACIÓN!Q135),'SEGUIMIENTO Y EVALUACIÓN'!P135)/IF($H135=Lists!$S$6,COUNTIF('SEGUIMIENTO Y EVALUACIÓN'!K135:N135,"&gt;"&amp;0),FORMULACIÓN!P135),0),0)</f>
        <v>0</v>
      </c>
      <c r="AV135" s="93">
        <f t="shared" ca="1" si="15"/>
        <v>0</v>
      </c>
      <c r="AW135" s="93" cm="1">
        <f t="array" ref="AW135">IF(INDEX(AO135:AU135,1,$AV$3)&gt;1,IF($AU$2=1,1,INDEX(AO135:AU135,1,$AV$3)),INDEX(AO135:AU135,1,$AV$3))</f>
        <v>0</v>
      </c>
      <c r="AX135"/>
      <c r="AY135" s="119" t="str">
        <f>IFERROR(IF((W135/FORMULACIÓN!X135)&lt;&gt;0,W135/FORMULACIÓN!X135,0),"")</f>
        <v/>
      </c>
      <c r="AZ135" s="119" t="str">
        <f>IFERROR(IF((AA135/FORMULACIÓN!AB135)&lt;&gt;0,AA135/FORMULACIÓN!AB135,0),"")</f>
        <v/>
      </c>
      <c r="BA135" s="119" t="str">
        <f>IFERROR(IF((AE135/FORMULACIÓN!AF135)&lt;&gt;0,(AE135/FORMULACIÓN!AF135),0),"")</f>
        <v/>
      </c>
      <c r="BB135" s="119" t="str">
        <f>IFERROR(IF((AI135/FORMULACIÓN!AJ135)&lt;&gt;0,AI135/FORMULACIÓN!AJ135,0),"")</f>
        <v/>
      </c>
      <c r="BC135" s="120" t="str">
        <f>IF('SEGUIMIENTO Y EVALUACIÓN'!AI135=0,0,TEXT('SEGUIMIENTO Y EVALUACIÓN'!AI135,"$ ##.###")&amp;" / "&amp;TEXT(FORMULACIÓN!AK135,"$ ##.###"))</f>
        <v xml:space="preserve"> / $ 1.774.894.585</v>
      </c>
      <c r="BD135" s="57">
        <f>IFERROR(IF((AJ135/FORMULACIÓN!AK135)&lt;&gt;0,AJ135/FORMULACIÓN!AK135,0),0)</f>
        <v>0</v>
      </c>
      <c r="CL135" s="7"/>
    </row>
    <row r="136" spans="1:90" s="1" customFormat="1" ht="99.95" customHeight="1">
      <c r="A136" s="45">
        <f>IF(FORMULACIÓN!A136="","",FORMULACIÓN!A136)</f>
        <v>125</v>
      </c>
      <c r="B136" s="45" t="str">
        <f>IF(FORMULACIÓN!B136="","",FORMULACIÓN!B136)</f>
        <v>L4 - Bienestar Universitario, Salud mental positiva, Inclusión y Democracia.</v>
      </c>
      <c r="C136" s="45" t="str">
        <f>IF(FORMULACIÓN!E136="","",FORMULACIÓN!E136)</f>
        <v>M2 - Cultura ciudadana, cultura política, equidad de género e inclusión</v>
      </c>
      <c r="D136" s="45" t="str">
        <f>IF(FORMULACIÓN!F136="","",FORMULACIÓN!F136)</f>
        <v>Institucionalizar el proyecto "Diálogos de Desarrollo Institucional” como escenario para pensar nuestra universidad con la participación de la comunidad universitaria, con un mínimo de 9 hojas de ruta derivadas del proyecto.</v>
      </c>
      <c r="E136" s="45" t="str">
        <f>IF(FORMULACIÓN!G136="","",FORMULACIÓN!G136)</f>
        <v>Implementación del proyecto "Diálogo de Desarrollo Institucional" (resultado de participación por tópico tratado, conclusiones, hojas de ruta o planes de acción sugeridos)</v>
      </c>
      <c r="F136" s="45" t="str">
        <f>IF(FORMULACIÓN!H136="","",FORMULACIÓN!H136)</f>
        <v>N° de hojas de ruta generadas a partir de los espacios de diálogo desarrollados</v>
      </c>
      <c r="G136" s="45" t="str">
        <f>IF(FORMULACIÓN!I136="","",FORMULACIÓN!I136)</f>
        <v>Unidad</v>
      </c>
      <c r="H136" s="45" t="str">
        <f>IF(FORMULACIÓN!J136="","",FORMULACIÓN!J136)</f>
        <v>Acumulado</v>
      </c>
      <c r="I136" s="188" t="str">
        <f ca="1">IF($G136=Lists!$R$3,"PDI: "&amp;TEXT(FORMULACIÓN!Q136,"00,00%")&amp;CHAR(10)&amp;CHAR(10)&amp;"T1: "&amp;TEXT(FORMULACIÓN!L136,"00,00%")&amp;CHAR(10)&amp;"T2: "&amp;TEXT(FORMULACIÓN!M136,"00,00%")&amp;CHAR(10)&amp;"T3: "&amp;TEXT(FORMULACIÓN!N136,"00,00%")&amp;CHAR(10)&amp;"Tn: "&amp;TEXT(FORMULACIÓN!O136,"00,00%"),IF(FORMULACIÓN!Q136=0,0,"PDI: "&amp;TEXT(FORMULACIÓN!Q136,"##.###")&amp;CHAR(10)&amp;CHAR(10)&amp;"T1: "&amp;TEXT(FORMULACIÓN!L136,"##.###")&amp;CHAR(10)&amp;"T2: "&amp;TEXT(FORMULACIÓN!M136,"##.###")&amp;CHAR(10)&amp;"T3: "&amp;TEXT(FORMULACIÓN!N136,"##.###")&amp;CHAR(10)&amp;"Tn: "&amp;TEXT(FORMULACIÓN!O136,"##.###")))</f>
        <v>PDI: 9
T1: 2
T2: 3
T3: 3
Tn: 1</v>
      </c>
      <c r="J136" s="122">
        <f>IF(FORMULACIÓN!K136&lt;&gt;"",FORMULACIÓN!K136,"")</f>
        <v>0</v>
      </c>
      <c r="K136" s="310">
        <v>13</v>
      </c>
      <c r="L136" s="58"/>
      <c r="M136" s="58"/>
      <c r="N136" s="58"/>
      <c r="O136" s="47">
        <f ca="1">IFERROR(IF($H136=Lists!$S$2,SUM('SEGUIMIENTO Y EVALUACIÓN'!J136:N136),IF('SEGUIMIENTO Y EVALUACIÓN'!$H136=Lists!$S$3,SUM('SEGUIMIENTO Y EVALUACIÓN'!K136:N136),IF('SEGUIMIENTO Y EVALUACIÓN'!$H136=Lists!$S$4,AVERAGE('SEGUIMIENTO Y EVALUACIÓN'!K136:N136),IF('SEGUIMIENTO Y EVALUACIÓN'!$H136=Lists!$S$5,OFFSET(J136,0,COUNTA(K136:N136)),IF($H136=Lists!$S$6,COUNTIF(K136:N136,"&lt;"&amp;FORMULACIÓN!Q136)/COUNT('SEGUIMIENTO Y EVALUACIÓN'!K136:N136),""))))),"")</f>
        <v>13</v>
      </c>
      <c r="P136" s="51" t="str">
        <f ca="1">IF($G136=Lists!$R$3,TEXT('SEGUIMIENTO Y EVALUACIÓN'!O136,"00,00%"),IF('SEGUIMIENTO Y EVALUACIÓN'!O136=0,0,TEXT('SEGUIMIENTO Y EVALUACIÓN'!O136,"##.###")))</f>
        <v>13</v>
      </c>
      <c r="Q136" s="209" t="str">
        <f>IF(FORMULACIÓN!R136&lt;&gt;"",FORMULACIÓN!R136,"")</f>
        <v>P1 - Cultura ciudadana, equidad y convivencia</v>
      </c>
      <c r="R136" s="209">
        <f>IF(FORMULACIÓN!S136&lt;&gt;"",FORMULACIÓN!S136,"")</f>
        <v>0.04</v>
      </c>
      <c r="S136" s="209" t="str">
        <f>IF(FORMULACIÓN!T136&lt;&gt;"",FORMULACIÓN!T136,"")</f>
        <v>Vicerrector de Bienestar Universitario</v>
      </c>
      <c r="T136" s="42"/>
      <c r="U136" s="42"/>
      <c r="V136" s="42"/>
      <c r="W136" s="43" t="str">
        <f t="shared" si="9"/>
        <v/>
      </c>
      <c r="X136" s="42"/>
      <c r="Y136" s="42"/>
      <c r="Z136" s="42"/>
      <c r="AA136" s="43" t="str">
        <f t="shared" si="10"/>
        <v/>
      </c>
      <c r="AB136" s="42"/>
      <c r="AC136" s="42"/>
      <c r="AD136" s="42"/>
      <c r="AE136" s="43" t="str">
        <f t="shared" si="11"/>
        <v/>
      </c>
      <c r="AF136" s="42"/>
      <c r="AG136" s="42"/>
      <c r="AH136" s="42"/>
      <c r="AI136" s="46" t="str">
        <f t="shared" si="12"/>
        <v/>
      </c>
      <c r="AJ136" s="46" t="str">
        <f>IF(SUM(AA136,AE136,W136,AI136)=0,"",SUM((AA136,AE136,W136,AI136)))</f>
        <v/>
      </c>
      <c r="AK136"/>
      <c r="AL136" s="1" t="str">
        <f t="shared" si="16"/>
        <v>L4M2P1</v>
      </c>
      <c r="AM136" s="56" t="str">
        <f t="shared" si="17"/>
        <v>Implementación del proyecto "Diálogo de Desarrollo Institucional" (resultado de participación por tópico tratado, conclusiones, hojas de ruta o planes de acción sugeridos)</v>
      </c>
      <c r="AN136" s="112" t="str">
        <f ca="1">IF($G136=Lists!$R$3,"T1: "&amp;TEXT(FORMULACIÓN!L136,"00,00%")&amp;CHAR(10)&amp;"T2: "&amp;TEXT(FORMULACIÓN!M136,"00,00%")&amp;CHAR(10)&amp;"T3: "&amp;TEXT(FORMULACIÓN!N136,"00,00%")&amp;CHAR(10)&amp;"Tn: "&amp;TEXT(FORMULACIÓN!O136,"00,00%"),IF(FORMULACIÓN!Q136=0,0,"T1: "&amp;TEXT(FORMULACIÓN!L136,"##.###")&amp;CHAR(10)&amp;"T2: "&amp;TEXT(FORMULACIÓN!M136,"##.###")&amp;CHAR(10)&amp;"T3: "&amp;TEXT(FORMULACIÓN!N136,"##.###")&amp;CHAR(10)&amp;"Tn: "&amp;TEXT(FORMULACIÓN!O136,"##.###")))</f>
        <v>T1: 2
T2: 3
T3: 3
Tn: 1</v>
      </c>
      <c r="AO136" s="117">
        <f>IFERROR(IF($H136=Lists!$S$6,IF(AND(FORMULACIÓN!L136&gt;K136,K136&gt;0),1,0),IF((K136/FORMULACIÓN!L136)&lt;&gt;0,K136/FORMULACIÓN!L136,0)),"")</f>
        <v>6.5</v>
      </c>
      <c r="AP136" s="117">
        <f>IFERROR(IF($H136=Lists!$S$6,IF(AND(FORMULACIÓN!M136&gt;L136,L136&gt;0),1,0),IF((L136/FORMULACIÓN!M136)&lt;&gt;0,L136/FORMULACIÓN!M136,0)),"")</f>
        <v>0</v>
      </c>
      <c r="AQ136" s="117">
        <f>IFERROR(IF($H136=Lists!$S$6,IF(AND(FORMULACIÓN!N136&gt;M136,M136&gt;0),1,0),IF((M136/FORMULACIÓN!N136)&lt;&gt;0,M136/FORMULACIÓN!N136,0)),"")</f>
        <v>0</v>
      </c>
      <c r="AR136" s="117">
        <f>IFERROR(IF($H136=Lists!$S$6,IF(AND(FORMULACIÓN!O136&gt;N136,N136&gt;0),1,0),IF((N136/FORMULACIÓN!O136)&lt;&gt;0,N136/FORMULACIÓN!O136,0)),"")</f>
        <v>0</v>
      </c>
      <c r="AS136" s="110"/>
      <c r="AT136" s="118" t="str">
        <f ca="1">IF($H136=Lists!$S$6,TEXT(COUNTIF('SEGUIMIENTO Y EVALUACIÓN'!K136:N136,"&lt;"&amp;FORMULACIÓN!Q136),"##.###")&amp;" / "&amp;TEXT(COUNTIF('SEGUIMIENTO Y EVALUACIÓN'!K136:N136,"&gt;"&amp;0),"##.###"),IF($G136=Lists!$R$3,TEXT('SEGUIMIENTO Y EVALUACIÓN'!O136,"00,00%")&amp;" / "&amp;TEXT(FORMULACIÓN!P136,"00,00%"),IF('SEGUIMIENTO Y EVALUACIÓN'!O136=0,0,TEXT('SEGUIMIENTO Y EVALUACIÓN'!O136,"##.###")&amp;" / "&amp;TEXT(FORMULACIÓN!P136,"##.###"))))</f>
        <v>13 / 9</v>
      </c>
      <c r="AU136" s="57">
        <f ca="1">IFERROR(IF((P136/FORMULACIÓN!Q136)&lt;&gt;0,IF($H136=Lists!$S$6,COUNTIF('SEGUIMIENTO Y EVALUACIÓN'!K136:N136,"&lt;"&amp;FORMULACIÓN!Q136),'SEGUIMIENTO Y EVALUACIÓN'!P136)/IF($H136=Lists!$S$6,COUNTIF('SEGUIMIENTO Y EVALUACIÓN'!K136:N136,"&gt;"&amp;0),FORMULACIÓN!P136),0),0)</f>
        <v>1.4444444444444444</v>
      </c>
      <c r="AV136" s="93">
        <f t="shared" ca="1" si="15"/>
        <v>0.04</v>
      </c>
      <c r="AW136" s="93" cm="1">
        <f t="array" ref="AW136">IF(INDEX(AO136:AU136,1,$AV$3)&gt;1,IF($AU$2=1,1,INDEX(AO136:AU136,1,$AV$3)),INDEX(AO136:AU136,1,$AV$3))</f>
        <v>1</v>
      </c>
      <c r="AX136"/>
      <c r="AY136" s="119" t="str">
        <f>IFERROR(IF((W136/FORMULACIÓN!X136)&lt;&gt;0,W136/FORMULACIÓN!X136,0),"")</f>
        <v/>
      </c>
      <c r="AZ136" s="119" t="str">
        <f>IFERROR(IF((AA136/FORMULACIÓN!AB136)&lt;&gt;0,AA136/FORMULACIÓN!AB136,0),"")</f>
        <v/>
      </c>
      <c r="BA136" s="119" t="str">
        <f>IFERROR(IF((AE136/FORMULACIÓN!AF136)&lt;&gt;0,(AE136/FORMULACIÓN!AF136),0),"")</f>
        <v/>
      </c>
      <c r="BB136" s="119" t="str">
        <f>IFERROR(IF((AI136/FORMULACIÓN!AJ136)&lt;&gt;0,AI136/FORMULACIÓN!AJ136,0),"")</f>
        <v/>
      </c>
      <c r="BC136" s="120" t="str">
        <f>IF('SEGUIMIENTO Y EVALUACIÓN'!AI136=0,0,TEXT('SEGUIMIENTO Y EVALUACIÓN'!AI136,"$ ##.###")&amp;" / "&amp;TEXT(FORMULACIÓN!AK136,"$ ##.###"))</f>
        <v xml:space="preserve"> / $ 1.774.894.585</v>
      </c>
      <c r="BD136" s="57">
        <f>IFERROR(IF((AJ136/FORMULACIÓN!AK136)&lt;&gt;0,AJ136/FORMULACIÓN!AK136,0),0)</f>
        <v>0</v>
      </c>
      <c r="CL136" s="7"/>
    </row>
    <row r="137" spans="1:90" s="1" customFormat="1" ht="99.95" customHeight="1">
      <c r="A137" s="45">
        <f>IF(FORMULACIÓN!A137="","",FORMULACIÓN!A137)</f>
        <v>126</v>
      </c>
      <c r="B137" s="45" t="str">
        <f>IF(FORMULACIÓN!B137="","",FORMULACIÓN!B137)</f>
        <v>L4 - Bienestar Universitario, Salud mental positiva, Inclusión y Democracia.</v>
      </c>
      <c r="C137" s="45" t="str">
        <f>IF(FORMULACIÓN!E137="","",FORMULACIÓN!E137)</f>
        <v>M2 - Cultura ciudadana, cultura política, equidad de género e inclusión</v>
      </c>
      <c r="D137" s="45" t="str">
        <f>IF(FORMULACIÓN!F137="","",FORMULACIÓN!F137)</f>
        <v>Visibilizar los procesos institucionales a nivel local y regional, fortaleciendo de la participación en temas de Cultura Ciudadana y Derechos Humanos a través del proyecto “Espacios Audiovisuales”.</v>
      </c>
      <c r="E137" s="45" t="str">
        <f>IF(FORMULACIÓN!G137="","",FORMULACIÓN!G137)</f>
        <v>Proyecto “Espacios Audiovisuales” en convenio con medios de comunicación para visibilizar los procesos institucionales y fortalecer la participación en temas de cultura ciudadana y derechos humanos, con el acompañamiento del área de comunicaciones</v>
      </c>
      <c r="F137" s="45" t="str">
        <f>IF(FORMULACIÓN!H137="","",FORMULACIÓN!H137)</f>
        <v>% de avance de las etapas del proyecto de Espacios Audiovisuales (Diseño y creación; Documentación; Socialización y puesta en marcha)</v>
      </c>
      <c r="G137" s="45" t="str">
        <f>IF(FORMULACIÓN!I137="","",FORMULACIÓN!I137)</f>
        <v>Porcentaje</v>
      </c>
      <c r="H137" s="45" t="str">
        <f>IF(FORMULACIÓN!J137="","",FORMULACIÓN!J137)</f>
        <v>Acumulado</v>
      </c>
      <c r="I137" s="188" t="str">
        <f ca="1">IF($G137=Lists!$R$3,"PDI: "&amp;TEXT(FORMULACIÓN!Q137,"00,00%")&amp;CHAR(10)&amp;CHAR(10)&amp;"T1: "&amp;TEXT(FORMULACIÓN!L137,"00,00%")&amp;CHAR(10)&amp;"T2: "&amp;TEXT(FORMULACIÓN!M137,"00,00%")&amp;CHAR(10)&amp;"T3: "&amp;TEXT(FORMULACIÓN!N137,"00,00%")&amp;CHAR(10)&amp;"Tn: "&amp;TEXT(FORMULACIÓN!O137,"00,00%"),IF(FORMULACIÓN!Q137=0,0,"PDI: "&amp;TEXT(FORMULACIÓN!Q137,"##.###")&amp;CHAR(10)&amp;CHAR(10)&amp;"T1: "&amp;TEXT(FORMULACIÓN!L137,"##.###")&amp;CHAR(10)&amp;"T2: "&amp;TEXT(FORMULACIÓN!M137,"##.###")&amp;CHAR(10)&amp;"T3: "&amp;TEXT(FORMULACIÓN!N137,"##.###")&amp;CHAR(10)&amp;"Tn: "&amp;TEXT(FORMULACIÓN!O137,"##.###")))</f>
        <v>PDI: 100,00%
T1: 60,00%
T2: 20,00%
T3: 20,00%
Tn: 00,00%</v>
      </c>
      <c r="J137" s="122">
        <f>IF(FORMULACIÓN!K137&lt;&gt;"",FORMULACIÓN!K137,"")</f>
        <v>0</v>
      </c>
      <c r="K137" s="309">
        <v>1</v>
      </c>
      <c r="L137" s="58"/>
      <c r="M137" s="58"/>
      <c r="N137" s="58"/>
      <c r="O137" s="47">
        <f ca="1">IFERROR(IF($H137=Lists!$S$2,SUM('SEGUIMIENTO Y EVALUACIÓN'!J137:N137),IF('SEGUIMIENTO Y EVALUACIÓN'!$H137=Lists!$S$3,SUM('SEGUIMIENTO Y EVALUACIÓN'!K137:N137),IF('SEGUIMIENTO Y EVALUACIÓN'!$H137=Lists!$S$4,AVERAGE('SEGUIMIENTO Y EVALUACIÓN'!K137:N137),IF('SEGUIMIENTO Y EVALUACIÓN'!$H137=Lists!$S$5,OFFSET(J137,0,COUNTA(K137:N137)),IF($H137=Lists!$S$6,COUNTIF(K137:N137,"&lt;"&amp;FORMULACIÓN!Q137)/COUNT('SEGUIMIENTO Y EVALUACIÓN'!K137:N137),""))))),"")</f>
        <v>1</v>
      </c>
      <c r="P137" s="51" t="str">
        <f ca="1">IF($G137=Lists!$R$3,TEXT('SEGUIMIENTO Y EVALUACIÓN'!O137,"00,00%"),IF('SEGUIMIENTO Y EVALUACIÓN'!O137=0,0,TEXT('SEGUIMIENTO Y EVALUACIÓN'!O137,"##.###")))</f>
        <v>100,00%</v>
      </c>
      <c r="Q137" s="209" t="str">
        <f>IF(FORMULACIÓN!R137&lt;&gt;"",FORMULACIÓN!R137,"")</f>
        <v>P1 - Cultura ciudadana, equidad y convivencia</v>
      </c>
      <c r="R137" s="209">
        <f>IF(FORMULACIÓN!S137&lt;&gt;"",FORMULACIÓN!S137,"")</f>
        <v>0.04</v>
      </c>
      <c r="S137" s="209" t="str">
        <f>IF(FORMULACIÓN!T137&lt;&gt;"",FORMULACIÓN!T137,"")</f>
        <v>Vicerrector de Bienestar Universitario</v>
      </c>
      <c r="T137" s="42"/>
      <c r="U137" s="42"/>
      <c r="V137" s="42"/>
      <c r="W137" s="43" t="str">
        <f t="shared" si="9"/>
        <v/>
      </c>
      <c r="X137" s="42"/>
      <c r="Y137" s="42"/>
      <c r="Z137" s="42"/>
      <c r="AA137" s="43" t="str">
        <f t="shared" si="10"/>
        <v/>
      </c>
      <c r="AB137" s="42"/>
      <c r="AC137" s="42"/>
      <c r="AD137" s="42"/>
      <c r="AE137" s="43" t="str">
        <f t="shared" si="11"/>
        <v/>
      </c>
      <c r="AF137" s="42"/>
      <c r="AG137" s="42"/>
      <c r="AH137" s="42"/>
      <c r="AI137" s="46" t="str">
        <f t="shared" si="12"/>
        <v/>
      </c>
      <c r="AJ137" s="46" t="str">
        <f>IF(SUM(AA137,AE137,W137,AI137)=0,"",SUM((AA137,AE137,W137,AI137)))</f>
        <v/>
      </c>
      <c r="AK137"/>
      <c r="AL137" s="1" t="str">
        <f t="shared" si="16"/>
        <v>L4M2P1</v>
      </c>
      <c r="AM137" s="56" t="str">
        <f t="shared" si="17"/>
        <v>Proyecto “Espacios Audiovisuales” en convenio con medios de comunicación para visibilizar los procesos institucionales y fortalecer la participación en temas de cultura ciudadana y derechos humanos, con el acompañamiento del área de comunicaciones</v>
      </c>
      <c r="AN137" s="112" t="str">
        <f>IF($G137=Lists!$R$3,"T1: "&amp;TEXT(FORMULACIÓN!L137,"00,00%")&amp;CHAR(10)&amp;"T2: "&amp;TEXT(FORMULACIÓN!M137,"00,00%")&amp;CHAR(10)&amp;"T3: "&amp;TEXT(FORMULACIÓN!N137,"00,00%")&amp;CHAR(10)&amp;"Tn: "&amp;TEXT(FORMULACIÓN!O137,"00,00%"),IF(FORMULACIÓN!Q137=0,0,"T1: "&amp;TEXT(FORMULACIÓN!L137,"##.###")&amp;CHAR(10)&amp;"T2: "&amp;TEXT(FORMULACIÓN!M137,"##.###")&amp;CHAR(10)&amp;"T3: "&amp;TEXT(FORMULACIÓN!N137,"##.###")&amp;CHAR(10)&amp;"Tn: "&amp;TEXT(FORMULACIÓN!O137,"##.###")))</f>
        <v>T1: 60,00%
T2: 20,00%
T3: 20,00%
Tn: 00,00%</v>
      </c>
      <c r="AO137" s="117">
        <f>IFERROR(IF($H137=Lists!$S$6,IF(AND(FORMULACIÓN!L137&gt;K137,K137&gt;0),1,0),IF((K137/FORMULACIÓN!L137)&lt;&gt;0,K137/FORMULACIÓN!L137,0)),"")</f>
        <v>1.6666666666666667</v>
      </c>
      <c r="AP137" s="117">
        <f>IFERROR(IF($H137=Lists!$S$6,IF(AND(FORMULACIÓN!M137&gt;L137,L137&gt;0),1,0),IF((L137/FORMULACIÓN!M137)&lt;&gt;0,L137/FORMULACIÓN!M137,0)),"")</f>
        <v>0</v>
      </c>
      <c r="AQ137" s="117">
        <f>IFERROR(IF($H137=Lists!$S$6,IF(AND(FORMULACIÓN!N137&gt;M137,M137&gt;0),1,0),IF((M137/FORMULACIÓN!N137)&lt;&gt;0,M137/FORMULACIÓN!N137,0)),"")</f>
        <v>0</v>
      </c>
      <c r="AR137" s="117" t="str">
        <f>IFERROR(IF($H137=Lists!$S$6,IF(AND(FORMULACIÓN!O137&gt;N137,N137&gt;0),1,0),IF((N137/FORMULACIÓN!O137)&lt;&gt;0,N137/FORMULACIÓN!O137,0)),"")</f>
        <v/>
      </c>
      <c r="AS137" s="110"/>
      <c r="AT137" s="118" t="str">
        <f ca="1">IF($H137=Lists!$S$6,TEXT(COUNTIF('SEGUIMIENTO Y EVALUACIÓN'!K137:N137,"&lt;"&amp;FORMULACIÓN!Q137),"##.###")&amp;" / "&amp;TEXT(COUNTIF('SEGUIMIENTO Y EVALUACIÓN'!K137:N137,"&gt;"&amp;0),"##.###"),IF($G137=Lists!$R$3,TEXT('SEGUIMIENTO Y EVALUACIÓN'!O137,"00,00%")&amp;" / "&amp;TEXT(FORMULACIÓN!P137,"00,00%"),IF('SEGUIMIENTO Y EVALUACIÓN'!O137=0,0,TEXT('SEGUIMIENTO Y EVALUACIÓN'!O137,"##.###")&amp;" / "&amp;TEXT(FORMULACIÓN!P137,"##.###"))))</f>
        <v>100,00% / 100,00%</v>
      </c>
      <c r="AU137" s="57">
        <f ca="1">IFERROR(IF((P137/FORMULACIÓN!Q137)&lt;&gt;0,IF($H137=Lists!$S$6,COUNTIF('SEGUIMIENTO Y EVALUACIÓN'!K137:N137,"&lt;"&amp;FORMULACIÓN!Q137),'SEGUIMIENTO Y EVALUACIÓN'!P137)/IF($H137=Lists!$S$6,COUNTIF('SEGUIMIENTO Y EVALUACIÓN'!K137:N137,"&gt;"&amp;0),FORMULACIÓN!P137),0),0)</f>
        <v>1</v>
      </c>
      <c r="AV137" s="93">
        <f t="shared" ca="1" si="15"/>
        <v>0.04</v>
      </c>
      <c r="AW137" s="93" cm="1">
        <f t="array" ref="AW137">IF(INDEX(AO137:AU137,1,$AV$3)&gt;1,IF($AU$2=1,1,INDEX(AO137:AU137,1,$AV$3)),INDEX(AO137:AU137,1,$AV$3))</f>
        <v>1</v>
      </c>
      <c r="AX137"/>
      <c r="AY137" s="119" t="str">
        <f>IFERROR(IF((W137/FORMULACIÓN!X137)&lt;&gt;0,W137/FORMULACIÓN!X137,0),"")</f>
        <v/>
      </c>
      <c r="AZ137" s="119" t="str">
        <f>IFERROR(IF((AA137/FORMULACIÓN!AB137)&lt;&gt;0,AA137/FORMULACIÓN!AB137,0),"")</f>
        <v/>
      </c>
      <c r="BA137" s="119" t="str">
        <f>IFERROR(IF((AE137/FORMULACIÓN!AF137)&lt;&gt;0,(AE137/FORMULACIÓN!AF137),0),"")</f>
        <v/>
      </c>
      <c r="BB137" s="119" t="str">
        <f>IFERROR(IF((AI137/FORMULACIÓN!AJ137)&lt;&gt;0,AI137/FORMULACIÓN!AJ137,0),"")</f>
        <v/>
      </c>
      <c r="BC137" s="120" t="str">
        <f>IF('SEGUIMIENTO Y EVALUACIÓN'!AI137=0,0,TEXT('SEGUIMIENTO Y EVALUACIÓN'!AI137,"$ ##.###")&amp;" / "&amp;TEXT(FORMULACIÓN!AK137,"$ ##.###"))</f>
        <v xml:space="preserve"> / $ 1.774.894.585</v>
      </c>
      <c r="BD137" s="57">
        <f>IFERROR(IF((AJ137/FORMULACIÓN!AK137)&lt;&gt;0,AJ137/FORMULACIÓN!AK137,0),0)</f>
        <v>0</v>
      </c>
      <c r="CL137" s="7"/>
    </row>
    <row r="138" spans="1:90" s="1" customFormat="1" ht="99.95" customHeight="1">
      <c r="A138" s="45">
        <f>IF(FORMULACIÓN!A138="","",FORMULACIÓN!A138)</f>
        <v>127</v>
      </c>
      <c r="B138" s="45" t="str">
        <f>IF(FORMULACIÓN!B138="","",FORMULACIÓN!B138)</f>
        <v>L4 - Bienestar Universitario, Salud mental positiva, Inclusión y Democracia.</v>
      </c>
      <c r="C138" s="45" t="str">
        <f>IF(FORMULACIÓN!E138="","",FORMULACIÓN!E138)</f>
        <v>M3 - Salud mental positiva y Desarrollo humano integral</v>
      </c>
      <c r="D138" s="45" t="str">
        <f>IF(FORMULACIÓN!F138="","",FORMULACIÓN!F138)</f>
        <v>Fomentar el autocuidado y compromiso con la salud física y mental, en al menos el 50% de la comunidad universitaria.</v>
      </c>
      <c r="E138" s="45" t="str">
        <f>IF(FORMULACIÓN!G138="","",FORMULACIÓN!G138)</f>
        <v>Porcentaje de miembros de la comunidad universitaria con resultados superiores en la última encuesta aplicada de Estilo de vida Saludable (OMS</v>
      </c>
      <c r="F138" s="45" t="str">
        <f>IF(FORMULACIÓN!H138="","",FORMULACIÓN!H138)</f>
        <v xml:space="preserve">(N° de encuestados en estilo de vida saludable con calificación superior / Total de encuestados) * 100  </v>
      </c>
      <c r="G138" s="45" t="str">
        <f>IF(FORMULACIÓN!I138="","",FORMULACIÓN!I138)</f>
        <v>Porcentaje</v>
      </c>
      <c r="H138" s="45" t="str">
        <f>IF(FORMULACIÓN!J138="","",FORMULACIÓN!J138)</f>
        <v>Acumulado</v>
      </c>
      <c r="I138" s="188" t="str">
        <f ca="1">IF($G138=Lists!$R$3,"PDI: "&amp;TEXT(FORMULACIÓN!Q138,"00,00%")&amp;CHAR(10)&amp;CHAR(10)&amp;"T1: "&amp;TEXT(FORMULACIÓN!L138,"00,00%")&amp;CHAR(10)&amp;"T2: "&amp;TEXT(FORMULACIÓN!M138,"00,00%")&amp;CHAR(10)&amp;"T3: "&amp;TEXT(FORMULACIÓN!N138,"00,00%")&amp;CHAR(10)&amp;"Tn: "&amp;TEXT(FORMULACIÓN!O138,"00,00%"),IF(FORMULACIÓN!Q138=0,0,"PDI: "&amp;TEXT(FORMULACIÓN!Q138,"##.###")&amp;CHAR(10)&amp;CHAR(10)&amp;"T1: "&amp;TEXT(FORMULACIÓN!L138,"##.###")&amp;CHAR(10)&amp;"T2: "&amp;TEXT(FORMULACIÓN!M138,"##.###")&amp;CHAR(10)&amp;"T3: "&amp;TEXT(FORMULACIÓN!N138,"##.###")&amp;CHAR(10)&amp;"Tn: "&amp;TEXT(FORMULACIÓN!O138,"##.###")))</f>
        <v>PDI: 50,00%
T1: 10,00%
T2: 20,00%
T3: 20,00%
Tn: 00,00%</v>
      </c>
      <c r="J138" s="122">
        <f>IF(FORMULACIÓN!K138&lt;&gt;"",FORMULACIÓN!K138,"")</f>
        <v>0</v>
      </c>
      <c r="K138" s="309">
        <v>0.54200000000000004</v>
      </c>
      <c r="L138" s="58"/>
      <c r="M138" s="58"/>
      <c r="N138" s="58"/>
      <c r="O138" s="47">
        <f ca="1">IFERROR(IF($H138=Lists!$S$2,SUM('SEGUIMIENTO Y EVALUACIÓN'!J138:N138),IF('SEGUIMIENTO Y EVALUACIÓN'!$H138=Lists!$S$3,SUM('SEGUIMIENTO Y EVALUACIÓN'!K138:N138),IF('SEGUIMIENTO Y EVALUACIÓN'!$H138=Lists!$S$4,AVERAGE('SEGUIMIENTO Y EVALUACIÓN'!K138:N138),IF('SEGUIMIENTO Y EVALUACIÓN'!$H138=Lists!$S$5,OFFSET(J138,0,COUNTA(K138:N138)),IF($H138=Lists!$S$6,COUNTIF(K138:N138,"&lt;"&amp;FORMULACIÓN!Q138)/COUNT('SEGUIMIENTO Y EVALUACIÓN'!K138:N138),""))))),"")</f>
        <v>0.54200000000000004</v>
      </c>
      <c r="P138" s="51" t="str">
        <f ca="1">IF($G138=Lists!$R$3,TEXT('SEGUIMIENTO Y EVALUACIÓN'!O138,"00,00%"),IF('SEGUIMIENTO Y EVALUACIÓN'!O138=0,0,TEXT('SEGUIMIENTO Y EVALUACIÓN'!O138,"##.###")))</f>
        <v>54,20%</v>
      </c>
      <c r="Q138" s="209" t="str">
        <f>IF(FORMULACIÓN!R138&lt;&gt;"",FORMULACIÓN!R138,"")</f>
        <v>P1 - Promoción y mantenimiento de la salud en la comunidad universitaria</v>
      </c>
      <c r="R138" s="209">
        <f>IF(FORMULACIÓN!S138&lt;&gt;"",FORMULACIÓN!S138,"")</f>
        <v>0.3</v>
      </c>
      <c r="S138" s="209" t="str">
        <f>IF(FORMULACIÓN!T138&lt;&gt;"",FORMULACIÓN!T138,"")</f>
        <v>Vicerrector de Bienestar Universitario</v>
      </c>
      <c r="T138" s="42"/>
      <c r="U138" s="42"/>
      <c r="V138" s="42"/>
      <c r="W138" s="43" t="str">
        <f t="shared" si="9"/>
        <v/>
      </c>
      <c r="X138" s="42"/>
      <c r="Y138" s="42"/>
      <c r="Z138" s="42"/>
      <c r="AA138" s="43" t="str">
        <f t="shared" si="10"/>
        <v/>
      </c>
      <c r="AB138" s="42"/>
      <c r="AC138" s="42"/>
      <c r="AD138" s="42"/>
      <c r="AE138" s="43" t="str">
        <f t="shared" si="11"/>
        <v/>
      </c>
      <c r="AF138" s="42"/>
      <c r="AG138" s="42"/>
      <c r="AH138" s="42"/>
      <c r="AI138" s="46" t="str">
        <f t="shared" si="12"/>
        <v/>
      </c>
      <c r="AJ138" s="46" t="str">
        <f>IF(SUM(AA138,AE138,W138,AI138)=0,"",SUM((AA138,AE138,W138,AI138)))</f>
        <v/>
      </c>
      <c r="AK138"/>
      <c r="AL138" s="1" t="str">
        <f t="shared" si="16"/>
        <v>L4M3P1</v>
      </c>
      <c r="AM138" s="56" t="str">
        <f t="shared" si="17"/>
        <v>Porcentaje de miembros de la comunidad universitaria con resultados superiores en la última encuesta aplicada de Estilo de vida Saludable (OMS</v>
      </c>
      <c r="AN138" s="112" t="str">
        <f>IF($G138=Lists!$R$3,"T1: "&amp;TEXT(FORMULACIÓN!L138,"00,00%")&amp;CHAR(10)&amp;"T2: "&amp;TEXT(FORMULACIÓN!M138,"00,00%")&amp;CHAR(10)&amp;"T3: "&amp;TEXT(FORMULACIÓN!N138,"00,00%")&amp;CHAR(10)&amp;"Tn: "&amp;TEXT(FORMULACIÓN!O138,"00,00%"),IF(FORMULACIÓN!Q138=0,0,"T1: "&amp;TEXT(FORMULACIÓN!L138,"##.###")&amp;CHAR(10)&amp;"T2: "&amp;TEXT(FORMULACIÓN!M138,"##.###")&amp;CHAR(10)&amp;"T3: "&amp;TEXT(FORMULACIÓN!N138,"##.###")&amp;CHAR(10)&amp;"Tn: "&amp;TEXT(FORMULACIÓN!O138,"##.###")))</f>
        <v>T1: 10,00%
T2: 20,00%
T3: 20,00%
Tn: 00,00%</v>
      </c>
      <c r="AO138" s="117">
        <f>IFERROR(IF($H138=Lists!$S$6,IF(AND(FORMULACIÓN!L138&gt;K138,K138&gt;0),1,0),IF((K138/FORMULACIÓN!L138)&lt;&gt;0,K138/FORMULACIÓN!L138,0)),"")</f>
        <v>5.42</v>
      </c>
      <c r="AP138" s="117">
        <f>IFERROR(IF($H138=Lists!$S$6,IF(AND(FORMULACIÓN!M138&gt;L138,L138&gt;0),1,0),IF((L138/FORMULACIÓN!M138)&lt;&gt;0,L138/FORMULACIÓN!M138,0)),"")</f>
        <v>0</v>
      </c>
      <c r="AQ138" s="117">
        <f>IFERROR(IF($H138=Lists!$S$6,IF(AND(FORMULACIÓN!N138&gt;M138,M138&gt;0),1,0),IF((M138/FORMULACIÓN!N138)&lt;&gt;0,M138/FORMULACIÓN!N138,0)),"")</f>
        <v>0</v>
      </c>
      <c r="AR138" s="117" t="str">
        <f>IFERROR(IF($H138=Lists!$S$6,IF(AND(FORMULACIÓN!O138&gt;N138,N138&gt;0),1,0),IF((N138/FORMULACIÓN!O138)&lt;&gt;0,N138/FORMULACIÓN!O138,0)),"")</f>
        <v/>
      </c>
      <c r="AS138" s="110"/>
      <c r="AT138" s="118" t="str">
        <f ca="1">IF($H138=Lists!$S$6,TEXT(COUNTIF('SEGUIMIENTO Y EVALUACIÓN'!K138:N138,"&lt;"&amp;FORMULACIÓN!Q138),"##.###")&amp;" / "&amp;TEXT(COUNTIF('SEGUIMIENTO Y EVALUACIÓN'!K138:N138,"&gt;"&amp;0),"##.###"),IF($G138=Lists!$R$3,TEXT('SEGUIMIENTO Y EVALUACIÓN'!O138,"00,00%")&amp;" / "&amp;TEXT(FORMULACIÓN!P138,"00,00%"),IF('SEGUIMIENTO Y EVALUACIÓN'!O138=0,0,TEXT('SEGUIMIENTO Y EVALUACIÓN'!O138,"##.###")&amp;" / "&amp;TEXT(FORMULACIÓN!P138,"##.###"))))</f>
        <v>54,20% / 50,00%</v>
      </c>
      <c r="AU138" s="57">
        <f ca="1">IFERROR(IF((P138/FORMULACIÓN!Q138)&lt;&gt;0,IF($H138=Lists!$S$6,COUNTIF('SEGUIMIENTO Y EVALUACIÓN'!K138:N138,"&lt;"&amp;FORMULACIÓN!Q138),'SEGUIMIENTO Y EVALUACIÓN'!P138)/IF($H138=Lists!$S$6,COUNTIF('SEGUIMIENTO Y EVALUACIÓN'!K138:N138,"&gt;"&amp;0),FORMULACIÓN!P138),0),0)</f>
        <v>1.0840000000000001</v>
      </c>
      <c r="AV138" s="93">
        <f t="shared" ca="1" si="15"/>
        <v>0.3</v>
      </c>
      <c r="AW138" s="93" cm="1">
        <f t="array" ref="AW138">IF(INDEX(AO138:AU138,1,$AV$3)&gt;1,IF($AU$2=1,1,INDEX(AO138:AU138,1,$AV$3)),INDEX(AO138:AU138,1,$AV$3))</f>
        <v>1</v>
      </c>
      <c r="AX138"/>
      <c r="AY138" s="119" t="str">
        <f>IFERROR(IF((W138/FORMULACIÓN!X138)&lt;&gt;0,W138/FORMULACIÓN!X138,0),"")</f>
        <v/>
      </c>
      <c r="AZ138" s="119" t="str">
        <f>IFERROR(IF((AA138/FORMULACIÓN!AB138)&lt;&gt;0,AA138/FORMULACIÓN!AB138,0),"")</f>
        <v/>
      </c>
      <c r="BA138" s="119" t="str">
        <f>IFERROR(IF((AE138/FORMULACIÓN!AF138)&lt;&gt;0,(AE138/FORMULACIÓN!AF138),0),"")</f>
        <v/>
      </c>
      <c r="BB138" s="119" t="str">
        <f>IFERROR(IF((AI138/FORMULACIÓN!AJ138)&lt;&gt;0,AI138/FORMULACIÓN!AJ138,0),"")</f>
        <v/>
      </c>
      <c r="BC138" s="120" t="str">
        <f>IF('SEGUIMIENTO Y EVALUACIÓN'!AI138=0,0,TEXT('SEGUIMIENTO Y EVALUACIÓN'!AI138,"$ ##.###")&amp;" / "&amp;TEXT(FORMULACIÓN!AK138,"$ ##.###"))</f>
        <v xml:space="preserve"> / $ 31.562.142.588</v>
      </c>
      <c r="BD138" s="57">
        <f>IFERROR(IF((AJ138/FORMULACIÓN!AK138)&lt;&gt;0,AJ138/FORMULACIÓN!AK138,0),0)</f>
        <v>0</v>
      </c>
      <c r="CL138" s="7"/>
    </row>
    <row r="139" spans="1:90" s="1" customFormat="1" ht="99.95" customHeight="1">
      <c r="A139" s="45">
        <f>IF(FORMULACIÓN!A139="","",FORMULACIÓN!A139)</f>
        <v>128</v>
      </c>
      <c r="B139" s="45" t="str">
        <f>IF(FORMULACIÓN!B139="","",FORMULACIÓN!B139)</f>
        <v xml:space="preserve">L5 - Modernización de la Gestión Administrativa </v>
      </c>
      <c r="C139" s="45" t="str">
        <f>IF(FORMULACIÓN!E139="","",FORMULACIÓN!E139)</f>
        <v>M1 - Fortalecimiento institucional</v>
      </c>
      <c r="D139" s="45" t="str">
        <f>IF(FORMULACIÓN!F139="","",FORMULACIÓN!F139)</f>
        <v xml:space="preserve">Incrementar la participación de los ingresos por venta de servicios a un 20% del total del presupuesto </v>
      </c>
      <c r="E139" s="45" t="str">
        <f>IF(FORMULACIÓN!G139="","",FORMULACIÓN!G139)</f>
        <v>Ingresos de autogestión</v>
      </c>
      <c r="F139" s="45" t="str">
        <f>IF(FORMULACIÓN!H139="","",FORMULACIÓN!H139)</f>
        <v>Ingresos presupuestados para venta de servicios por año/total de ingresos corrientes presupuestados anuales *100</v>
      </c>
      <c r="G139" s="45" t="str">
        <f>IF(FORMULACIÓN!I139="","",FORMULACIÓN!I139)</f>
        <v>Porcentaje</v>
      </c>
      <c r="H139" s="45" t="str">
        <f>IF(FORMULACIÓN!J139="","",FORMULACIÓN!J139)</f>
        <v>Acumulado</v>
      </c>
      <c r="I139" s="188" t="str">
        <f ca="1">IF($G139=Lists!$R$3,"PDI: "&amp;TEXT(FORMULACIÓN!Q139,"00,00%")&amp;CHAR(10)&amp;CHAR(10)&amp;"T1: "&amp;TEXT(FORMULACIÓN!L139,"00,00%")&amp;CHAR(10)&amp;"T2: "&amp;TEXT(FORMULACIÓN!M139,"00,00%")&amp;CHAR(10)&amp;"T3: "&amp;TEXT(FORMULACIÓN!N139,"00,00%")&amp;CHAR(10)&amp;"Tn: "&amp;TEXT(FORMULACIÓN!O139,"00,00%"),IF(FORMULACIÓN!Q139=0,0,"PDI: "&amp;TEXT(FORMULACIÓN!Q139,"##.###")&amp;CHAR(10)&amp;CHAR(10)&amp;"T1: "&amp;TEXT(FORMULACIÓN!L139,"##.###")&amp;CHAR(10)&amp;"T2: "&amp;TEXT(FORMULACIÓN!M139,"##.###")&amp;CHAR(10)&amp;"T3: "&amp;TEXT(FORMULACIÓN!N139,"##.###")&amp;CHAR(10)&amp;"Tn: "&amp;TEXT(FORMULACIÓN!O139,"##.###")))</f>
        <v>PDI: 21,00%
T1: 04,00%
T2: 05,00%
T3: 06,00%
Tn: 02,00%</v>
      </c>
      <c r="J139" s="122">
        <f>IF(FORMULACIÓN!K139&lt;&gt;"",FORMULACIÓN!K139,"")</f>
        <v>0.04</v>
      </c>
      <c r="K139" s="309">
        <v>9.6000000000000002E-2</v>
      </c>
      <c r="L139" s="58"/>
      <c r="M139" s="58"/>
      <c r="N139" s="58"/>
      <c r="O139" s="47">
        <f ca="1">IFERROR(IF($H139=Lists!$S$2,SUM('SEGUIMIENTO Y EVALUACIÓN'!J139:N139),IF('SEGUIMIENTO Y EVALUACIÓN'!$H139=Lists!$S$3,SUM('SEGUIMIENTO Y EVALUACIÓN'!K139:N139),IF('SEGUIMIENTO Y EVALUACIÓN'!$H139=Lists!$S$4,AVERAGE('SEGUIMIENTO Y EVALUACIÓN'!K139:N139),IF('SEGUIMIENTO Y EVALUACIÓN'!$H139=Lists!$S$5,OFFSET(J139,0,COUNTA(K139:N139)),IF($H139=Lists!$S$6,COUNTIF(K139:N139,"&lt;"&amp;FORMULACIÓN!Q139)/COUNT('SEGUIMIENTO Y EVALUACIÓN'!K139:N139),""))))),"")</f>
        <v>0.13600000000000001</v>
      </c>
      <c r="P139" s="51" t="str">
        <f ca="1">IF($G139=Lists!$R$3,TEXT('SEGUIMIENTO Y EVALUACIÓN'!O139,"00,00%"),IF('SEGUIMIENTO Y EVALUACIÓN'!O139=0,0,TEXT('SEGUIMIENTO Y EVALUACIÓN'!O139,"##.###")))</f>
        <v>13,60%</v>
      </c>
      <c r="Q139" s="209" t="str">
        <f>IF(FORMULACIÓN!R139&lt;&gt;"",FORMULACIÓN!R139,"")</f>
        <v xml:space="preserve">P1 - Mejoramiento y efectividad de procesos administrativos y académicos. </v>
      </c>
      <c r="R139" s="209">
        <f>IF(FORMULACIÓN!S139&lt;&gt;"",FORMULACIÓN!S139,"")</f>
        <v>0.05</v>
      </c>
      <c r="S139" s="209" t="str">
        <f>IF(FORMULACIÓN!T139&lt;&gt;"",FORMULACIÓN!T139,"")</f>
        <v>Jefe del Departamento de Gestión Financiera</v>
      </c>
      <c r="T139" s="42"/>
      <c r="U139" s="42"/>
      <c r="V139" s="42"/>
      <c r="W139" s="43" t="str">
        <f t="shared" si="9"/>
        <v/>
      </c>
      <c r="X139" s="42"/>
      <c r="Y139" s="42"/>
      <c r="Z139" s="42"/>
      <c r="AA139" s="43" t="str">
        <f t="shared" si="10"/>
        <v/>
      </c>
      <c r="AB139" s="42"/>
      <c r="AC139" s="42"/>
      <c r="AD139" s="42"/>
      <c r="AE139" s="43" t="str">
        <f t="shared" si="11"/>
        <v/>
      </c>
      <c r="AF139" s="42"/>
      <c r="AG139" s="42"/>
      <c r="AH139" s="42"/>
      <c r="AI139" s="46" t="str">
        <f t="shared" si="12"/>
        <v/>
      </c>
      <c r="AJ139" s="46" t="str">
        <f>IF(SUM(AA139,AE139,W139,AI139)=0,"",SUM((AA139,AE139,W139,AI139)))</f>
        <v/>
      </c>
      <c r="AK139"/>
      <c r="AL139" s="1" t="str">
        <f t="shared" si="16"/>
        <v>L5M1P1</v>
      </c>
      <c r="AM139" s="56" t="str">
        <f t="shared" si="17"/>
        <v>Ingresos de autogestión</v>
      </c>
      <c r="AN139" s="112" t="str">
        <f>IF($G139=Lists!$R$3,"T1: "&amp;TEXT(FORMULACIÓN!L139,"00,00%")&amp;CHAR(10)&amp;"T2: "&amp;TEXT(FORMULACIÓN!M139,"00,00%")&amp;CHAR(10)&amp;"T3: "&amp;TEXT(FORMULACIÓN!N139,"00,00%")&amp;CHAR(10)&amp;"Tn: "&amp;TEXT(FORMULACIÓN!O139,"00,00%"),IF(FORMULACIÓN!Q139=0,0,"T1: "&amp;TEXT(FORMULACIÓN!L139,"##.###")&amp;CHAR(10)&amp;"T2: "&amp;TEXT(FORMULACIÓN!M139,"##.###")&amp;CHAR(10)&amp;"T3: "&amp;TEXT(FORMULACIÓN!N139,"##.###")&amp;CHAR(10)&amp;"Tn: "&amp;TEXT(FORMULACIÓN!O139,"##.###")))</f>
        <v>T1: 04,00%
T2: 05,00%
T3: 06,00%
Tn: 02,00%</v>
      </c>
      <c r="AO139" s="117">
        <f>IFERROR(IF($H139=Lists!$S$6,IF(AND(FORMULACIÓN!L139&gt;K139,K139&gt;0),1,0),IF((K139/FORMULACIÓN!L139)&lt;&gt;0,K139/FORMULACIÓN!L139,0)),"")</f>
        <v>2.4</v>
      </c>
      <c r="AP139" s="117">
        <f>IFERROR(IF($H139=Lists!$S$6,IF(AND(FORMULACIÓN!M139&gt;L139,L139&gt;0),1,0),IF((L139/FORMULACIÓN!M139)&lt;&gt;0,L139/FORMULACIÓN!M139,0)),"")</f>
        <v>0</v>
      </c>
      <c r="AQ139" s="117">
        <f>IFERROR(IF($H139=Lists!$S$6,IF(AND(FORMULACIÓN!N139&gt;M139,M139&gt;0),1,0),IF((M139/FORMULACIÓN!N139)&lt;&gt;0,M139/FORMULACIÓN!N139,0)),"")</f>
        <v>0</v>
      </c>
      <c r="AR139" s="117">
        <f>IFERROR(IF($H139=Lists!$S$6,IF(AND(FORMULACIÓN!O139&gt;N139,N139&gt;0),1,0),IF((N139/FORMULACIÓN!O139)&lt;&gt;0,N139/FORMULACIÓN!O139,0)),"")</f>
        <v>0</v>
      </c>
      <c r="AS139" s="110"/>
      <c r="AT139" s="118" t="str">
        <f ca="1">IF($H139=Lists!$S$6,TEXT(COUNTIF('SEGUIMIENTO Y EVALUACIÓN'!K139:N139,"&lt;"&amp;FORMULACIÓN!Q139),"##.###")&amp;" / "&amp;TEXT(COUNTIF('SEGUIMIENTO Y EVALUACIÓN'!K139:N139,"&gt;"&amp;0),"##.###"),IF($G139=Lists!$R$3,TEXT('SEGUIMIENTO Y EVALUACIÓN'!O139,"00,00%")&amp;" / "&amp;TEXT(FORMULACIÓN!P139,"00,00%"),IF('SEGUIMIENTO Y EVALUACIÓN'!O139=0,0,TEXT('SEGUIMIENTO Y EVALUACIÓN'!O139,"##.###")&amp;" / "&amp;TEXT(FORMULACIÓN!P139,"##.###"))))</f>
        <v>13,60% / 21,00%</v>
      </c>
      <c r="AU139" s="57">
        <f ca="1">IFERROR(IF((P139/FORMULACIÓN!Q139)&lt;&gt;0,IF($H139=Lists!$S$6,COUNTIF('SEGUIMIENTO Y EVALUACIÓN'!K139:N139,"&lt;"&amp;FORMULACIÓN!Q139),'SEGUIMIENTO Y EVALUACIÓN'!P139)/IF($H139=Lists!$S$6,COUNTIF('SEGUIMIENTO Y EVALUACIÓN'!K139:N139,"&gt;"&amp;0),FORMULACIÓN!P139),0),0)</f>
        <v>0.64761904761904765</v>
      </c>
      <c r="AV139" s="93">
        <f t="shared" ca="1" si="15"/>
        <v>3.2380952380952385E-2</v>
      </c>
      <c r="AW139" s="93" cm="1">
        <f t="array" ref="AW139">IF(INDEX(AO139:AU139,1,$AV$3)&gt;1,IF($AU$2=1,1,INDEX(AO139:AU139,1,$AV$3)),INDEX(AO139:AU139,1,$AV$3))</f>
        <v>1</v>
      </c>
      <c r="AX139"/>
      <c r="AY139" s="119" t="str">
        <f>IFERROR(IF((W139/FORMULACIÓN!X139)&lt;&gt;0,W139/FORMULACIÓN!X139,0),"")</f>
        <v/>
      </c>
      <c r="AZ139" s="119" t="str">
        <f>IFERROR(IF((AA139/FORMULACIÓN!AB139)&lt;&gt;0,AA139/FORMULACIÓN!AB139,0),"")</f>
        <v/>
      </c>
      <c r="BA139" s="119" t="str">
        <f>IFERROR(IF((AE139/FORMULACIÓN!AF139)&lt;&gt;0,(AE139/FORMULACIÓN!AF139),0),"")</f>
        <v/>
      </c>
      <c r="BB139" s="119" t="str">
        <f>IFERROR(IF((AI139/FORMULACIÓN!AJ139)&lt;&gt;0,AI139/FORMULACIÓN!AJ139,0),"")</f>
        <v/>
      </c>
      <c r="BC139" s="120" t="str">
        <f>IF('SEGUIMIENTO Y EVALUACIÓN'!AI139=0,0,TEXT('SEGUIMIENTO Y EVALUACIÓN'!AI139,"$ ##.###")&amp;" / "&amp;TEXT(FORMULACIÓN!AK139,"$ ##.###"))</f>
        <v xml:space="preserve"> / $ 371.922.420.180</v>
      </c>
      <c r="BD139" s="57">
        <f>IFERROR(IF((AJ139/FORMULACIÓN!AK139)&lt;&gt;0,AJ139/FORMULACIÓN!AK139,0),0)</f>
        <v>0</v>
      </c>
      <c r="CL139" s="7"/>
    </row>
    <row r="140" spans="1:90" s="1" customFormat="1" ht="99.95" customHeight="1">
      <c r="A140" s="45">
        <f>IF(FORMULACIÓN!A140="","",FORMULACIÓN!A140)</f>
        <v>129</v>
      </c>
      <c r="B140" s="45" t="str">
        <f>IF(FORMULACIÓN!B140="","",FORMULACIÓN!B140)</f>
        <v xml:space="preserve">L5 - Modernización de la Gestión Administrativa </v>
      </c>
      <c r="C140" s="45" t="str">
        <f>IF(FORMULACIÓN!E140="","",FORMULACIÓN!E140)</f>
        <v>M1 - Fortalecimiento institucional</v>
      </c>
      <c r="D140" s="45" t="str">
        <f>IF(FORMULACIÓN!F140="","",FORMULACIÓN!F140)</f>
        <v>Construir un modelo de gestión financiera que promueva la utilización más eficiente de los recursos públicos, así como identificar alternativas de financiación</v>
      </c>
      <c r="E140" s="45" t="str">
        <f>IF(FORMULACIÓN!G140="","",FORMULACIÓN!G140)</f>
        <v>Diseño e implementación del modelo de gestión financiera que incluya una política de racionalización del gasto</v>
      </c>
      <c r="F140" s="45" t="str">
        <f>IF(FORMULACIÓN!H140="","",FORMULACIÓN!H140)</f>
        <v>Modelo de gestión financiera que incluya una política de racionalización del gasto implementado</v>
      </c>
      <c r="G140" s="45" t="str">
        <f>IF(FORMULACIÓN!I140="","",FORMULACIÓN!I140)</f>
        <v>Unidad</v>
      </c>
      <c r="H140" s="45" t="str">
        <f>IF(FORMULACIÓN!J140="","",FORMULACIÓN!J140)</f>
        <v>Último valor reportado</v>
      </c>
      <c r="I140" s="188" t="str">
        <f ca="1">IF($G140=Lists!$R$3,"PDI: "&amp;TEXT(FORMULACIÓN!Q140,"00,00%")&amp;CHAR(10)&amp;CHAR(10)&amp;"T1: "&amp;TEXT(FORMULACIÓN!L140,"00,00%")&amp;CHAR(10)&amp;"T2: "&amp;TEXT(FORMULACIÓN!M140,"00,00%")&amp;CHAR(10)&amp;"T3: "&amp;TEXT(FORMULACIÓN!N140,"00,00%")&amp;CHAR(10)&amp;"Tn: "&amp;TEXT(FORMULACIÓN!O140,"00,00%"),IF(FORMULACIÓN!Q140=0,0,"PDI: "&amp;TEXT(FORMULACIÓN!Q140,"##.###")&amp;CHAR(10)&amp;CHAR(10)&amp;"T1: "&amp;TEXT(FORMULACIÓN!L140,"##.###")&amp;CHAR(10)&amp;"T2: "&amp;TEXT(FORMULACIÓN!M140,"##.###")&amp;CHAR(10)&amp;"T3: "&amp;TEXT(FORMULACIÓN!N140,"##.###")&amp;CHAR(10)&amp;"Tn: "&amp;TEXT(FORMULACIÓN!O140,"##.###")))</f>
        <v>PDI: 1
T1: 1
T2: 1
T3: 1
Tn: 1</v>
      </c>
      <c r="J140" s="122">
        <f>IF(FORMULACIÓN!K140&lt;&gt;"",FORMULACIÓN!K140,"")</f>
        <v>0</v>
      </c>
      <c r="K140" s="310">
        <v>1</v>
      </c>
      <c r="L140" s="58"/>
      <c r="M140" s="58"/>
      <c r="N140" s="58"/>
      <c r="O140" s="47">
        <f ca="1">IFERROR(IF($H140=Lists!$S$2,SUM('SEGUIMIENTO Y EVALUACIÓN'!J140:N140),IF('SEGUIMIENTO Y EVALUACIÓN'!$H140=Lists!$S$3,SUM('SEGUIMIENTO Y EVALUACIÓN'!K140:N140),IF('SEGUIMIENTO Y EVALUACIÓN'!$H140=Lists!$S$4,AVERAGE('SEGUIMIENTO Y EVALUACIÓN'!K140:N140),IF('SEGUIMIENTO Y EVALUACIÓN'!$H140=Lists!$S$5,OFFSET(J140,0,COUNTA(K140:N140)),IF($H140=Lists!$S$6,COUNTIF(K140:N140,"&lt;"&amp;FORMULACIÓN!Q140)/COUNT('SEGUIMIENTO Y EVALUACIÓN'!K140:N140),""))))),"")</f>
        <v>1</v>
      </c>
      <c r="P140" s="51" t="str">
        <f ca="1">IF($G140=Lists!$R$3,TEXT('SEGUIMIENTO Y EVALUACIÓN'!O140,"00,00%"),IF('SEGUIMIENTO Y EVALUACIÓN'!O140=0,0,TEXT('SEGUIMIENTO Y EVALUACIÓN'!O140,"##.###")))</f>
        <v>1</v>
      </c>
      <c r="Q140" s="209" t="str">
        <f>IF(FORMULACIÓN!R140&lt;&gt;"",FORMULACIÓN!R140,"")</f>
        <v xml:space="preserve">P1 - Mejoramiento y efectividad de procesos administrativos y académicos. </v>
      </c>
      <c r="R140" s="209">
        <f>IF(FORMULACIÓN!S140&lt;&gt;"",FORMULACIÓN!S140,"")</f>
        <v>0.05</v>
      </c>
      <c r="S140" s="209" t="str">
        <f>IF(FORMULACIÓN!T140&lt;&gt;"",FORMULACIÓN!T140,"")</f>
        <v>Jefe del Departamento de Gestión Financiera</v>
      </c>
      <c r="T140" s="42"/>
      <c r="U140" s="42"/>
      <c r="V140" s="42"/>
      <c r="W140" s="43" t="str">
        <f t="shared" ref="W140:W203" si="18">IF(SUM(T140:V140)=0,"",SUM(T140:V140))</f>
        <v/>
      </c>
      <c r="X140" s="42"/>
      <c r="Y140" s="42"/>
      <c r="Z140" s="42"/>
      <c r="AA140" s="43" t="str">
        <f t="shared" ref="AA140:AA203" si="19">IF(SUM(X140:Z140)=0,"",SUM(X140:Z140))</f>
        <v/>
      </c>
      <c r="AB140" s="42"/>
      <c r="AC140" s="42"/>
      <c r="AD140" s="42"/>
      <c r="AE140" s="43" t="str">
        <f t="shared" ref="AE140:AE203" si="20">IF(SUM(AB140:AD140)=0,"",SUM(AB140:AD140))</f>
        <v/>
      </c>
      <c r="AF140" s="42"/>
      <c r="AG140" s="42"/>
      <c r="AH140" s="42"/>
      <c r="AI140" s="46" t="str">
        <f t="shared" ref="AI140:AI203" si="21">IF(SUM(AF140:AH140)=0,"",SUM(AF140:AH140))</f>
        <v/>
      </c>
      <c r="AJ140" s="46" t="str">
        <f>IF(SUM(AA140,AE140,W140,AI140)=0,"",SUM((AA140,AE140,W140,AI140)))</f>
        <v/>
      </c>
      <c r="AK140"/>
      <c r="AL140" s="1" t="str">
        <f t="shared" ref="AL140:AL163" si="22">LEFT($B140,2)&amp;LEFT($C140,2)&amp;LEFT($Q140,2)</f>
        <v>L5M1P1</v>
      </c>
      <c r="AM140" s="56" t="str">
        <f t="shared" ref="AM140:AM171" si="23">E140</f>
        <v>Diseño e implementación del modelo de gestión financiera que incluya una política de racionalización del gasto</v>
      </c>
      <c r="AN140" s="112" t="str">
        <f ca="1">IF($G140=Lists!$R$3,"T1: "&amp;TEXT(FORMULACIÓN!L140,"00,00%")&amp;CHAR(10)&amp;"T2: "&amp;TEXT(FORMULACIÓN!M140,"00,00%")&amp;CHAR(10)&amp;"T3: "&amp;TEXT(FORMULACIÓN!N140,"00,00%")&amp;CHAR(10)&amp;"Tn: "&amp;TEXT(FORMULACIÓN!O140,"00,00%"),IF(FORMULACIÓN!Q140=0,0,"T1: "&amp;TEXT(FORMULACIÓN!L140,"##.###")&amp;CHAR(10)&amp;"T2: "&amp;TEXT(FORMULACIÓN!M140,"##.###")&amp;CHAR(10)&amp;"T3: "&amp;TEXT(FORMULACIÓN!N140,"##.###")&amp;CHAR(10)&amp;"Tn: "&amp;TEXT(FORMULACIÓN!O140,"##.###")))</f>
        <v>T1: 1
T2: 1
T3: 1
Tn: 1</v>
      </c>
      <c r="AO140" s="117">
        <f>IFERROR(IF($H140=Lists!$S$6,IF(AND(FORMULACIÓN!L140&gt;K140,K140&gt;0),1,0),IF((K140/FORMULACIÓN!L140)&lt;&gt;0,K140/FORMULACIÓN!L140,0)),"")</f>
        <v>1</v>
      </c>
      <c r="AP140" s="117">
        <f>IFERROR(IF($H140=Lists!$S$6,IF(AND(FORMULACIÓN!M140&gt;L140,L140&gt;0),1,0),IF((L140/FORMULACIÓN!M140)&lt;&gt;0,L140/FORMULACIÓN!M140,0)),"")</f>
        <v>0</v>
      </c>
      <c r="AQ140" s="117">
        <f>IFERROR(IF($H140=Lists!$S$6,IF(AND(FORMULACIÓN!N140&gt;M140,M140&gt;0),1,0),IF((M140/FORMULACIÓN!N140)&lt;&gt;0,M140/FORMULACIÓN!N140,0)),"")</f>
        <v>0</v>
      </c>
      <c r="AR140" s="117">
        <f>IFERROR(IF($H140=Lists!$S$6,IF(AND(FORMULACIÓN!O140&gt;N140,N140&gt;0),1,0),IF((N140/FORMULACIÓN!O140)&lt;&gt;0,N140/FORMULACIÓN!O140,0)),"")</f>
        <v>0</v>
      </c>
      <c r="AS140" s="110"/>
      <c r="AT140" s="118" t="str">
        <f ca="1">IF($H140=Lists!$S$6,TEXT(COUNTIF('SEGUIMIENTO Y EVALUACIÓN'!K140:N140,"&lt;"&amp;FORMULACIÓN!Q140),"##.###")&amp;" / "&amp;TEXT(COUNTIF('SEGUIMIENTO Y EVALUACIÓN'!K140:N140,"&gt;"&amp;0),"##.###"),IF($G140=Lists!$R$3,TEXT('SEGUIMIENTO Y EVALUACIÓN'!O140,"00,00%")&amp;" / "&amp;TEXT(FORMULACIÓN!P140,"00,00%"),IF('SEGUIMIENTO Y EVALUACIÓN'!O140=0,0,TEXT('SEGUIMIENTO Y EVALUACIÓN'!O140,"##.###")&amp;" / "&amp;TEXT(FORMULACIÓN!P140,"##.###"))))</f>
        <v>1 / 1</v>
      </c>
      <c r="AU140" s="57">
        <f ca="1">IFERROR(IF((P140/FORMULACIÓN!Q140)&lt;&gt;0,IF($H140=Lists!$S$6,COUNTIF('SEGUIMIENTO Y EVALUACIÓN'!K140:N140,"&lt;"&amp;FORMULACIÓN!Q140),'SEGUIMIENTO Y EVALUACIÓN'!P140)/IF($H140=Lists!$S$6,COUNTIF('SEGUIMIENTO Y EVALUACIÓN'!K140:N140,"&gt;"&amp;0),FORMULACIÓN!P140),0),0)</f>
        <v>1</v>
      </c>
      <c r="AV140" s="93">
        <f t="shared" ca="1" si="15"/>
        <v>0.05</v>
      </c>
      <c r="AW140" s="93" cm="1">
        <f t="array" ref="AW140">IF(INDEX(AO140:AU140,1,$AV$3)&gt;1,IF($AU$2=1,1,INDEX(AO140:AU140,1,$AV$3)),INDEX(AO140:AU140,1,$AV$3))</f>
        <v>1</v>
      </c>
      <c r="AX140"/>
      <c r="AY140" s="119" t="str">
        <f>IFERROR(IF((W140/FORMULACIÓN!X140)&lt;&gt;0,W140/FORMULACIÓN!X140,0),"")</f>
        <v/>
      </c>
      <c r="AZ140" s="119" t="str">
        <f>IFERROR(IF((AA140/FORMULACIÓN!AB140)&lt;&gt;0,AA140/FORMULACIÓN!AB140,0),"")</f>
        <v/>
      </c>
      <c r="BA140" s="119" t="str">
        <f>IFERROR(IF((AE140/FORMULACIÓN!AF140)&lt;&gt;0,(AE140/FORMULACIÓN!AF140),0),"")</f>
        <v/>
      </c>
      <c r="BB140" s="119" t="str">
        <f>IFERROR(IF((AI140/FORMULACIÓN!AJ140)&lt;&gt;0,AI140/FORMULACIÓN!AJ140,0),"")</f>
        <v/>
      </c>
      <c r="BC140" s="120" t="str">
        <f>IF('SEGUIMIENTO Y EVALUACIÓN'!AI140=0,0,TEXT('SEGUIMIENTO Y EVALUACIÓN'!AI140,"$ ##.###")&amp;" / "&amp;TEXT(FORMULACIÓN!AK140,"$ ##.###"))</f>
        <v xml:space="preserve"> / $ 785.169.553.713</v>
      </c>
      <c r="BD140" s="57">
        <f>IFERROR(IF((AJ140/FORMULACIÓN!AK140)&lt;&gt;0,AJ140/FORMULACIÓN!AK140,0),0)</f>
        <v>0</v>
      </c>
      <c r="CL140" s="7"/>
    </row>
    <row r="141" spans="1:90" s="1" customFormat="1" ht="99.95" customHeight="1">
      <c r="A141" s="45">
        <f>IF(FORMULACIÓN!A141="","",FORMULACIÓN!A141)</f>
        <v>130</v>
      </c>
      <c r="B141" s="45" t="str">
        <f>IF(FORMULACIÓN!B141="","",FORMULACIÓN!B141)</f>
        <v xml:space="preserve">L5 - Modernización de la Gestión Administrativa </v>
      </c>
      <c r="C141" s="45" t="str">
        <f>IF(FORMULACIÓN!E141="","",FORMULACIÓN!E141)</f>
        <v>M1 - Fortalecimiento institucional</v>
      </c>
      <c r="D141" s="45" t="str">
        <f>IF(FORMULACIÓN!F141="","",FORMULACIÓN!F141)</f>
        <v>Implementar la estrategia de Gobierno Digital</v>
      </c>
      <c r="E141" s="45" t="str">
        <f>IF(FORMULACIÓN!G141="","",FORMULACIÓN!G141)</f>
        <v>Porcentaje de implementación de estrategia de Gobierno Digital</v>
      </c>
      <c r="F141" s="45" t="str">
        <f>IF(FORMULACIÓN!H141="","",FORMULACIÓN!H141)</f>
        <v>N° de componentes implementados/ N° total de componentes *100</v>
      </c>
      <c r="G141" s="45" t="str">
        <f>IF(FORMULACIÓN!I141="","",FORMULACIÓN!I141)</f>
        <v>Porcentaje</v>
      </c>
      <c r="H141" s="45" t="str">
        <f>IF(FORMULACIÓN!J141="","",FORMULACIÓN!J141)</f>
        <v>Acumulado</v>
      </c>
      <c r="I141" s="188" t="str">
        <f ca="1">IF($G141=Lists!$R$3,"PDI: "&amp;TEXT(FORMULACIÓN!Q141,"00,00%")&amp;CHAR(10)&amp;CHAR(10)&amp;"T1: "&amp;TEXT(FORMULACIÓN!L141,"00,00%")&amp;CHAR(10)&amp;"T2: "&amp;TEXT(FORMULACIÓN!M141,"00,00%")&amp;CHAR(10)&amp;"T3: "&amp;TEXT(FORMULACIÓN!N141,"00,00%")&amp;CHAR(10)&amp;"Tn: "&amp;TEXT(FORMULACIÓN!O141,"00,00%"),IF(FORMULACIÓN!Q141=0,0,"PDI: "&amp;TEXT(FORMULACIÓN!Q141,"##.###")&amp;CHAR(10)&amp;CHAR(10)&amp;"T1: "&amp;TEXT(FORMULACIÓN!L141,"##.###")&amp;CHAR(10)&amp;"T2: "&amp;TEXT(FORMULACIÓN!M141,"##.###")&amp;CHAR(10)&amp;"T3: "&amp;TEXT(FORMULACIÓN!N141,"##.###")&amp;CHAR(10)&amp;"Tn: "&amp;TEXT(FORMULACIÓN!O141,"##.###")))</f>
        <v>PDI: 100,00%
T1: 20,00%
T2: 20,00%
T3: 40,00%
Tn: 20,00%</v>
      </c>
      <c r="J141" s="122">
        <f>IF(FORMULACIÓN!K141&lt;&gt;"",FORMULACIÓN!K141,"")</f>
        <v>0</v>
      </c>
      <c r="K141" s="309">
        <v>0.60619999999999996</v>
      </c>
      <c r="L141" s="58"/>
      <c r="M141" s="58"/>
      <c r="N141" s="58"/>
      <c r="O141" s="47">
        <f ca="1">IFERROR(IF($H141=Lists!$S$2,SUM('SEGUIMIENTO Y EVALUACIÓN'!J141:N141),IF('SEGUIMIENTO Y EVALUACIÓN'!$H141=Lists!$S$3,SUM('SEGUIMIENTO Y EVALUACIÓN'!K141:N141),IF('SEGUIMIENTO Y EVALUACIÓN'!$H141=Lists!$S$4,AVERAGE('SEGUIMIENTO Y EVALUACIÓN'!K141:N141),IF('SEGUIMIENTO Y EVALUACIÓN'!$H141=Lists!$S$5,OFFSET(J141,0,COUNTA(K141:N141)),IF($H141=Lists!$S$6,COUNTIF(K141:N141,"&lt;"&amp;FORMULACIÓN!Q141)/COUNT('SEGUIMIENTO Y EVALUACIÓN'!K141:N141),""))))),"")</f>
        <v>0.60619999999999996</v>
      </c>
      <c r="P141" s="51" t="str">
        <f ca="1">IF($G141=Lists!$R$3,TEXT('SEGUIMIENTO Y EVALUACIÓN'!O141,"00,00%"),IF('SEGUIMIENTO Y EVALUACIÓN'!O141=0,0,TEXT('SEGUIMIENTO Y EVALUACIÓN'!O141,"##.###")))</f>
        <v>60,62%</v>
      </c>
      <c r="Q141" s="209" t="str">
        <f>IF(FORMULACIÓN!R141&lt;&gt;"",FORMULACIÓN!R141,"")</f>
        <v>P2 - Modernización de las herramientas tecnológicas y los sistemas de gestión.</v>
      </c>
      <c r="R141" s="209">
        <f>IF(FORMULACIÓN!S141&lt;&gt;"",FORMULACIÓN!S141,"")</f>
        <v>0.04</v>
      </c>
      <c r="S141" s="209" t="str">
        <f>IF(FORMULACIÓN!T141&lt;&gt;"",FORMULACIÓN!T141,"")</f>
        <v>Jefe de Oficina Informática</v>
      </c>
      <c r="T141" s="42"/>
      <c r="U141" s="42"/>
      <c r="V141" s="42"/>
      <c r="W141" s="43" t="str">
        <f t="shared" si="18"/>
        <v/>
      </c>
      <c r="X141" s="42"/>
      <c r="Y141" s="42"/>
      <c r="Z141" s="42"/>
      <c r="AA141" s="43" t="str">
        <f t="shared" si="19"/>
        <v/>
      </c>
      <c r="AB141" s="42"/>
      <c r="AC141" s="42"/>
      <c r="AD141" s="42"/>
      <c r="AE141" s="43" t="str">
        <f t="shared" si="20"/>
        <v/>
      </c>
      <c r="AF141" s="42"/>
      <c r="AG141" s="42"/>
      <c r="AH141" s="42"/>
      <c r="AI141" s="46" t="str">
        <f t="shared" si="21"/>
        <v/>
      </c>
      <c r="AJ141" s="46" t="str">
        <f>IF(SUM(AA141,AE141,W141,AI141)=0,"",SUM((AA141,AE141,W141,AI141)))</f>
        <v/>
      </c>
      <c r="AK141"/>
      <c r="AL141" s="1" t="str">
        <f t="shared" si="22"/>
        <v>L5M1P2</v>
      </c>
      <c r="AM141" s="56" t="str">
        <f t="shared" si="23"/>
        <v>Porcentaje de implementación de estrategia de Gobierno Digital</v>
      </c>
      <c r="AN141" s="112" t="str">
        <f>IF($G141=Lists!$R$3,"T1: "&amp;TEXT(FORMULACIÓN!L141,"00,00%")&amp;CHAR(10)&amp;"T2: "&amp;TEXT(FORMULACIÓN!M141,"00,00%")&amp;CHAR(10)&amp;"T3: "&amp;TEXT(FORMULACIÓN!N141,"00,00%")&amp;CHAR(10)&amp;"Tn: "&amp;TEXT(FORMULACIÓN!O141,"00,00%"),IF(FORMULACIÓN!Q141=0,0,"T1: "&amp;TEXT(FORMULACIÓN!L141,"##.###")&amp;CHAR(10)&amp;"T2: "&amp;TEXT(FORMULACIÓN!M141,"##.###")&amp;CHAR(10)&amp;"T3: "&amp;TEXT(FORMULACIÓN!N141,"##.###")&amp;CHAR(10)&amp;"Tn: "&amp;TEXT(FORMULACIÓN!O141,"##.###")))</f>
        <v>T1: 20,00%
T2: 20,00%
T3: 40,00%
Tn: 20,00%</v>
      </c>
      <c r="AO141" s="117">
        <f>IFERROR(IF($H141=Lists!$S$6,IF(AND(FORMULACIÓN!L141&gt;K141,K141&gt;0),1,0),IF((K141/FORMULACIÓN!L141)&lt;&gt;0,K141/FORMULACIÓN!L141,0)),"")</f>
        <v>3.0309999999999997</v>
      </c>
      <c r="AP141" s="117">
        <f>IFERROR(IF($H141=Lists!$S$6,IF(AND(FORMULACIÓN!M141&gt;L141,L141&gt;0),1,0),IF((L141/FORMULACIÓN!M141)&lt;&gt;0,L141/FORMULACIÓN!M141,0)),"")</f>
        <v>0</v>
      </c>
      <c r="AQ141" s="117">
        <f>IFERROR(IF($H141=Lists!$S$6,IF(AND(FORMULACIÓN!N141&gt;M141,M141&gt;0),1,0),IF((M141/FORMULACIÓN!N141)&lt;&gt;0,M141/FORMULACIÓN!N141,0)),"")</f>
        <v>0</v>
      </c>
      <c r="AR141" s="117">
        <f>IFERROR(IF($H141=Lists!$S$6,IF(AND(FORMULACIÓN!O141&gt;N141,N141&gt;0),1,0),IF((N141/FORMULACIÓN!O141)&lt;&gt;0,N141/FORMULACIÓN!O141,0)),"")</f>
        <v>0</v>
      </c>
      <c r="AS141" s="110"/>
      <c r="AT141" s="118" t="str">
        <f ca="1">IF($H141=Lists!$S$6,TEXT(COUNTIF('SEGUIMIENTO Y EVALUACIÓN'!K141:N141,"&lt;"&amp;FORMULACIÓN!Q141),"##.###")&amp;" / "&amp;TEXT(COUNTIF('SEGUIMIENTO Y EVALUACIÓN'!K141:N141,"&gt;"&amp;0),"##.###"),IF($G141=Lists!$R$3,TEXT('SEGUIMIENTO Y EVALUACIÓN'!O141,"00,00%")&amp;" / "&amp;TEXT(FORMULACIÓN!P141,"00,00%"),IF('SEGUIMIENTO Y EVALUACIÓN'!O141=0,0,TEXT('SEGUIMIENTO Y EVALUACIÓN'!O141,"##.###")&amp;" / "&amp;TEXT(FORMULACIÓN!P141,"##.###"))))</f>
        <v>60,62% / 100,00%</v>
      </c>
      <c r="AU141" s="57">
        <f ca="1">IFERROR(IF((P141/FORMULACIÓN!Q141)&lt;&gt;0,IF($H141=Lists!$S$6,COUNTIF('SEGUIMIENTO Y EVALUACIÓN'!K141:N141,"&lt;"&amp;FORMULACIÓN!Q141),'SEGUIMIENTO Y EVALUACIÓN'!P141)/IF($H141=Lists!$S$6,COUNTIF('SEGUIMIENTO Y EVALUACIÓN'!K141:N141,"&gt;"&amp;0),FORMULACIÓN!P141),0),0)</f>
        <v>0.60619999999999996</v>
      </c>
      <c r="AV141" s="93">
        <f t="shared" ref="AV141:AV204" ca="1" si="24">IFERROR(IF(AU141&gt;1,IF($AU$2=1,1,AU141),AU141)*R141,"")</f>
        <v>2.4247999999999999E-2</v>
      </c>
      <c r="AW141" s="93" cm="1">
        <f t="array" ref="AW141">IF(INDEX(AO141:AU141,1,$AV$3)&gt;1,IF($AU$2=1,1,INDEX(AO141:AU141,1,$AV$3)),INDEX(AO141:AU141,1,$AV$3))</f>
        <v>1</v>
      </c>
      <c r="AX141"/>
      <c r="AY141" s="119" t="str">
        <f>IFERROR(IF((W141/FORMULACIÓN!X141)&lt;&gt;0,W141/FORMULACIÓN!X141,0),"")</f>
        <v/>
      </c>
      <c r="AZ141" s="119" t="str">
        <f>IFERROR(IF((AA141/FORMULACIÓN!AB141)&lt;&gt;0,AA141/FORMULACIÓN!AB141,0),"")</f>
        <v/>
      </c>
      <c r="BA141" s="119" t="str">
        <f>IFERROR(IF((AE141/FORMULACIÓN!AF141)&lt;&gt;0,(AE141/FORMULACIÓN!AF141),0),"")</f>
        <v/>
      </c>
      <c r="BB141" s="119" t="str">
        <f>IFERROR(IF((AI141/FORMULACIÓN!AJ141)&lt;&gt;0,AI141/FORMULACIÓN!AJ141,0),"")</f>
        <v/>
      </c>
      <c r="BC141" s="120" t="str">
        <f>IF('SEGUIMIENTO Y EVALUACIÓN'!AI141=0,0,TEXT('SEGUIMIENTO Y EVALUACIÓN'!AI141,"$ ##.###")&amp;" / "&amp;TEXT(FORMULACIÓN!AK141,"$ ##.###"))</f>
        <v xml:space="preserve"> / $ 2.720.508.088</v>
      </c>
      <c r="BD141" s="57">
        <f>IFERROR(IF((AJ141/FORMULACIÓN!AK141)&lt;&gt;0,AJ141/FORMULACIÓN!AK141,0),0)</f>
        <v>0</v>
      </c>
      <c r="CL141" s="7"/>
    </row>
    <row r="142" spans="1:90" s="1" customFormat="1" ht="99.95" customHeight="1">
      <c r="A142" s="45">
        <f>IF(FORMULACIÓN!A142="","",FORMULACIÓN!A142)</f>
        <v>131</v>
      </c>
      <c r="B142" s="45" t="str">
        <f>IF(FORMULACIÓN!B142="","",FORMULACIÓN!B142)</f>
        <v xml:space="preserve">L5 - Modernización de la Gestión Administrativa </v>
      </c>
      <c r="C142" s="45" t="str">
        <f>IF(FORMULACIÓN!E142="","",FORMULACIÓN!E142)</f>
        <v>M1 - Fortalecimiento institucional</v>
      </c>
      <c r="D142" s="45" t="str">
        <f>IF(FORMULACIÓN!F142="","",FORMULACIÓN!F142)</f>
        <v>Modernizar la plataforma tecnológica de la Universidad</v>
      </c>
      <c r="E142" s="45" t="str">
        <f>IF(FORMULACIÓN!G142="","",FORMULACIÓN!G142)</f>
        <v>Plan de modernización de plataforma tecnológica implementado a 10 años</v>
      </c>
      <c r="F142" s="45" t="str">
        <f>IF(FORMULACIÓN!H142="","",FORMULACIÓN!H142)</f>
        <v>(N° de componentes del plan implementados / N° total de componentes del plan) * 100</v>
      </c>
      <c r="G142" s="45" t="str">
        <f>IF(FORMULACIÓN!I142="","",FORMULACIÓN!I142)</f>
        <v>Porcentaje</v>
      </c>
      <c r="H142" s="45" t="str">
        <f>IF(FORMULACIÓN!J142="","",FORMULACIÓN!J142)</f>
        <v>Acumulado</v>
      </c>
      <c r="I142" s="188" t="str">
        <f ca="1">IF($G142=Lists!$R$3,"PDI: "&amp;TEXT(FORMULACIÓN!Q142,"00,00%")&amp;CHAR(10)&amp;CHAR(10)&amp;"T1: "&amp;TEXT(FORMULACIÓN!L142,"00,00%")&amp;CHAR(10)&amp;"T2: "&amp;TEXT(FORMULACIÓN!M142,"00,00%")&amp;CHAR(10)&amp;"T3: "&amp;TEXT(FORMULACIÓN!N142,"00,00%")&amp;CHAR(10)&amp;"Tn: "&amp;TEXT(FORMULACIÓN!O142,"00,00%"),IF(FORMULACIÓN!Q142=0,0,"PDI: "&amp;TEXT(FORMULACIÓN!Q142,"##.###")&amp;CHAR(10)&amp;CHAR(10)&amp;"T1: "&amp;TEXT(FORMULACIÓN!L142,"##.###")&amp;CHAR(10)&amp;"T2: "&amp;TEXT(FORMULACIÓN!M142,"##.###")&amp;CHAR(10)&amp;"T3: "&amp;TEXT(FORMULACIÓN!N142,"##.###")&amp;CHAR(10)&amp;"Tn: "&amp;TEXT(FORMULACIÓN!O142,"##.###")))</f>
        <v>PDI: 100,00%
T1: 30,00%
T2: 30,00%
T3: 30,00%
Tn: 10,00%</v>
      </c>
      <c r="J142" s="122">
        <f>IF(FORMULACIÓN!K142&lt;&gt;"",FORMULACIÓN!K142,"")</f>
        <v>0</v>
      </c>
      <c r="K142" s="309">
        <v>0.44</v>
      </c>
      <c r="L142" s="58"/>
      <c r="M142" s="58"/>
      <c r="N142" s="58"/>
      <c r="O142" s="47">
        <f ca="1">IFERROR(IF($H142=Lists!$S$2,SUM('SEGUIMIENTO Y EVALUACIÓN'!J142:N142),IF('SEGUIMIENTO Y EVALUACIÓN'!$H142=Lists!$S$3,SUM('SEGUIMIENTO Y EVALUACIÓN'!K142:N142),IF('SEGUIMIENTO Y EVALUACIÓN'!$H142=Lists!$S$4,AVERAGE('SEGUIMIENTO Y EVALUACIÓN'!K142:N142),IF('SEGUIMIENTO Y EVALUACIÓN'!$H142=Lists!$S$5,OFFSET(J142,0,COUNTA(K142:N142)),IF($H142=Lists!$S$6,COUNTIF(K142:N142,"&lt;"&amp;FORMULACIÓN!Q142)/COUNT('SEGUIMIENTO Y EVALUACIÓN'!K142:N142),""))))),"")</f>
        <v>0.44</v>
      </c>
      <c r="P142" s="51" t="str">
        <f ca="1">IF($G142=Lists!$R$3,TEXT('SEGUIMIENTO Y EVALUACIÓN'!O142,"00,00%"),IF('SEGUIMIENTO Y EVALUACIÓN'!O142=0,0,TEXT('SEGUIMIENTO Y EVALUACIÓN'!O142,"##.###")))</f>
        <v>44,00%</v>
      </c>
      <c r="Q142" s="209" t="str">
        <f>IF(FORMULACIÓN!R142&lt;&gt;"",FORMULACIÓN!R142,"")</f>
        <v>P2 - Modernización de las herramientas tecnológicas y los sistemas de gestión.</v>
      </c>
      <c r="R142" s="209">
        <f>IF(FORMULACIÓN!S142&lt;&gt;"",FORMULACIÓN!S142,"")</f>
        <v>0.04</v>
      </c>
      <c r="S142" s="209" t="str">
        <f>IF(FORMULACIÓN!T142&lt;&gt;"",FORMULACIÓN!T142,"")</f>
        <v>Jefe de Oficina Informática</v>
      </c>
      <c r="T142" s="42"/>
      <c r="U142" s="42"/>
      <c r="V142" s="42"/>
      <c r="W142" s="43" t="str">
        <f t="shared" si="18"/>
        <v/>
      </c>
      <c r="X142" s="42"/>
      <c r="Y142" s="42"/>
      <c r="Z142" s="42"/>
      <c r="AA142" s="43" t="str">
        <f t="shared" si="19"/>
        <v/>
      </c>
      <c r="AB142" s="42"/>
      <c r="AC142" s="42"/>
      <c r="AD142" s="42"/>
      <c r="AE142" s="43" t="str">
        <f t="shared" si="20"/>
        <v/>
      </c>
      <c r="AF142" s="42"/>
      <c r="AG142" s="42"/>
      <c r="AH142" s="42"/>
      <c r="AI142" s="46" t="str">
        <f t="shared" si="21"/>
        <v/>
      </c>
      <c r="AJ142" s="46" t="str">
        <f>IF(SUM(AA142,AE142,W142,AI142)=0,"",SUM((AA142,AE142,W142,AI142)))</f>
        <v/>
      </c>
      <c r="AK142"/>
      <c r="AL142" s="1" t="str">
        <f t="shared" si="22"/>
        <v>L5M1P2</v>
      </c>
      <c r="AM142" s="56" t="str">
        <f t="shared" si="23"/>
        <v>Plan de modernización de plataforma tecnológica implementado a 10 años</v>
      </c>
      <c r="AN142" s="112" t="str">
        <f>IF($G142=Lists!$R$3,"T1: "&amp;TEXT(FORMULACIÓN!L142,"00,00%")&amp;CHAR(10)&amp;"T2: "&amp;TEXT(FORMULACIÓN!M142,"00,00%")&amp;CHAR(10)&amp;"T3: "&amp;TEXT(FORMULACIÓN!N142,"00,00%")&amp;CHAR(10)&amp;"Tn: "&amp;TEXT(FORMULACIÓN!O142,"00,00%"),IF(FORMULACIÓN!Q142=0,0,"T1: "&amp;TEXT(FORMULACIÓN!L142,"##.###")&amp;CHAR(10)&amp;"T2: "&amp;TEXT(FORMULACIÓN!M142,"##.###")&amp;CHAR(10)&amp;"T3: "&amp;TEXT(FORMULACIÓN!N142,"##.###")&amp;CHAR(10)&amp;"Tn: "&amp;TEXT(FORMULACIÓN!O142,"##.###")))</f>
        <v>T1: 30,00%
T2: 30,00%
T3: 30,00%
Tn: 10,00%</v>
      </c>
      <c r="AO142" s="117">
        <f>IFERROR(IF($H142=Lists!$S$6,IF(AND(FORMULACIÓN!L142&gt;K142,K142&gt;0),1,0),IF((K142/FORMULACIÓN!L142)&lt;&gt;0,K142/FORMULACIÓN!L142,0)),"")</f>
        <v>1.4666666666666668</v>
      </c>
      <c r="AP142" s="117">
        <f>IFERROR(IF($H142=Lists!$S$6,IF(AND(FORMULACIÓN!M142&gt;L142,L142&gt;0),1,0),IF((L142/FORMULACIÓN!M142)&lt;&gt;0,L142/FORMULACIÓN!M142,0)),"")</f>
        <v>0</v>
      </c>
      <c r="AQ142" s="117">
        <f>IFERROR(IF($H142=Lists!$S$6,IF(AND(FORMULACIÓN!N142&gt;M142,M142&gt;0),1,0),IF((M142/FORMULACIÓN!N142)&lt;&gt;0,M142/FORMULACIÓN!N142,0)),"")</f>
        <v>0</v>
      </c>
      <c r="AR142" s="117">
        <f>IFERROR(IF($H142=Lists!$S$6,IF(AND(FORMULACIÓN!O142&gt;N142,N142&gt;0),1,0),IF((N142/FORMULACIÓN!O142)&lt;&gt;0,N142/FORMULACIÓN!O142,0)),"")</f>
        <v>0</v>
      </c>
      <c r="AS142" s="110"/>
      <c r="AT142" s="118" t="str">
        <f ca="1">IF($H142=Lists!$S$6,TEXT(COUNTIF('SEGUIMIENTO Y EVALUACIÓN'!K142:N142,"&lt;"&amp;FORMULACIÓN!Q142),"##.###")&amp;" / "&amp;TEXT(COUNTIF('SEGUIMIENTO Y EVALUACIÓN'!K142:N142,"&gt;"&amp;0),"##.###"),IF($G142=Lists!$R$3,TEXT('SEGUIMIENTO Y EVALUACIÓN'!O142,"00,00%")&amp;" / "&amp;TEXT(FORMULACIÓN!P142,"00,00%"),IF('SEGUIMIENTO Y EVALUACIÓN'!O142=0,0,TEXT('SEGUIMIENTO Y EVALUACIÓN'!O142,"##.###")&amp;" / "&amp;TEXT(FORMULACIÓN!P142,"##.###"))))</f>
        <v>44,00% / 100,00%</v>
      </c>
      <c r="AU142" s="57">
        <f ca="1">IFERROR(IF((P142/FORMULACIÓN!Q142)&lt;&gt;0,IF($H142=Lists!$S$6,COUNTIF('SEGUIMIENTO Y EVALUACIÓN'!K142:N142,"&lt;"&amp;FORMULACIÓN!Q142),'SEGUIMIENTO Y EVALUACIÓN'!P142)/IF($H142=Lists!$S$6,COUNTIF('SEGUIMIENTO Y EVALUACIÓN'!K142:N142,"&gt;"&amp;0),FORMULACIÓN!P142),0),0)</f>
        <v>0.44000000000000006</v>
      </c>
      <c r="AV142" s="93">
        <f t="shared" ca="1" si="24"/>
        <v>1.7600000000000001E-2</v>
      </c>
      <c r="AW142" s="93" cm="1">
        <f t="array" ref="AW142">IF(INDEX(AO142:AU142,1,$AV$3)&gt;1,IF($AU$2=1,1,INDEX(AO142:AU142,1,$AV$3)),INDEX(AO142:AU142,1,$AV$3))</f>
        <v>1</v>
      </c>
      <c r="AX142"/>
      <c r="AY142" s="119" t="str">
        <f>IFERROR(IF((W142/FORMULACIÓN!X142)&lt;&gt;0,W142/FORMULACIÓN!X142,0),"")</f>
        <v/>
      </c>
      <c r="AZ142" s="119" t="str">
        <f>IFERROR(IF((AA142/FORMULACIÓN!AB142)&lt;&gt;0,AA142/FORMULACIÓN!AB142,0),"")</f>
        <v/>
      </c>
      <c r="BA142" s="119" t="str">
        <f>IFERROR(IF((AE142/FORMULACIÓN!AF142)&lt;&gt;0,(AE142/FORMULACIÓN!AF142),0),"")</f>
        <v/>
      </c>
      <c r="BB142" s="119" t="str">
        <f>IFERROR(IF((AI142/FORMULACIÓN!AJ142)&lt;&gt;0,AI142/FORMULACIÓN!AJ142,0),"")</f>
        <v/>
      </c>
      <c r="BC142" s="120" t="str">
        <f>IF('SEGUIMIENTO Y EVALUACIÓN'!AI142=0,0,TEXT('SEGUIMIENTO Y EVALUACIÓN'!AI142,"$ ##.###")&amp;" / "&amp;TEXT(FORMULACIÓN!AK142,"$ ##.###"))</f>
        <v xml:space="preserve"> / $ 1.813.672.059</v>
      </c>
      <c r="BD142" s="57">
        <f>IFERROR(IF((AJ142/FORMULACIÓN!AK142)&lt;&gt;0,AJ142/FORMULACIÓN!AK142,0),0)</f>
        <v>0</v>
      </c>
      <c r="CL142" s="7"/>
    </row>
    <row r="143" spans="1:90" s="1" customFormat="1" ht="99.95" customHeight="1">
      <c r="A143" s="45">
        <f>IF(FORMULACIÓN!A143="","",FORMULACIÓN!A143)</f>
        <v>132</v>
      </c>
      <c r="B143" s="45" t="str">
        <f>IF(FORMULACIÓN!B143="","",FORMULACIÓN!B143)</f>
        <v xml:space="preserve">L5 - Modernización de la Gestión Administrativa </v>
      </c>
      <c r="C143" s="45" t="str">
        <f>IF(FORMULACIÓN!E143="","",FORMULACIÓN!E143)</f>
        <v>M1 - Fortalecimiento institucional</v>
      </c>
      <c r="D143" s="45" t="str">
        <f>IF(FORMULACIÓN!F143="","",FORMULACIÓN!F143)</f>
        <v>Modernizar la plataforma tecnológica de la Universidad</v>
      </c>
      <c r="E143" s="45" t="str">
        <f>IF(FORMULACIÓN!G143="","",FORMULACIÓN!G143)</f>
        <v xml:space="preserve">Fortalecimiento de los procesos de gestión administrativos y académicos soportados en herramientas tecnológicas </v>
      </c>
      <c r="F143" s="45" t="str">
        <f>IF(FORMULACIÓN!H143="","",FORMULACIÓN!H143)</f>
        <v>(N° de procesos fortalecidos / N° de procesos priorizados) *100</v>
      </c>
      <c r="G143" s="45" t="str">
        <f>IF(FORMULACIÓN!I143="","",FORMULACIÓN!I143)</f>
        <v>Porcentaje</v>
      </c>
      <c r="H143" s="45" t="str">
        <f>IF(FORMULACIÓN!J143="","",FORMULACIÓN!J143)</f>
        <v>Acumulado</v>
      </c>
      <c r="I143" s="188" t="str">
        <f ca="1">IF($G143=Lists!$R$3,"PDI: "&amp;TEXT(FORMULACIÓN!Q143,"00,00%")&amp;CHAR(10)&amp;CHAR(10)&amp;"T1: "&amp;TEXT(FORMULACIÓN!L143,"00,00%")&amp;CHAR(10)&amp;"T2: "&amp;TEXT(FORMULACIÓN!M143,"00,00%")&amp;CHAR(10)&amp;"T3: "&amp;TEXT(FORMULACIÓN!N143,"00,00%")&amp;CHAR(10)&amp;"Tn: "&amp;TEXT(FORMULACIÓN!O143,"00,00%"),IF(FORMULACIÓN!Q143=0,0,"PDI: "&amp;TEXT(FORMULACIÓN!Q143,"##.###")&amp;CHAR(10)&amp;CHAR(10)&amp;"T1: "&amp;TEXT(FORMULACIÓN!L143,"##.###")&amp;CHAR(10)&amp;"T2: "&amp;TEXT(FORMULACIÓN!M143,"##.###")&amp;CHAR(10)&amp;"T3: "&amp;TEXT(FORMULACIÓN!N143,"##.###")&amp;CHAR(10)&amp;"Tn: "&amp;TEXT(FORMULACIÓN!O143,"##.###")))</f>
        <v>PDI: 100,00%
T1: 20,00%
T2: 30,00%
T3: 30,00%
Tn: 20,00%</v>
      </c>
      <c r="J143" s="122">
        <f>IF(FORMULACIÓN!K143&lt;&gt;"",FORMULACIÓN!K143,"")</f>
        <v>0</v>
      </c>
      <c r="K143" s="309">
        <v>0.5</v>
      </c>
      <c r="L143" s="58"/>
      <c r="M143" s="58"/>
      <c r="N143" s="58"/>
      <c r="O143" s="47">
        <f ca="1">IFERROR(IF($H143=Lists!$S$2,SUM('SEGUIMIENTO Y EVALUACIÓN'!J143:N143),IF('SEGUIMIENTO Y EVALUACIÓN'!$H143=Lists!$S$3,SUM('SEGUIMIENTO Y EVALUACIÓN'!K143:N143),IF('SEGUIMIENTO Y EVALUACIÓN'!$H143=Lists!$S$4,AVERAGE('SEGUIMIENTO Y EVALUACIÓN'!K143:N143),IF('SEGUIMIENTO Y EVALUACIÓN'!$H143=Lists!$S$5,OFFSET(J143,0,COUNTA(K143:N143)),IF($H143=Lists!$S$6,COUNTIF(K143:N143,"&lt;"&amp;FORMULACIÓN!Q143)/COUNT('SEGUIMIENTO Y EVALUACIÓN'!K143:N143),""))))),"")</f>
        <v>0.5</v>
      </c>
      <c r="P143" s="51" t="str">
        <f ca="1">IF($G143=Lists!$R$3,TEXT('SEGUIMIENTO Y EVALUACIÓN'!O143,"00,00%"),IF('SEGUIMIENTO Y EVALUACIÓN'!O143=0,0,TEXT('SEGUIMIENTO Y EVALUACIÓN'!O143,"##.###")))</f>
        <v>50,00%</v>
      </c>
      <c r="Q143" s="209" t="str">
        <f>IF(FORMULACIÓN!R143&lt;&gt;"",FORMULACIÓN!R143,"")</f>
        <v>P2 - Modernización de las herramientas tecnológicas y los sistemas de gestión.</v>
      </c>
      <c r="R143" s="209">
        <f>IF(FORMULACIÓN!S143&lt;&gt;"",FORMULACIÓN!S143,"")</f>
        <v>0.04</v>
      </c>
      <c r="S143" s="209" t="str">
        <f>IF(FORMULACIÓN!T143&lt;&gt;"",FORMULACIÓN!T143,"")</f>
        <v>Jefe de Oficina Informática</v>
      </c>
      <c r="T143" s="42"/>
      <c r="U143" s="42"/>
      <c r="V143" s="42"/>
      <c r="W143" s="43" t="str">
        <f t="shared" si="18"/>
        <v/>
      </c>
      <c r="X143" s="42"/>
      <c r="Y143" s="42"/>
      <c r="Z143" s="42"/>
      <c r="AA143" s="43" t="str">
        <f t="shared" si="19"/>
        <v/>
      </c>
      <c r="AB143" s="42"/>
      <c r="AC143" s="42"/>
      <c r="AD143" s="42"/>
      <c r="AE143" s="43" t="str">
        <f t="shared" si="20"/>
        <v/>
      </c>
      <c r="AF143" s="42"/>
      <c r="AG143" s="42"/>
      <c r="AH143" s="42"/>
      <c r="AI143" s="46" t="str">
        <f t="shared" si="21"/>
        <v/>
      </c>
      <c r="AJ143" s="46" t="str">
        <f>IF(SUM(AA143,AE143,W143,AI143)=0,"",SUM((AA143,AE143,W143,AI143)))</f>
        <v/>
      </c>
      <c r="AK143"/>
      <c r="AL143" s="1" t="str">
        <f t="shared" si="22"/>
        <v>L5M1P2</v>
      </c>
      <c r="AM143" s="56" t="str">
        <f t="shared" si="23"/>
        <v xml:space="preserve">Fortalecimiento de los procesos de gestión administrativos y académicos soportados en herramientas tecnológicas </v>
      </c>
      <c r="AN143" s="112" t="str">
        <f>IF($G143=Lists!$R$3,"T1: "&amp;TEXT(FORMULACIÓN!L143,"00,00%")&amp;CHAR(10)&amp;"T2: "&amp;TEXT(FORMULACIÓN!M143,"00,00%")&amp;CHAR(10)&amp;"T3: "&amp;TEXT(FORMULACIÓN!N143,"00,00%")&amp;CHAR(10)&amp;"Tn: "&amp;TEXT(FORMULACIÓN!O143,"00,00%"),IF(FORMULACIÓN!Q143=0,0,"T1: "&amp;TEXT(FORMULACIÓN!L143,"##.###")&amp;CHAR(10)&amp;"T2: "&amp;TEXT(FORMULACIÓN!M143,"##.###")&amp;CHAR(10)&amp;"T3: "&amp;TEXT(FORMULACIÓN!N143,"##.###")&amp;CHAR(10)&amp;"Tn: "&amp;TEXT(FORMULACIÓN!O143,"##.###")))</f>
        <v>T1: 20,00%
T2: 30,00%
T3: 30,00%
Tn: 20,00%</v>
      </c>
      <c r="AO143" s="117">
        <f>IFERROR(IF($H143=Lists!$S$6,IF(AND(FORMULACIÓN!L143&gt;K143,K143&gt;0),1,0),IF((K143/FORMULACIÓN!L143)&lt;&gt;0,K143/FORMULACIÓN!L143,0)),"")</f>
        <v>2.5</v>
      </c>
      <c r="AP143" s="117">
        <f>IFERROR(IF($H143=Lists!$S$6,IF(AND(FORMULACIÓN!M143&gt;L143,L143&gt;0),1,0),IF((L143/FORMULACIÓN!M143)&lt;&gt;0,L143/FORMULACIÓN!M143,0)),"")</f>
        <v>0</v>
      </c>
      <c r="AQ143" s="117">
        <f>IFERROR(IF($H143=Lists!$S$6,IF(AND(FORMULACIÓN!N143&gt;M143,M143&gt;0),1,0),IF((M143/FORMULACIÓN!N143)&lt;&gt;0,M143/FORMULACIÓN!N143,0)),"")</f>
        <v>0</v>
      </c>
      <c r="AR143" s="117">
        <f>IFERROR(IF($H143=Lists!$S$6,IF(AND(FORMULACIÓN!O143&gt;N143,N143&gt;0),1,0),IF((N143/FORMULACIÓN!O143)&lt;&gt;0,N143/FORMULACIÓN!O143,0)),"")</f>
        <v>0</v>
      </c>
      <c r="AS143" s="110"/>
      <c r="AT143" s="118" t="str">
        <f ca="1">IF($H143=Lists!$S$6,TEXT(COUNTIF('SEGUIMIENTO Y EVALUACIÓN'!K143:N143,"&lt;"&amp;FORMULACIÓN!Q143),"##.###")&amp;" / "&amp;TEXT(COUNTIF('SEGUIMIENTO Y EVALUACIÓN'!K143:N143,"&gt;"&amp;0),"##.###"),IF($G143=Lists!$R$3,TEXT('SEGUIMIENTO Y EVALUACIÓN'!O143,"00,00%")&amp;" / "&amp;TEXT(FORMULACIÓN!P143,"00,00%"),IF('SEGUIMIENTO Y EVALUACIÓN'!O143=0,0,TEXT('SEGUIMIENTO Y EVALUACIÓN'!O143,"##.###")&amp;" / "&amp;TEXT(FORMULACIÓN!P143,"##.###"))))</f>
        <v>50,00% / 100,00%</v>
      </c>
      <c r="AU143" s="57">
        <f ca="1">IFERROR(IF((P143/FORMULACIÓN!Q143)&lt;&gt;0,IF($H143=Lists!$S$6,COUNTIF('SEGUIMIENTO Y EVALUACIÓN'!K143:N143,"&lt;"&amp;FORMULACIÓN!Q143),'SEGUIMIENTO Y EVALUACIÓN'!P143)/IF($H143=Lists!$S$6,COUNTIF('SEGUIMIENTO Y EVALUACIÓN'!K143:N143,"&gt;"&amp;0),FORMULACIÓN!P143),0),0)</f>
        <v>0.5</v>
      </c>
      <c r="AV143" s="93">
        <f t="shared" ca="1" si="24"/>
        <v>0.02</v>
      </c>
      <c r="AW143" s="93" cm="1">
        <f t="array" ref="AW143">IF(INDEX(AO143:AU143,1,$AV$3)&gt;1,IF($AU$2=1,1,INDEX(AO143:AU143,1,$AV$3)),INDEX(AO143:AU143,1,$AV$3))</f>
        <v>1</v>
      </c>
      <c r="AX143"/>
      <c r="AY143" s="119" t="str">
        <f>IFERROR(IF((W143/FORMULACIÓN!X143)&lt;&gt;0,W143/FORMULACIÓN!X143,0),"")</f>
        <v/>
      </c>
      <c r="AZ143" s="119" t="str">
        <f>IFERROR(IF((AA143/FORMULACIÓN!AB143)&lt;&gt;0,AA143/FORMULACIÓN!AB143,0),"")</f>
        <v/>
      </c>
      <c r="BA143" s="119" t="str">
        <f>IFERROR(IF((AE143/FORMULACIÓN!AF143)&lt;&gt;0,(AE143/FORMULACIÓN!AF143),0),"")</f>
        <v/>
      </c>
      <c r="BB143" s="119" t="str">
        <f>IFERROR(IF((AI143/FORMULACIÓN!AJ143)&lt;&gt;0,AI143/FORMULACIÓN!AJ143,0),"")</f>
        <v/>
      </c>
      <c r="BC143" s="120" t="str">
        <f>IF('SEGUIMIENTO Y EVALUACIÓN'!AI143=0,0,TEXT('SEGUIMIENTO Y EVALUACIÓN'!AI143,"$ ##.###")&amp;" / "&amp;TEXT(FORMULACIÓN!AK143,"$ ##.###"))</f>
        <v xml:space="preserve"> / $ 2.818.874.717</v>
      </c>
      <c r="BD143" s="57">
        <f>IFERROR(IF((AJ143/FORMULACIÓN!AK143)&lt;&gt;0,AJ143/FORMULACIÓN!AK143,0),0)</f>
        <v>0</v>
      </c>
      <c r="CL143" s="7"/>
    </row>
    <row r="144" spans="1:90" s="1" customFormat="1" ht="99.95" customHeight="1">
      <c r="A144" s="45">
        <f>IF(FORMULACIÓN!A144="","",FORMULACIÓN!A144)</f>
        <v>133</v>
      </c>
      <c r="B144" s="45" t="str">
        <f>IF(FORMULACIÓN!B144="","",FORMULACIÓN!B144)</f>
        <v xml:space="preserve">L5 - Modernización de la Gestión Administrativa </v>
      </c>
      <c r="C144" s="45" t="str">
        <f>IF(FORMULACIÓN!E144="","",FORMULACIÓN!E144)</f>
        <v>M1 - Fortalecimiento institucional</v>
      </c>
      <c r="D144" s="45" t="str">
        <f>IF(FORMULACIÓN!F144="","",FORMULACIÓN!F144)</f>
        <v>Integrar y certificar los Sistemas de Gestión</v>
      </c>
      <c r="E144" s="45" t="str">
        <f>IF(FORMULACIÓN!G144="","",FORMULACIÓN!G144)</f>
        <v xml:space="preserve">Certificación de los sistemas de gestión (HSEQ) </v>
      </c>
      <c r="F144" s="45" t="str">
        <f>IF(FORMULACIÓN!H144="","",FORMULACIÓN!H144)</f>
        <v xml:space="preserve">Certificación de los sistemas de gestión (HSEQ)  </v>
      </c>
      <c r="G144" s="45" t="str">
        <f>IF(FORMULACIÓN!I144="","",FORMULACIÓN!I144)</f>
        <v>Unidad</v>
      </c>
      <c r="H144" s="45" t="str">
        <f>IF(FORMULACIÓN!J144="","",FORMULACIÓN!J144)</f>
        <v>Acumulado</v>
      </c>
      <c r="I144" s="188" t="str">
        <f ca="1">IF($G144=Lists!$R$3,"PDI: "&amp;TEXT(FORMULACIÓN!Q144,"00,00%")&amp;CHAR(10)&amp;CHAR(10)&amp;"T1: "&amp;TEXT(FORMULACIÓN!L144,"00,00%")&amp;CHAR(10)&amp;"T2: "&amp;TEXT(FORMULACIÓN!M144,"00,00%")&amp;CHAR(10)&amp;"T3: "&amp;TEXT(FORMULACIÓN!N144,"00,00%")&amp;CHAR(10)&amp;"Tn: "&amp;TEXT(FORMULACIÓN!O144,"00,00%"),IF(FORMULACIÓN!Q144=0,0,"PDI: "&amp;TEXT(FORMULACIÓN!Q144,"##.###")&amp;CHAR(10)&amp;CHAR(10)&amp;"T1: "&amp;TEXT(FORMULACIÓN!L144,"##.###")&amp;CHAR(10)&amp;"T2: "&amp;TEXT(FORMULACIÓN!M144,"##.###")&amp;CHAR(10)&amp;"T3: "&amp;TEXT(FORMULACIÓN!N144,"##.###")&amp;CHAR(10)&amp;"Tn: "&amp;TEXT(FORMULACIÓN!O144,"##.###")))</f>
        <v>PDI: 3
T1: 
T2: 
T3: 1
Tn: 1</v>
      </c>
      <c r="J144" s="122">
        <f>IF(FORMULACIÓN!K144&lt;&gt;"",FORMULACIÓN!K144,"")</f>
        <v>1</v>
      </c>
      <c r="K144" s="310">
        <v>0</v>
      </c>
      <c r="L144" s="58"/>
      <c r="M144" s="58"/>
      <c r="N144" s="58"/>
      <c r="O144" s="47">
        <f ca="1">IFERROR(IF($H144=Lists!$S$2,SUM('SEGUIMIENTO Y EVALUACIÓN'!J144:N144),IF('SEGUIMIENTO Y EVALUACIÓN'!$H144=Lists!$S$3,SUM('SEGUIMIENTO Y EVALUACIÓN'!K144:N144),IF('SEGUIMIENTO Y EVALUACIÓN'!$H144=Lists!$S$4,AVERAGE('SEGUIMIENTO Y EVALUACIÓN'!K144:N144),IF('SEGUIMIENTO Y EVALUACIÓN'!$H144=Lists!$S$5,OFFSET(J144,0,COUNTA(K144:N144)),IF($H144=Lists!$S$6,COUNTIF(K144:N144,"&lt;"&amp;FORMULACIÓN!Q144)/COUNT('SEGUIMIENTO Y EVALUACIÓN'!K144:N144),""))))),"")</f>
        <v>1</v>
      </c>
      <c r="P144" s="51" t="str">
        <f ca="1">IF($G144=Lists!$R$3,TEXT('SEGUIMIENTO Y EVALUACIÓN'!O144,"00,00%"),IF('SEGUIMIENTO Y EVALUACIÓN'!O144=0,0,TEXT('SEGUIMIENTO Y EVALUACIÓN'!O144,"##.###")))</f>
        <v>1</v>
      </c>
      <c r="Q144" s="209" t="str">
        <f>IF(FORMULACIÓN!R144&lt;&gt;"",FORMULACIÓN!R144,"")</f>
        <v xml:space="preserve">P3 - Planeación estratégica y fortalecimiento de los sistemas de gestión. </v>
      </c>
      <c r="R144" s="209">
        <f>IF(FORMULACIÓN!S144&lt;&gt;"",FORMULACIÓN!S144,"")</f>
        <v>0.04</v>
      </c>
      <c r="S144" s="209" t="str">
        <f>IF(FORMULACIÓN!T144&lt;&gt;"",FORMULACIÓN!T144,"")</f>
        <v>Jefe de Oficina de Planeación</v>
      </c>
      <c r="T144" s="42"/>
      <c r="U144" s="42"/>
      <c r="V144" s="42"/>
      <c r="W144" s="43" t="str">
        <f t="shared" si="18"/>
        <v/>
      </c>
      <c r="X144" s="42"/>
      <c r="Y144" s="42"/>
      <c r="Z144" s="42"/>
      <c r="AA144" s="43" t="str">
        <f t="shared" si="19"/>
        <v/>
      </c>
      <c r="AB144" s="42"/>
      <c r="AC144" s="42"/>
      <c r="AD144" s="42"/>
      <c r="AE144" s="43" t="str">
        <f t="shared" si="20"/>
        <v/>
      </c>
      <c r="AF144" s="42"/>
      <c r="AG144" s="42"/>
      <c r="AH144" s="42"/>
      <c r="AI144" s="46" t="str">
        <f t="shared" si="21"/>
        <v/>
      </c>
      <c r="AJ144" s="46" t="str">
        <f>IF(SUM(AA144,AE144,W144,AI144)=0,"",SUM((AA144,AE144,W144,AI144)))</f>
        <v/>
      </c>
      <c r="AK144"/>
      <c r="AL144" s="1" t="str">
        <f t="shared" si="22"/>
        <v>L5M1P3</v>
      </c>
      <c r="AM144" s="56" t="str">
        <f t="shared" si="23"/>
        <v xml:space="preserve">Certificación de los sistemas de gestión (HSEQ) </v>
      </c>
      <c r="AN144" s="112" t="str">
        <f ca="1">IF($G144=Lists!$R$3,"T1: "&amp;TEXT(FORMULACIÓN!L144,"00,00%")&amp;CHAR(10)&amp;"T2: "&amp;TEXT(FORMULACIÓN!M144,"00,00%")&amp;CHAR(10)&amp;"T3: "&amp;TEXT(FORMULACIÓN!N144,"00,00%")&amp;CHAR(10)&amp;"Tn: "&amp;TEXT(FORMULACIÓN!O144,"00,00%"),IF(FORMULACIÓN!Q144=0,0,"T1: "&amp;TEXT(FORMULACIÓN!L144,"##.###")&amp;CHAR(10)&amp;"T2: "&amp;TEXT(FORMULACIÓN!M144,"##.###")&amp;CHAR(10)&amp;"T3: "&amp;TEXT(FORMULACIÓN!N144,"##.###")&amp;CHAR(10)&amp;"Tn: "&amp;TEXT(FORMULACIÓN!O144,"##.###")))</f>
        <v>T1: 
T2: 
T3: 1
Tn: 1</v>
      </c>
      <c r="AO144" s="117" t="str">
        <f>IFERROR(IF($H144=Lists!$S$6,IF(AND(FORMULACIÓN!L144&gt;K144,K144&gt;0),1,0),IF((K144/FORMULACIÓN!L144)&lt;&gt;0,K144/FORMULACIÓN!L144,0)),"")</f>
        <v/>
      </c>
      <c r="AP144" s="117" t="str">
        <f>IFERROR(IF($H144=Lists!$S$6,IF(AND(FORMULACIÓN!M144&gt;L144,L144&gt;0),1,0),IF((L144/FORMULACIÓN!M144)&lt;&gt;0,L144/FORMULACIÓN!M144,0)),"")</f>
        <v/>
      </c>
      <c r="AQ144" s="117">
        <f>IFERROR(IF($H144=Lists!$S$6,IF(AND(FORMULACIÓN!N144&gt;M144,M144&gt;0),1,0),IF((M144/FORMULACIÓN!N144)&lt;&gt;0,M144/FORMULACIÓN!N144,0)),"")</f>
        <v>0</v>
      </c>
      <c r="AR144" s="117">
        <f>IFERROR(IF($H144=Lists!$S$6,IF(AND(FORMULACIÓN!O144&gt;N144,N144&gt;0),1,0),IF((N144/FORMULACIÓN!O144)&lt;&gt;0,N144/FORMULACIÓN!O144,0)),"")</f>
        <v>0</v>
      </c>
      <c r="AS144" s="110"/>
      <c r="AT144" s="118" t="str">
        <f ca="1">IF($H144=Lists!$S$6,TEXT(COUNTIF('SEGUIMIENTO Y EVALUACIÓN'!K144:N144,"&lt;"&amp;FORMULACIÓN!Q144),"##.###")&amp;" / "&amp;TEXT(COUNTIF('SEGUIMIENTO Y EVALUACIÓN'!K144:N144,"&gt;"&amp;0),"##.###"),IF($G144=Lists!$R$3,TEXT('SEGUIMIENTO Y EVALUACIÓN'!O144,"00,00%")&amp;" / "&amp;TEXT(FORMULACIÓN!P144,"00,00%"),IF('SEGUIMIENTO Y EVALUACIÓN'!O144=0,0,TEXT('SEGUIMIENTO Y EVALUACIÓN'!O144,"##.###")&amp;" / "&amp;TEXT(FORMULACIÓN!P144,"##.###"))))</f>
        <v>1 / 3</v>
      </c>
      <c r="AU144" s="57">
        <f ca="1">IFERROR(IF((P144/FORMULACIÓN!Q144)&lt;&gt;0,IF($H144=Lists!$S$6,COUNTIF('SEGUIMIENTO Y EVALUACIÓN'!K144:N144,"&lt;"&amp;FORMULACIÓN!Q144),'SEGUIMIENTO Y EVALUACIÓN'!P144)/IF($H144=Lists!$S$6,COUNTIF('SEGUIMIENTO Y EVALUACIÓN'!K144:N144,"&gt;"&amp;0),FORMULACIÓN!P144),0),0)</f>
        <v>0.33333333333333331</v>
      </c>
      <c r="AV144" s="93">
        <f t="shared" ca="1" si="24"/>
        <v>1.3333333333333332E-2</v>
      </c>
      <c r="AW144" s="93" cm="1">
        <f t="array" ref="AW144">IF(INDEX(AO144:AU144,1,$AV$3)&gt;1,IF($AU$2=1,1,INDEX(AO144:AU144,1,$AV$3)),INDEX(AO144:AU144,1,$AV$3))</f>
        <v>1</v>
      </c>
      <c r="AX144"/>
      <c r="AY144" s="119" t="str">
        <f>IFERROR(IF((W144/FORMULACIÓN!X144)&lt;&gt;0,W144/FORMULACIÓN!X144,0),"")</f>
        <v/>
      </c>
      <c r="AZ144" s="119" t="str">
        <f>IFERROR(IF((AA144/FORMULACIÓN!AB144)&lt;&gt;0,AA144/FORMULACIÓN!AB144,0),"")</f>
        <v/>
      </c>
      <c r="BA144" s="119" t="str">
        <f>IFERROR(IF((AE144/FORMULACIÓN!AF144)&lt;&gt;0,(AE144/FORMULACIÓN!AF144),0),"")</f>
        <v/>
      </c>
      <c r="BB144" s="119" t="str">
        <f>IFERROR(IF((AI144/FORMULACIÓN!AJ144)&lt;&gt;0,AI144/FORMULACIÓN!AJ144,0),"")</f>
        <v/>
      </c>
      <c r="BC144" s="120" t="str">
        <f>IF('SEGUIMIENTO Y EVALUACIÓN'!AI144=0,0,TEXT('SEGUIMIENTO Y EVALUACIÓN'!AI144,"$ ##.###")&amp;" / "&amp;TEXT(FORMULACIÓN!AK144,"$ ##.###"))</f>
        <v xml:space="preserve"> / $ 3.063.772.860</v>
      </c>
      <c r="BD144" s="57">
        <f>IFERROR(IF((AJ144/FORMULACIÓN!AK144)&lt;&gt;0,AJ144/FORMULACIÓN!AK144,0),0)</f>
        <v>0</v>
      </c>
      <c r="CL144" s="7"/>
    </row>
    <row r="145" spans="1:90" s="1" customFormat="1" ht="99.95" customHeight="1">
      <c r="A145" s="45">
        <f>IF(FORMULACIÓN!A145="","",FORMULACIÓN!A145)</f>
        <v>134</v>
      </c>
      <c r="B145" s="45" t="str">
        <f>IF(FORMULACIÓN!B145="","",FORMULACIÓN!B145)</f>
        <v xml:space="preserve">L5 - Modernización de la Gestión Administrativa </v>
      </c>
      <c r="C145" s="45" t="str">
        <f>IF(FORMULACIÓN!E145="","",FORMULACIÓN!E145)</f>
        <v>M1 - Fortalecimiento institucional</v>
      </c>
      <c r="D145" s="45" t="str">
        <f>IF(FORMULACIÓN!F145="","",FORMULACIÓN!F145)</f>
        <v>Integrar y certificar los Sistemas de Gestión</v>
      </c>
      <c r="E145" s="45" t="str">
        <f>IF(FORMULACIÓN!G145="","",FORMULACIÓN!G145)</f>
        <v>Porcentaje de implementación del sistema MIPG</v>
      </c>
      <c r="F145" s="45" t="str">
        <f>IF(FORMULACIÓN!H145="","",FORMULACIÓN!H145)</f>
        <v>N° de dimensiones del MIPG implementadas / total de dimensiones del MIPG * 100</v>
      </c>
      <c r="G145" s="45" t="str">
        <f>IF(FORMULACIÓN!I145="","",FORMULACIÓN!I145)</f>
        <v>Porcentaje</v>
      </c>
      <c r="H145" s="45" t="str">
        <f>IF(FORMULACIÓN!J145="","",FORMULACIÓN!J145)</f>
        <v>Acumulado</v>
      </c>
      <c r="I145" s="188" t="str">
        <f ca="1">IF($G145=Lists!$R$3,"PDI: "&amp;TEXT(FORMULACIÓN!Q145,"00,00%")&amp;CHAR(10)&amp;CHAR(10)&amp;"T1: "&amp;TEXT(FORMULACIÓN!L145,"00,00%")&amp;CHAR(10)&amp;"T2: "&amp;TEXT(FORMULACIÓN!M145,"00,00%")&amp;CHAR(10)&amp;"T3: "&amp;TEXT(FORMULACIÓN!N145,"00,00%")&amp;CHAR(10)&amp;"Tn: "&amp;TEXT(FORMULACIÓN!O145,"00,00%"),IF(FORMULACIÓN!Q145=0,0,"PDI: "&amp;TEXT(FORMULACIÓN!Q145,"##.###")&amp;CHAR(10)&amp;CHAR(10)&amp;"T1: "&amp;TEXT(FORMULACIÓN!L145,"##.###")&amp;CHAR(10)&amp;"T2: "&amp;TEXT(FORMULACIÓN!M145,"##.###")&amp;CHAR(10)&amp;"T3: "&amp;TEXT(FORMULACIÓN!N145,"##.###")&amp;CHAR(10)&amp;"Tn: "&amp;TEXT(FORMULACIÓN!O145,"##.###")))</f>
        <v>PDI: 100,00%
T1: 14,10%
T2: 28,50%
T3: 28,50%
Tn: 28,90%</v>
      </c>
      <c r="J145" s="122">
        <f>IF(FORMULACIÓN!K145&lt;&gt;"",FORMULACIÓN!K145,"")</f>
        <v>0</v>
      </c>
      <c r="K145" s="309">
        <v>0.14000000000000001</v>
      </c>
      <c r="L145" s="58"/>
      <c r="M145" s="58"/>
      <c r="N145" s="58"/>
      <c r="O145" s="47">
        <f ca="1">IFERROR(IF($H145=Lists!$S$2,SUM('SEGUIMIENTO Y EVALUACIÓN'!J145:N145),IF('SEGUIMIENTO Y EVALUACIÓN'!$H145=Lists!$S$3,SUM('SEGUIMIENTO Y EVALUACIÓN'!K145:N145),IF('SEGUIMIENTO Y EVALUACIÓN'!$H145=Lists!$S$4,AVERAGE('SEGUIMIENTO Y EVALUACIÓN'!K145:N145),IF('SEGUIMIENTO Y EVALUACIÓN'!$H145=Lists!$S$5,OFFSET(J145,0,COUNTA(K145:N145)),IF($H145=Lists!$S$6,COUNTIF(K145:N145,"&lt;"&amp;FORMULACIÓN!Q145)/COUNT('SEGUIMIENTO Y EVALUACIÓN'!K145:N145),""))))),"")</f>
        <v>0.14000000000000001</v>
      </c>
      <c r="P145" s="51" t="str">
        <f ca="1">IF($G145=Lists!$R$3,TEXT('SEGUIMIENTO Y EVALUACIÓN'!O145,"00,00%"),IF('SEGUIMIENTO Y EVALUACIÓN'!O145=0,0,TEXT('SEGUIMIENTO Y EVALUACIÓN'!O145,"##.###")))</f>
        <v>14,00%</v>
      </c>
      <c r="Q145" s="209" t="str">
        <f>IF(FORMULACIÓN!R145&lt;&gt;"",FORMULACIÓN!R145,"")</f>
        <v xml:space="preserve">P3 - Planeación estratégica y fortalecimiento de los sistemas de gestión. </v>
      </c>
      <c r="R145" s="209">
        <f>IF(FORMULACIÓN!S145&lt;&gt;"",FORMULACIÓN!S145,"")</f>
        <v>0.04</v>
      </c>
      <c r="S145" s="209" t="str">
        <f>IF(FORMULACIÓN!T145&lt;&gt;"",FORMULACIÓN!T145,"")</f>
        <v>Jefe de Oficina de Planeación</v>
      </c>
      <c r="T145" s="42"/>
      <c r="U145" s="42"/>
      <c r="V145" s="42"/>
      <c r="W145" s="43" t="str">
        <f t="shared" si="18"/>
        <v/>
      </c>
      <c r="X145" s="42"/>
      <c r="Y145" s="42"/>
      <c r="Z145" s="42"/>
      <c r="AA145" s="43" t="str">
        <f t="shared" si="19"/>
        <v/>
      </c>
      <c r="AB145" s="42"/>
      <c r="AC145" s="42"/>
      <c r="AD145" s="42"/>
      <c r="AE145" s="43" t="str">
        <f t="shared" si="20"/>
        <v/>
      </c>
      <c r="AF145" s="42"/>
      <c r="AG145" s="42"/>
      <c r="AH145" s="42"/>
      <c r="AI145" s="46" t="str">
        <f t="shared" si="21"/>
        <v/>
      </c>
      <c r="AJ145" s="46" t="str">
        <f>IF(SUM(AA145,AE145,W145,AI145)=0,"",SUM((AA145,AE145,W145,AI145)))</f>
        <v/>
      </c>
      <c r="AK145"/>
      <c r="AL145" s="1" t="str">
        <f t="shared" si="22"/>
        <v>L5M1P3</v>
      </c>
      <c r="AM145" s="56" t="str">
        <f t="shared" si="23"/>
        <v>Porcentaje de implementación del sistema MIPG</v>
      </c>
      <c r="AN145" s="112" t="str">
        <f>IF($G145=Lists!$R$3,"T1: "&amp;TEXT(FORMULACIÓN!L145,"00,00%")&amp;CHAR(10)&amp;"T2: "&amp;TEXT(FORMULACIÓN!M145,"00,00%")&amp;CHAR(10)&amp;"T3: "&amp;TEXT(FORMULACIÓN!N145,"00,00%")&amp;CHAR(10)&amp;"Tn: "&amp;TEXT(FORMULACIÓN!O145,"00,00%"),IF(FORMULACIÓN!Q145=0,0,"T1: "&amp;TEXT(FORMULACIÓN!L145,"##.###")&amp;CHAR(10)&amp;"T2: "&amp;TEXT(FORMULACIÓN!M145,"##.###")&amp;CHAR(10)&amp;"T3: "&amp;TEXT(FORMULACIÓN!N145,"##.###")&amp;CHAR(10)&amp;"Tn: "&amp;TEXT(FORMULACIÓN!O145,"##.###")))</f>
        <v>T1: 14,10%
T2: 28,50%
T3: 28,50%
Tn: 28,90%</v>
      </c>
      <c r="AO145" s="117">
        <f>IFERROR(IF($H145=Lists!$S$6,IF(AND(FORMULACIÓN!L145&gt;K145,K145&gt;0),1,0),IF((K145/FORMULACIÓN!L145)&lt;&gt;0,K145/FORMULACIÓN!L145,0)),"")</f>
        <v>0.99290780141843993</v>
      </c>
      <c r="AP145" s="117">
        <f>IFERROR(IF($H145=Lists!$S$6,IF(AND(FORMULACIÓN!M145&gt;L145,L145&gt;0),1,0),IF((L145/FORMULACIÓN!M145)&lt;&gt;0,L145/FORMULACIÓN!M145,0)),"")</f>
        <v>0</v>
      </c>
      <c r="AQ145" s="117">
        <f>IFERROR(IF($H145=Lists!$S$6,IF(AND(FORMULACIÓN!N145&gt;M145,M145&gt;0),1,0),IF((M145/FORMULACIÓN!N145)&lt;&gt;0,M145/FORMULACIÓN!N145,0)),"")</f>
        <v>0</v>
      </c>
      <c r="AR145" s="117">
        <f>IFERROR(IF($H145=Lists!$S$6,IF(AND(FORMULACIÓN!O145&gt;N145,N145&gt;0),1,0),IF((N145/FORMULACIÓN!O145)&lt;&gt;0,N145/FORMULACIÓN!O145,0)),"")</f>
        <v>0</v>
      </c>
      <c r="AS145" s="110"/>
      <c r="AT145" s="118" t="str">
        <f ca="1">IF($H145=Lists!$S$6,TEXT(COUNTIF('SEGUIMIENTO Y EVALUACIÓN'!K145:N145,"&lt;"&amp;FORMULACIÓN!Q145),"##.###")&amp;" / "&amp;TEXT(COUNTIF('SEGUIMIENTO Y EVALUACIÓN'!K145:N145,"&gt;"&amp;0),"##.###"),IF($G145=Lists!$R$3,TEXT('SEGUIMIENTO Y EVALUACIÓN'!O145,"00,00%")&amp;" / "&amp;TEXT(FORMULACIÓN!P145,"00,00%"),IF('SEGUIMIENTO Y EVALUACIÓN'!O145=0,0,TEXT('SEGUIMIENTO Y EVALUACIÓN'!O145,"##.###")&amp;" / "&amp;TEXT(FORMULACIÓN!P145,"##.###"))))</f>
        <v>14,00% / 100,00%</v>
      </c>
      <c r="AU145" s="57">
        <f ca="1">IFERROR(IF((P145/FORMULACIÓN!Q145)&lt;&gt;0,IF($H145=Lists!$S$6,COUNTIF('SEGUIMIENTO Y EVALUACIÓN'!K145:N145,"&lt;"&amp;FORMULACIÓN!Q145),'SEGUIMIENTO Y EVALUACIÓN'!P145)/IF($H145=Lists!$S$6,COUNTIF('SEGUIMIENTO Y EVALUACIÓN'!K145:N145,"&gt;"&amp;0),FORMULACIÓN!P145),0),0)</f>
        <v>0.14000000000000004</v>
      </c>
      <c r="AV145" s="93">
        <f t="shared" ca="1" si="24"/>
        <v>5.6000000000000017E-3</v>
      </c>
      <c r="AW145" s="93" cm="1">
        <f t="array" ref="AW145">IF(INDEX(AO145:AU145,1,$AV$3)&gt;1,IF($AU$2=1,1,INDEX(AO145:AU145,1,$AV$3)),INDEX(AO145:AU145,1,$AV$3))</f>
        <v>0.99290780141843993</v>
      </c>
      <c r="AX145"/>
      <c r="AY145" s="119" t="str">
        <f>IFERROR(IF((W145/FORMULACIÓN!X145)&lt;&gt;0,W145/FORMULACIÓN!X145,0),"")</f>
        <v/>
      </c>
      <c r="AZ145" s="119" t="str">
        <f>IFERROR(IF((AA145/FORMULACIÓN!AB145)&lt;&gt;0,AA145/FORMULACIÓN!AB145,0),"")</f>
        <v/>
      </c>
      <c r="BA145" s="119" t="str">
        <f>IFERROR(IF((AE145/FORMULACIÓN!AF145)&lt;&gt;0,(AE145/FORMULACIÓN!AF145),0),"")</f>
        <v/>
      </c>
      <c r="BB145" s="119" t="str">
        <f>IFERROR(IF((AI145/FORMULACIÓN!AJ145)&lt;&gt;0,AI145/FORMULACIÓN!AJ145,0),"")</f>
        <v/>
      </c>
      <c r="BC145" s="120" t="str">
        <f>IF('SEGUIMIENTO Y EVALUACIÓN'!AI145=0,0,TEXT('SEGUIMIENTO Y EVALUACIÓN'!AI145,"$ ##.###")&amp;" / "&amp;TEXT(FORMULACIÓN!AK145,"$ ##.###"))</f>
        <v xml:space="preserve"> / $ 3.370.150.146</v>
      </c>
      <c r="BD145" s="57">
        <f>IFERROR(IF((AJ145/FORMULACIÓN!AK145)&lt;&gt;0,AJ145/FORMULACIÓN!AK145,0),0)</f>
        <v>0</v>
      </c>
      <c r="CL145" s="7"/>
    </row>
    <row r="146" spans="1:90" s="1" customFormat="1" ht="99.95" customHeight="1">
      <c r="A146" s="45">
        <f>IF(FORMULACIÓN!A146="","",FORMULACIÓN!A146)</f>
        <v>135</v>
      </c>
      <c r="B146" s="45" t="str">
        <f>IF(FORMULACIÓN!B146="","",FORMULACIÓN!B146)</f>
        <v xml:space="preserve">L5 - Modernización de la Gestión Administrativa </v>
      </c>
      <c r="C146" s="45" t="str">
        <f>IF(FORMULACIÓN!E146="","",FORMULACIÓN!E146)</f>
        <v>M1 - Fortalecimiento institucional</v>
      </c>
      <c r="D146" s="45" t="str">
        <f>IF(FORMULACIÓN!F146="","",FORMULACIÓN!F146)</f>
        <v>Ser una institución consciente y proactiva hacia el aporte de los ODS</v>
      </c>
      <c r="E146" s="45" t="str">
        <f>IF(FORMULACIÓN!G146="","",FORMULACIÓN!G146)</f>
        <v>Articulación de las actividades misionales con los ODS</v>
      </c>
      <c r="F146" s="45" t="str">
        <f>IF(FORMULACIÓN!H146="","",FORMULACIÓN!H146)</f>
        <v>Aporte porcentual por ODS según las iniciativas desarrolladas desde cada proceso misional</v>
      </c>
      <c r="G146" s="45" t="str">
        <f>IF(FORMULACIÓN!I146="","",FORMULACIÓN!I146)</f>
        <v>Porcentaje</v>
      </c>
      <c r="H146" s="45" t="str">
        <f>IF(FORMULACIÓN!J146="","",FORMULACIÓN!J146)</f>
        <v>Último valor reportado</v>
      </c>
      <c r="I146" s="188" t="str">
        <f ca="1">IF($G146=Lists!$R$3,"PDI: "&amp;TEXT(FORMULACIÓN!Q146,"00,00%")&amp;CHAR(10)&amp;CHAR(10)&amp;"T1: "&amp;TEXT(FORMULACIÓN!L146,"00,00%")&amp;CHAR(10)&amp;"T2: "&amp;TEXT(FORMULACIÓN!M146,"00,00%")&amp;CHAR(10)&amp;"T3: "&amp;TEXT(FORMULACIÓN!N146,"00,00%")&amp;CHAR(10)&amp;"Tn: "&amp;TEXT(FORMULACIÓN!O146,"00,00%"),IF(FORMULACIÓN!Q146=0,0,"PDI: "&amp;TEXT(FORMULACIÓN!Q146,"##.###")&amp;CHAR(10)&amp;CHAR(10)&amp;"T1: "&amp;TEXT(FORMULACIÓN!L146,"##.###")&amp;CHAR(10)&amp;"T2: "&amp;TEXT(FORMULACIÓN!M146,"##.###")&amp;CHAR(10)&amp;"T3: "&amp;TEXT(FORMULACIÓN!N146,"##.###")&amp;CHAR(10)&amp;"Tn: "&amp;TEXT(FORMULACIÓN!O146,"##.###")))</f>
        <v>PDI: 80,00%
T1: 20,00%
T2: 50,00%
T3: 80,00%
Tn: 80,00%</v>
      </c>
      <c r="J146" s="122">
        <f>IF(FORMULACIÓN!K146&lt;&gt;"",FORMULACIÓN!K146,"")</f>
        <v>0</v>
      </c>
      <c r="K146" s="309">
        <v>0.89580000000000004</v>
      </c>
      <c r="L146" s="58"/>
      <c r="M146" s="58"/>
      <c r="N146" s="58"/>
      <c r="O146" s="47">
        <f ca="1">IFERROR(IF($H146=Lists!$S$2,SUM('SEGUIMIENTO Y EVALUACIÓN'!J146:N146),IF('SEGUIMIENTO Y EVALUACIÓN'!$H146=Lists!$S$3,SUM('SEGUIMIENTO Y EVALUACIÓN'!K146:N146),IF('SEGUIMIENTO Y EVALUACIÓN'!$H146=Lists!$S$4,AVERAGE('SEGUIMIENTO Y EVALUACIÓN'!K146:N146),IF('SEGUIMIENTO Y EVALUACIÓN'!$H146=Lists!$S$5,OFFSET(J146,0,COUNTA(K146:N146)),IF($H146=Lists!$S$6,COUNTIF(K146:N146,"&lt;"&amp;FORMULACIÓN!Q146)/COUNT('SEGUIMIENTO Y EVALUACIÓN'!K146:N146),""))))),"")</f>
        <v>0.89580000000000004</v>
      </c>
      <c r="P146" s="51" t="str">
        <f ca="1">IF($G146=Lists!$R$3,TEXT('SEGUIMIENTO Y EVALUACIÓN'!O146,"00,00%"),IF('SEGUIMIENTO Y EVALUACIÓN'!O146=0,0,TEXT('SEGUIMIENTO Y EVALUACIÓN'!O146,"##.###")))</f>
        <v>89,58%</v>
      </c>
      <c r="Q146" s="209" t="str">
        <f>IF(FORMULACIÓN!R146&lt;&gt;"",FORMULACIÓN!R146,"")</f>
        <v xml:space="preserve">P3 - Planeación estratégica y fortalecimiento de los sistemas de gestión. </v>
      </c>
      <c r="R146" s="209">
        <f>IF(FORMULACIÓN!S146&lt;&gt;"",FORMULACIÓN!S146,"")</f>
        <v>0.04</v>
      </c>
      <c r="S146" s="209" t="str">
        <f>IF(FORMULACIÓN!T146&lt;&gt;"",FORMULACIÓN!T146,"")</f>
        <v>Jefe de Oficina de Planeación</v>
      </c>
      <c r="T146" s="42"/>
      <c r="U146" s="42"/>
      <c r="V146" s="42"/>
      <c r="W146" s="43" t="str">
        <f t="shared" si="18"/>
        <v/>
      </c>
      <c r="X146" s="42"/>
      <c r="Y146" s="42"/>
      <c r="Z146" s="42"/>
      <c r="AA146" s="43" t="str">
        <f t="shared" si="19"/>
        <v/>
      </c>
      <c r="AB146" s="42"/>
      <c r="AC146" s="42"/>
      <c r="AD146" s="42"/>
      <c r="AE146" s="43" t="str">
        <f t="shared" si="20"/>
        <v/>
      </c>
      <c r="AF146" s="42"/>
      <c r="AG146" s="42"/>
      <c r="AH146" s="42"/>
      <c r="AI146" s="46" t="str">
        <f t="shared" si="21"/>
        <v/>
      </c>
      <c r="AJ146" s="46" t="str">
        <f>IF(SUM(AA146,AE146,W146,AI146)=0,"",SUM((AA146,AE146,W146,AI146)))</f>
        <v/>
      </c>
      <c r="AK146"/>
      <c r="AL146" s="1" t="str">
        <f t="shared" si="22"/>
        <v>L5M1P3</v>
      </c>
      <c r="AM146" s="56" t="str">
        <f t="shared" si="23"/>
        <v>Articulación de las actividades misionales con los ODS</v>
      </c>
      <c r="AN146" s="112" t="str">
        <f>IF($G146=Lists!$R$3,"T1: "&amp;TEXT(FORMULACIÓN!L146,"00,00%")&amp;CHAR(10)&amp;"T2: "&amp;TEXT(FORMULACIÓN!M146,"00,00%")&amp;CHAR(10)&amp;"T3: "&amp;TEXT(FORMULACIÓN!N146,"00,00%")&amp;CHAR(10)&amp;"Tn: "&amp;TEXT(FORMULACIÓN!O146,"00,00%"),IF(FORMULACIÓN!Q146=0,0,"T1: "&amp;TEXT(FORMULACIÓN!L146,"##.###")&amp;CHAR(10)&amp;"T2: "&amp;TEXT(FORMULACIÓN!M146,"##.###")&amp;CHAR(10)&amp;"T3: "&amp;TEXT(FORMULACIÓN!N146,"##.###")&amp;CHAR(10)&amp;"Tn: "&amp;TEXT(FORMULACIÓN!O146,"##.###")))</f>
        <v>T1: 20,00%
T2: 50,00%
T3: 80,00%
Tn: 80,00%</v>
      </c>
      <c r="AO146" s="117">
        <f>IFERROR(IF($H146=Lists!$S$6,IF(AND(FORMULACIÓN!L146&gt;K146,K146&gt;0),1,0),IF((K146/FORMULACIÓN!L146)&lt;&gt;0,K146/FORMULACIÓN!L146,0)),"")</f>
        <v>4.4790000000000001</v>
      </c>
      <c r="AP146" s="117">
        <f>IFERROR(IF($H146=Lists!$S$6,IF(AND(FORMULACIÓN!M146&gt;L146,L146&gt;0),1,0),IF((L146/FORMULACIÓN!M146)&lt;&gt;0,L146/FORMULACIÓN!M146,0)),"")</f>
        <v>0</v>
      </c>
      <c r="AQ146" s="117">
        <f>IFERROR(IF($H146=Lists!$S$6,IF(AND(FORMULACIÓN!N146&gt;M146,M146&gt;0),1,0),IF((M146/FORMULACIÓN!N146)&lt;&gt;0,M146/FORMULACIÓN!N146,0)),"")</f>
        <v>0</v>
      </c>
      <c r="AR146" s="117">
        <f>IFERROR(IF($H146=Lists!$S$6,IF(AND(FORMULACIÓN!O146&gt;N146,N146&gt;0),1,0),IF((N146/FORMULACIÓN!O146)&lt;&gt;0,N146/FORMULACIÓN!O146,0)),"")</f>
        <v>0</v>
      </c>
      <c r="AS146" s="110"/>
      <c r="AT146" s="118" t="str">
        <f ca="1">IF($H146=Lists!$S$6,TEXT(COUNTIF('SEGUIMIENTO Y EVALUACIÓN'!K146:N146,"&lt;"&amp;FORMULACIÓN!Q146),"##.###")&amp;" / "&amp;TEXT(COUNTIF('SEGUIMIENTO Y EVALUACIÓN'!K146:N146,"&gt;"&amp;0),"##.###"),IF($G146=Lists!$R$3,TEXT('SEGUIMIENTO Y EVALUACIÓN'!O146,"00,00%")&amp;" / "&amp;TEXT(FORMULACIÓN!P146,"00,00%"),IF('SEGUIMIENTO Y EVALUACIÓN'!O146=0,0,TEXT('SEGUIMIENTO Y EVALUACIÓN'!O146,"##.###")&amp;" / "&amp;TEXT(FORMULACIÓN!P146,"##.###"))))</f>
        <v>89,58% / 80,00%</v>
      </c>
      <c r="AU146" s="57">
        <f ca="1">IFERROR(IF((P146/FORMULACIÓN!Q146)&lt;&gt;0,IF($H146=Lists!$S$6,COUNTIF('SEGUIMIENTO Y EVALUACIÓN'!K146:N146,"&lt;"&amp;FORMULACIÓN!Q146),'SEGUIMIENTO Y EVALUACIÓN'!P146)/IF($H146=Lists!$S$6,COUNTIF('SEGUIMIENTO Y EVALUACIÓN'!K146:N146,"&gt;"&amp;0),FORMULACIÓN!P146),0),0)</f>
        <v>1.11975</v>
      </c>
      <c r="AV146" s="93">
        <f t="shared" ca="1" si="24"/>
        <v>0.04</v>
      </c>
      <c r="AW146" s="93" cm="1">
        <f t="array" ref="AW146">IF(INDEX(AO146:AU146,1,$AV$3)&gt;1,IF($AU$2=1,1,INDEX(AO146:AU146,1,$AV$3)),INDEX(AO146:AU146,1,$AV$3))</f>
        <v>1</v>
      </c>
      <c r="AX146"/>
      <c r="AY146" s="119" t="str">
        <f>IFERROR(IF((W146/FORMULACIÓN!X146)&lt;&gt;0,W146/FORMULACIÓN!X146,0),"")</f>
        <v/>
      </c>
      <c r="AZ146" s="119" t="str">
        <f>IFERROR(IF((AA146/FORMULACIÓN!AB146)&lt;&gt;0,AA146/FORMULACIÓN!AB146,0),"")</f>
        <v/>
      </c>
      <c r="BA146" s="119" t="str">
        <f>IFERROR(IF((AE146/FORMULACIÓN!AF146)&lt;&gt;0,(AE146/FORMULACIÓN!AF146),0),"")</f>
        <v/>
      </c>
      <c r="BB146" s="119" t="str">
        <f>IFERROR(IF((AI146/FORMULACIÓN!AJ146)&lt;&gt;0,AI146/FORMULACIÓN!AJ146,0),"")</f>
        <v/>
      </c>
      <c r="BC146" s="120" t="str">
        <f>IF('SEGUIMIENTO Y EVALUACIÓN'!AI146=0,0,TEXT('SEGUIMIENTO Y EVALUACIÓN'!AI146,"$ ##.###")&amp;" / "&amp;TEXT(FORMULACIÓN!AK146,"$ ##.###"))</f>
        <v xml:space="preserve"> / $ 919.131.858</v>
      </c>
      <c r="BD146" s="57">
        <f>IFERROR(IF((AJ146/FORMULACIÓN!AK146)&lt;&gt;0,AJ146/FORMULACIÓN!AK146,0),0)</f>
        <v>0</v>
      </c>
      <c r="CL146" s="7"/>
    </row>
    <row r="147" spans="1:90" s="1" customFormat="1" ht="99.95" customHeight="1">
      <c r="A147" s="45">
        <f>IF(FORMULACIÓN!A147="","",FORMULACIÓN!A147)</f>
        <v>136</v>
      </c>
      <c r="B147" s="45" t="str">
        <f>IF(FORMULACIÓN!B147="","",FORMULACIÓN!B147)</f>
        <v xml:space="preserve">L5 - Modernización de la Gestión Administrativa </v>
      </c>
      <c r="C147" s="45" t="str">
        <f>IF(FORMULACIÓN!E147="","",FORMULACIÓN!E147)</f>
        <v>M1 - Fortalecimiento institucional</v>
      </c>
      <c r="D147" s="45" t="str">
        <f>IF(FORMULACIÓN!F147="","",FORMULACIÓN!F147)</f>
        <v>Sostenibilidad Ambiental Universitaria</v>
      </c>
      <c r="E147" s="45" t="str">
        <f>IF(FORMULACIÓN!G147="","",FORMULACIÓN!G147)</f>
        <v>Intervención de los impactos ambientales priorizados (negativos)</v>
      </c>
      <c r="F147" s="45" t="str">
        <f>IF(FORMULACIÓN!H147="","",FORMULACIÓN!H147)</f>
        <v>N° de impactos priorizados intervenidos / total de impactos priorizados * 100</v>
      </c>
      <c r="G147" s="45" t="str">
        <f>IF(FORMULACIÓN!I147="","",FORMULACIÓN!I147)</f>
        <v>Porcentaje</v>
      </c>
      <c r="H147" s="45" t="str">
        <f>IF(FORMULACIÓN!J147="","",FORMULACIÓN!J147)</f>
        <v>Nuevo gestionado durante la vigencia</v>
      </c>
      <c r="I147" s="188" t="str">
        <f ca="1">IF($G147=Lists!$R$3,"PDI: "&amp;TEXT(FORMULACIÓN!Q147,"00,00%")&amp;CHAR(10)&amp;CHAR(10)&amp;"T1: "&amp;TEXT(FORMULACIÓN!L147,"00,00%")&amp;CHAR(10)&amp;"T2: "&amp;TEXT(FORMULACIÓN!M147,"00,00%")&amp;CHAR(10)&amp;"T3: "&amp;TEXT(FORMULACIÓN!N147,"00,00%")&amp;CHAR(10)&amp;"Tn: "&amp;TEXT(FORMULACIÓN!O147,"00,00%"),IF(FORMULACIÓN!Q147=0,0,"PDI: "&amp;TEXT(FORMULACIÓN!Q147,"##.###")&amp;CHAR(10)&amp;CHAR(10)&amp;"T1: "&amp;TEXT(FORMULACIÓN!L147,"##.###")&amp;CHAR(10)&amp;"T2: "&amp;TEXT(FORMULACIÓN!M147,"##.###")&amp;CHAR(10)&amp;"T3: "&amp;TEXT(FORMULACIÓN!N147,"##.###")&amp;CHAR(10)&amp;"Tn: "&amp;TEXT(FORMULACIÓN!O147,"##.###")))</f>
        <v>PDI: 100,00%
T1: 30,00%
T2: 30,00%
T3: 30,00%
Tn: 10,00%</v>
      </c>
      <c r="J147" s="122">
        <f>IF(FORMULACIÓN!K147&lt;&gt;"",FORMULACIÓN!K147,"")</f>
        <v>0</v>
      </c>
      <c r="K147" s="309">
        <v>0.71</v>
      </c>
      <c r="L147" s="58"/>
      <c r="M147" s="58"/>
      <c r="N147" s="58"/>
      <c r="O147" s="47">
        <f ca="1">IFERROR(IF($H147=Lists!$S$2,SUM('SEGUIMIENTO Y EVALUACIÓN'!J147:N147),IF('SEGUIMIENTO Y EVALUACIÓN'!$H147=Lists!$S$3,SUM('SEGUIMIENTO Y EVALUACIÓN'!K147:N147),IF('SEGUIMIENTO Y EVALUACIÓN'!$H147=Lists!$S$4,AVERAGE('SEGUIMIENTO Y EVALUACIÓN'!K147:N147),IF('SEGUIMIENTO Y EVALUACIÓN'!$H147=Lists!$S$5,OFFSET(J147,0,COUNTA(K147:N147)),IF($H147=Lists!$S$6,COUNTIF(K147:N147,"&lt;"&amp;FORMULACIÓN!Q147)/COUNT('SEGUIMIENTO Y EVALUACIÓN'!K147:N147),""))))),"")</f>
        <v>0.71</v>
      </c>
      <c r="P147" s="51" t="str">
        <f ca="1">IF($G147=Lists!$R$3,TEXT('SEGUIMIENTO Y EVALUACIÓN'!O147,"00,00%"),IF('SEGUIMIENTO Y EVALUACIÓN'!O147=0,0,TEXT('SEGUIMIENTO Y EVALUACIÓN'!O147,"##.###")))</f>
        <v>71,00%</v>
      </c>
      <c r="Q147" s="209" t="str">
        <f>IF(FORMULACIÓN!R147&lt;&gt;"",FORMULACIÓN!R147,"")</f>
        <v xml:space="preserve">P4 - Fomento de sostenibilidad ambiental.  </v>
      </c>
      <c r="R147" s="209">
        <f>IF(FORMULACIÓN!S147&lt;&gt;"",FORMULACIÓN!S147,"")</f>
        <v>0.12</v>
      </c>
      <c r="S147" s="209" t="str">
        <f>IF(FORMULACIÓN!T147&lt;&gt;"",FORMULACIÓN!T147,"")</f>
        <v>Jefe de Oficina de Planeación</v>
      </c>
      <c r="T147" s="42"/>
      <c r="U147" s="42"/>
      <c r="V147" s="42"/>
      <c r="W147" s="43" t="str">
        <f t="shared" si="18"/>
        <v/>
      </c>
      <c r="X147" s="42"/>
      <c r="Y147" s="42"/>
      <c r="Z147" s="42"/>
      <c r="AA147" s="43" t="str">
        <f t="shared" si="19"/>
        <v/>
      </c>
      <c r="AB147" s="42"/>
      <c r="AC147" s="42"/>
      <c r="AD147" s="42"/>
      <c r="AE147" s="43" t="str">
        <f t="shared" si="20"/>
        <v/>
      </c>
      <c r="AF147" s="42"/>
      <c r="AG147" s="42"/>
      <c r="AH147" s="42"/>
      <c r="AI147" s="46" t="str">
        <f t="shared" si="21"/>
        <v/>
      </c>
      <c r="AJ147" s="46" t="str">
        <f>IF(SUM(AA147,AE147,W147,AI147)=0,"",SUM((AA147,AE147,W147,AI147)))</f>
        <v/>
      </c>
      <c r="AK147"/>
      <c r="AL147" s="1" t="str">
        <f t="shared" si="22"/>
        <v>L5M1P4</v>
      </c>
      <c r="AM147" s="56" t="str">
        <f t="shared" si="23"/>
        <v>Intervención de los impactos ambientales priorizados (negativos)</v>
      </c>
      <c r="AN147" s="112" t="str">
        <f>IF($G147=Lists!$R$3,"T1: "&amp;TEXT(FORMULACIÓN!L147,"00,00%")&amp;CHAR(10)&amp;"T2: "&amp;TEXT(FORMULACIÓN!M147,"00,00%")&amp;CHAR(10)&amp;"T3: "&amp;TEXT(FORMULACIÓN!N147,"00,00%")&amp;CHAR(10)&amp;"Tn: "&amp;TEXT(FORMULACIÓN!O147,"00,00%"),IF(FORMULACIÓN!Q147=0,0,"T1: "&amp;TEXT(FORMULACIÓN!L147,"##.###")&amp;CHAR(10)&amp;"T2: "&amp;TEXT(FORMULACIÓN!M147,"##.###")&amp;CHAR(10)&amp;"T3: "&amp;TEXT(FORMULACIÓN!N147,"##.###")&amp;CHAR(10)&amp;"Tn: "&amp;TEXT(FORMULACIÓN!O147,"##.###")))</f>
        <v>T1: 30,00%
T2: 30,00%
T3: 30,00%
Tn: 10,00%</v>
      </c>
      <c r="AO147" s="117">
        <f>IFERROR(IF($H147=Lists!$S$6,IF(AND(FORMULACIÓN!L147&gt;K147,K147&gt;0),1,0),IF((K147/FORMULACIÓN!L147)&lt;&gt;0,K147/FORMULACIÓN!L147,0)),"")</f>
        <v>2.3666666666666667</v>
      </c>
      <c r="AP147" s="117">
        <f>IFERROR(IF($H147=Lists!$S$6,IF(AND(FORMULACIÓN!M147&gt;L147,L147&gt;0),1,0),IF((L147/FORMULACIÓN!M147)&lt;&gt;0,L147/FORMULACIÓN!M147,0)),"")</f>
        <v>0</v>
      </c>
      <c r="AQ147" s="117">
        <f>IFERROR(IF($H147=Lists!$S$6,IF(AND(FORMULACIÓN!N147&gt;M147,M147&gt;0),1,0),IF((M147/FORMULACIÓN!N147)&lt;&gt;0,M147/FORMULACIÓN!N147,0)),"")</f>
        <v>0</v>
      </c>
      <c r="AR147" s="117">
        <f>IFERROR(IF($H147=Lists!$S$6,IF(AND(FORMULACIÓN!O147&gt;N147,N147&gt;0),1,0),IF((N147/FORMULACIÓN!O147)&lt;&gt;0,N147/FORMULACIÓN!O147,0)),"")</f>
        <v>0</v>
      </c>
      <c r="AS147" s="110"/>
      <c r="AT147" s="118" t="str">
        <f ca="1">IF($H147=Lists!$S$6,TEXT(COUNTIF('SEGUIMIENTO Y EVALUACIÓN'!K147:N147,"&lt;"&amp;FORMULACIÓN!Q147),"##.###")&amp;" / "&amp;TEXT(COUNTIF('SEGUIMIENTO Y EVALUACIÓN'!K147:N147,"&gt;"&amp;0),"##.###"),IF($G147=Lists!$R$3,TEXT('SEGUIMIENTO Y EVALUACIÓN'!O147,"00,00%")&amp;" / "&amp;TEXT(FORMULACIÓN!P147,"00,00%"),IF('SEGUIMIENTO Y EVALUACIÓN'!O147=0,0,TEXT('SEGUIMIENTO Y EVALUACIÓN'!O147,"##.###")&amp;" / "&amp;TEXT(FORMULACIÓN!P147,"##.###"))))</f>
        <v>71,00% / 100,00%</v>
      </c>
      <c r="AU147" s="57">
        <f ca="1">IFERROR(IF((P147/FORMULACIÓN!Q147)&lt;&gt;0,IF($H147=Lists!$S$6,COUNTIF('SEGUIMIENTO Y EVALUACIÓN'!K147:N147,"&lt;"&amp;FORMULACIÓN!Q147),'SEGUIMIENTO Y EVALUACIÓN'!P147)/IF($H147=Lists!$S$6,COUNTIF('SEGUIMIENTO Y EVALUACIÓN'!K147:N147,"&gt;"&amp;0),FORMULACIÓN!P147),0),0)</f>
        <v>0.71000000000000008</v>
      </c>
      <c r="AV147" s="93">
        <f t="shared" ca="1" si="24"/>
        <v>8.5200000000000012E-2</v>
      </c>
      <c r="AW147" s="93" cm="1">
        <f t="array" ref="AW147">IF(INDEX(AO147:AU147,1,$AV$3)&gt;1,IF($AU$2=1,1,INDEX(AO147:AU147,1,$AV$3)),INDEX(AO147:AU147,1,$AV$3))</f>
        <v>1</v>
      </c>
      <c r="AX147"/>
      <c r="AY147" s="119" t="str">
        <f>IFERROR(IF((W147/FORMULACIÓN!X147)&lt;&gt;0,W147/FORMULACIÓN!X147,0),"")</f>
        <v/>
      </c>
      <c r="AZ147" s="119" t="str">
        <f>IFERROR(IF((AA147/FORMULACIÓN!AB147)&lt;&gt;0,AA147/FORMULACIÓN!AB147,0),"")</f>
        <v/>
      </c>
      <c r="BA147" s="119" t="str">
        <f>IFERROR(IF((AE147/FORMULACIÓN!AF147)&lt;&gt;0,(AE147/FORMULACIÓN!AF147),0),"")</f>
        <v/>
      </c>
      <c r="BB147" s="119" t="str">
        <f>IFERROR(IF((AI147/FORMULACIÓN!AJ147)&lt;&gt;0,AI147/FORMULACIÓN!AJ147,0),"")</f>
        <v/>
      </c>
      <c r="BC147" s="120" t="str">
        <f>IF('SEGUIMIENTO Y EVALUACIÓN'!AI147=0,0,TEXT('SEGUIMIENTO Y EVALUACIÓN'!AI147,"$ ##.###")&amp;" / "&amp;TEXT(FORMULACIÓN!AK147,"$ ##.###"))</f>
        <v xml:space="preserve"> / $ 931.223.305</v>
      </c>
      <c r="BD147" s="57">
        <f>IFERROR(IF((AJ147/FORMULACIÓN!AK147)&lt;&gt;0,AJ147/FORMULACIÓN!AK147,0),0)</f>
        <v>0</v>
      </c>
      <c r="CL147" s="7"/>
    </row>
    <row r="148" spans="1:90" s="1" customFormat="1" ht="99.95" customHeight="1">
      <c r="A148" s="45">
        <f>IF(FORMULACIÓN!A148="","",FORMULACIÓN!A148)</f>
        <v>137</v>
      </c>
      <c r="B148" s="45" t="str">
        <f>IF(FORMULACIÓN!B148="","",FORMULACIÓN!B148)</f>
        <v xml:space="preserve">L5 - Modernización de la Gestión Administrativa </v>
      </c>
      <c r="C148" s="45" t="str">
        <f>IF(FORMULACIÓN!E148="","",FORMULACIÓN!E148)</f>
        <v>M1 - Fortalecimiento institucional</v>
      </c>
      <c r="D148" s="45" t="str">
        <f>IF(FORMULACIÓN!F148="","",FORMULACIÓN!F148)</f>
        <v xml:space="preserve">Operacionalizar al menos el 50% de los convenios de cooperación académica nacional e internacional </v>
      </c>
      <c r="E148" s="45" t="str">
        <f>IF(FORMULACIÓN!G148="","",FORMULACIÓN!G148)</f>
        <v>Convenios interinstitucionales activos</v>
      </c>
      <c r="F148" s="45" t="str">
        <f>IF(FORMULACIÓN!H148="","",FORMULACIÓN!H148)</f>
        <v>N° de convenios interinstitucionales activos / N° de convenios vigentes *100</v>
      </c>
      <c r="G148" s="45" t="str">
        <f>IF(FORMULACIÓN!I148="","",FORMULACIÓN!I148)</f>
        <v>Porcentaje</v>
      </c>
      <c r="H148" s="45" t="str">
        <f>IF(FORMULACIÓN!J148="","",FORMULACIÓN!J148)</f>
        <v>Acumulado</v>
      </c>
      <c r="I148" s="188" t="str">
        <f ca="1">IF($G148=Lists!$R$3,"PDI: "&amp;TEXT(FORMULACIÓN!Q148,"00,00%")&amp;CHAR(10)&amp;CHAR(10)&amp;"T1: "&amp;TEXT(FORMULACIÓN!L148,"00,00%")&amp;CHAR(10)&amp;"T2: "&amp;TEXT(FORMULACIÓN!M148,"00,00%")&amp;CHAR(10)&amp;"T3: "&amp;TEXT(FORMULACIÓN!N148,"00,00%")&amp;CHAR(10)&amp;"Tn: "&amp;TEXT(FORMULACIÓN!O148,"00,00%"),IF(FORMULACIÓN!Q148=0,0,"PDI: "&amp;TEXT(FORMULACIÓN!Q148,"##.###")&amp;CHAR(10)&amp;CHAR(10)&amp;"T1: "&amp;TEXT(FORMULACIÓN!L148,"##.###")&amp;CHAR(10)&amp;"T2: "&amp;TEXT(FORMULACIÓN!M148,"##.###")&amp;CHAR(10)&amp;"T3: "&amp;TEXT(FORMULACIÓN!N148,"##.###")&amp;CHAR(10)&amp;"Tn: "&amp;TEXT(FORMULACIÓN!O148,"##.###")))</f>
        <v>PDI: 50,00%
T1: 08,00%
T2: 08,00%
T3: 08,00%
Tn: 07,00%</v>
      </c>
      <c r="J148" s="209">
        <f>IF(FORMULACIÓN!K148&lt;&gt;"",FORMULACIÓN!K148,"")</f>
        <v>0.19</v>
      </c>
      <c r="K148" s="309">
        <v>0.24</v>
      </c>
      <c r="L148" s="58"/>
      <c r="M148" s="58"/>
      <c r="N148" s="58"/>
      <c r="O148" s="47">
        <f ca="1">IFERROR(IF($H148=Lists!$S$2,SUM('SEGUIMIENTO Y EVALUACIÓN'!J148:N148),IF('SEGUIMIENTO Y EVALUACIÓN'!$H148=Lists!$S$3,SUM('SEGUIMIENTO Y EVALUACIÓN'!K148:N148),IF('SEGUIMIENTO Y EVALUACIÓN'!$H148=Lists!$S$4,AVERAGE('SEGUIMIENTO Y EVALUACIÓN'!K148:N148),IF('SEGUIMIENTO Y EVALUACIÓN'!$H148=Lists!$S$5,OFFSET(J148,0,COUNTA(K148:N148)),IF($H148=Lists!$S$6,COUNTIF(K148:N148,"&lt;"&amp;FORMULACIÓN!Q148)/COUNT('SEGUIMIENTO Y EVALUACIÓN'!K148:N148),""))))),"")</f>
        <v>0.43</v>
      </c>
      <c r="P148" s="51" t="str">
        <f ca="1">IF($G148=Lists!$R$3,TEXT('SEGUIMIENTO Y EVALUACIÓN'!O148,"00,00%"),IF('SEGUIMIENTO Y EVALUACIÓN'!O148=0,0,TEXT('SEGUIMIENTO Y EVALUACIÓN'!O148,"##.###")))</f>
        <v>43,00%</v>
      </c>
      <c r="Q148" s="209" t="str">
        <f>IF(FORMULACIÓN!R148&lt;&gt;"",FORMULACIÓN!R148,"")</f>
        <v>P6 - Cooperación internacional y relacionamiento estratégico.</v>
      </c>
      <c r="R148" s="209">
        <f>IF(FORMULACIÓN!S148&lt;&gt;"",FORMULACIÓN!S148,"")</f>
        <v>4.4999999999999998E-2</v>
      </c>
      <c r="S148" s="209" t="str">
        <f>IF(FORMULACIÓN!T148&lt;&gt;"",FORMULACIÓN!T148,"")</f>
        <v>Jefe de Oficina de Relaciones Internacionales e  Interinstitucionales</v>
      </c>
      <c r="T148" s="42"/>
      <c r="U148" s="42"/>
      <c r="V148" s="42"/>
      <c r="W148" s="43" t="str">
        <f t="shared" si="18"/>
        <v/>
      </c>
      <c r="X148" s="42"/>
      <c r="Y148" s="42"/>
      <c r="Z148" s="42"/>
      <c r="AA148" s="43" t="str">
        <f t="shared" si="19"/>
        <v/>
      </c>
      <c r="AB148" s="42"/>
      <c r="AC148" s="42"/>
      <c r="AD148" s="42"/>
      <c r="AE148" s="43" t="str">
        <f t="shared" si="20"/>
        <v/>
      </c>
      <c r="AF148" s="42"/>
      <c r="AG148" s="42"/>
      <c r="AH148" s="42"/>
      <c r="AI148" s="46" t="str">
        <f t="shared" si="21"/>
        <v/>
      </c>
      <c r="AJ148" s="46" t="str">
        <f>IF(SUM(AA148,AE148,W148,AI148)=0,"",SUM((AA148,AE148,W148,AI148)))</f>
        <v/>
      </c>
      <c r="AK148"/>
      <c r="AL148" s="1" t="str">
        <f t="shared" si="22"/>
        <v>L5M1P6</v>
      </c>
      <c r="AM148" s="56" t="str">
        <f t="shared" si="23"/>
        <v>Convenios interinstitucionales activos</v>
      </c>
      <c r="AN148" s="112" t="str">
        <f>IF($G148=Lists!$R$3,"T1: "&amp;TEXT(FORMULACIÓN!L148,"00,00%")&amp;CHAR(10)&amp;"T2: "&amp;TEXT(FORMULACIÓN!M148,"00,00%")&amp;CHAR(10)&amp;"T3: "&amp;TEXT(FORMULACIÓN!N148,"00,00%")&amp;CHAR(10)&amp;"Tn: "&amp;TEXT(FORMULACIÓN!O148,"00,00%"),IF(FORMULACIÓN!Q148=0,0,"T1: "&amp;TEXT(FORMULACIÓN!L148,"##.###")&amp;CHAR(10)&amp;"T2: "&amp;TEXT(FORMULACIÓN!M148,"##.###")&amp;CHAR(10)&amp;"T3: "&amp;TEXT(FORMULACIÓN!N148,"##.###")&amp;CHAR(10)&amp;"Tn: "&amp;TEXT(FORMULACIÓN!O148,"##.###")))</f>
        <v>T1: 08,00%
T2: 08,00%
T3: 08,00%
Tn: 07,00%</v>
      </c>
      <c r="AO148" s="117">
        <f>IFERROR(IF($H148=Lists!$S$6,IF(AND(FORMULACIÓN!L148&gt;K148,K148&gt;0),1,0),IF((K148/FORMULACIÓN!L148)&lt;&gt;0,K148/FORMULACIÓN!L148,0)),"")</f>
        <v>3</v>
      </c>
      <c r="AP148" s="117">
        <f>IFERROR(IF($H148=Lists!$S$6,IF(AND(FORMULACIÓN!M148&gt;L148,L148&gt;0),1,0),IF((L148/FORMULACIÓN!M148)&lt;&gt;0,L148/FORMULACIÓN!M148,0)),"")</f>
        <v>0</v>
      </c>
      <c r="AQ148" s="117">
        <f>IFERROR(IF($H148=Lists!$S$6,IF(AND(FORMULACIÓN!N148&gt;M148,M148&gt;0),1,0),IF((M148/FORMULACIÓN!N148)&lt;&gt;0,M148/FORMULACIÓN!N148,0)),"")</f>
        <v>0</v>
      </c>
      <c r="AR148" s="117">
        <f>IFERROR(IF($H148=Lists!$S$6,IF(AND(FORMULACIÓN!O148&gt;N148,N148&gt;0),1,0),IF((N148/FORMULACIÓN!O148)&lt;&gt;0,N148/FORMULACIÓN!O148,0)),"")</f>
        <v>0</v>
      </c>
      <c r="AS148" s="110"/>
      <c r="AT148" s="118" t="str">
        <f ca="1">IF($H148=Lists!$S$6,TEXT(COUNTIF('SEGUIMIENTO Y EVALUACIÓN'!K148:N148,"&lt;"&amp;FORMULACIÓN!Q148),"##.###")&amp;" / "&amp;TEXT(COUNTIF('SEGUIMIENTO Y EVALUACIÓN'!K148:N148,"&gt;"&amp;0),"##.###"),IF($G148=Lists!$R$3,TEXT('SEGUIMIENTO Y EVALUACIÓN'!O148,"00,00%")&amp;" / "&amp;TEXT(FORMULACIÓN!P148,"00,00%"),IF('SEGUIMIENTO Y EVALUACIÓN'!O148=0,0,TEXT('SEGUIMIENTO Y EVALUACIÓN'!O148,"##.###")&amp;" / "&amp;TEXT(FORMULACIÓN!P148,"##.###"))))</f>
        <v>43,00% / 50,00%</v>
      </c>
      <c r="AU148" s="57">
        <f ca="1">IFERROR(IF((P148/FORMULACIÓN!Q148)&lt;&gt;0,IF($H148=Lists!$S$6,COUNTIF('SEGUIMIENTO Y EVALUACIÓN'!K148:N148,"&lt;"&amp;FORMULACIÓN!Q148),'SEGUIMIENTO Y EVALUACIÓN'!P148)/IF($H148=Lists!$S$6,COUNTIF('SEGUIMIENTO Y EVALUACIÓN'!K148:N148,"&gt;"&amp;0),FORMULACIÓN!P148),0),0)</f>
        <v>0.86</v>
      </c>
      <c r="AV148" s="93">
        <f t="shared" ca="1" si="24"/>
        <v>3.8699999999999998E-2</v>
      </c>
      <c r="AW148" s="93" cm="1">
        <f t="array" ref="AW148">IF(INDEX(AO148:AU148,1,$AV$3)&gt;1,IF($AU$2=1,1,INDEX(AO148:AU148,1,$AV$3)),INDEX(AO148:AU148,1,$AV$3))</f>
        <v>1</v>
      </c>
      <c r="AX148"/>
      <c r="AY148" s="119" t="str">
        <f>IFERROR(IF((W148/FORMULACIÓN!X148)&lt;&gt;0,W148/FORMULACIÓN!X148,0),"")</f>
        <v/>
      </c>
      <c r="AZ148" s="119" t="str">
        <f>IFERROR(IF((AA148/FORMULACIÓN!AB148)&lt;&gt;0,AA148/FORMULACIÓN!AB148,0),"")</f>
        <v/>
      </c>
      <c r="BA148" s="119" t="str">
        <f>IFERROR(IF((AE148/FORMULACIÓN!AF148)&lt;&gt;0,(AE148/FORMULACIÓN!AF148),0),"")</f>
        <v/>
      </c>
      <c r="BB148" s="119" t="str">
        <f>IFERROR(IF((AI148/FORMULACIÓN!AJ148)&lt;&gt;0,AI148/FORMULACIÓN!AJ148,0),"")</f>
        <v/>
      </c>
      <c r="BC148" s="120" t="str">
        <f>IF('SEGUIMIENTO Y EVALUACIÓN'!AI148=0,0,TEXT('SEGUIMIENTO Y EVALUACIÓN'!AI148,"$ ##.###")&amp;" / "&amp;TEXT(FORMULACIÓN!AK148,"$ ##.###"))</f>
        <v xml:space="preserve"> / $ 2.059.383.547</v>
      </c>
      <c r="BD148" s="57">
        <f>IFERROR(IF((AJ148/FORMULACIÓN!AK148)&lt;&gt;0,AJ148/FORMULACIÓN!AK148,0),0)</f>
        <v>0</v>
      </c>
      <c r="CL148" s="7"/>
    </row>
    <row r="149" spans="1:90" s="1" customFormat="1" ht="99.95" customHeight="1">
      <c r="A149" s="45">
        <f>IF(FORMULACIÓN!A149="","",FORMULACIÓN!A149)</f>
        <v>138</v>
      </c>
      <c r="B149" s="45" t="str">
        <f>IF(FORMULACIÓN!B149="","",FORMULACIÓN!B149)</f>
        <v xml:space="preserve">L5 - Modernización de la Gestión Administrativa </v>
      </c>
      <c r="C149" s="45" t="str">
        <f>IF(FORMULACIÓN!E149="","",FORMULACIÓN!E149)</f>
        <v>M1 - Fortalecimiento institucional</v>
      </c>
      <c r="D149" s="45" t="str">
        <f>IF(FORMULACIÓN!F149="","",FORMULACIÓN!F149)</f>
        <v>Alcanzar la participación de la Universidad en un mínimo de 100 convocatorias académicas</v>
      </c>
      <c r="E149" s="45" t="str">
        <f>IF(FORMULACIÓN!G149="","",FORMULACIÓN!G149)</f>
        <v>Participación en convocatorias académicas nacionales e internacionales.</v>
      </c>
      <c r="F149" s="45" t="str">
        <f>IF(FORMULACIÓN!H149="","",FORMULACIÓN!H149)</f>
        <v>N° de postulaciones a convocatorias académicas nacionales e internacionales.</v>
      </c>
      <c r="G149" s="45" t="str">
        <f>IF(FORMULACIÓN!I149="","",FORMULACIÓN!I149)</f>
        <v>Unidad</v>
      </c>
      <c r="H149" s="45" t="str">
        <f>IF(FORMULACIÓN!J149="","",FORMULACIÓN!J149)</f>
        <v>Nuevo gestionado durante la vigencia</v>
      </c>
      <c r="I149" s="188" t="str">
        <f ca="1">IF($G149=Lists!$R$3,"PDI: "&amp;TEXT(FORMULACIÓN!Q149,"00,00%")&amp;CHAR(10)&amp;CHAR(10)&amp;"T1: "&amp;TEXT(FORMULACIÓN!L149,"00,00%")&amp;CHAR(10)&amp;"T2: "&amp;TEXT(FORMULACIÓN!M149,"00,00%")&amp;CHAR(10)&amp;"T3: "&amp;TEXT(FORMULACIÓN!N149,"00,00%")&amp;CHAR(10)&amp;"Tn: "&amp;TEXT(FORMULACIÓN!O149,"00,00%"),IF(FORMULACIÓN!Q149=0,0,"PDI: "&amp;TEXT(FORMULACIÓN!Q149,"##.###")&amp;CHAR(10)&amp;CHAR(10)&amp;"T1: "&amp;TEXT(FORMULACIÓN!L149,"##.###")&amp;CHAR(10)&amp;"T2: "&amp;TEXT(FORMULACIÓN!M149,"##.###")&amp;CHAR(10)&amp;"T3: "&amp;TEXT(FORMULACIÓN!N149,"##.###")&amp;CHAR(10)&amp;"Tn: "&amp;TEXT(FORMULACIÓN!O149,"##.###")))</f>
        <v>PDI: 100
T1: 30
T2: 30
T3: 30
Tn: 10</v>
      </c>
      <c r="J149" s="122">
        <f>IF(FORMULACIÓN!K149&lt;&gt;"",FORMULACIÓN!K149,"")</f>
        <v>0</v>
      </c>
      <c r="K149" s="310">
        <v>26</v>
      </c>
      <c r="L149" s="58"/>
      <c r="M149" s="58"/>
      <c r="N149" s="58"/>
      <c r="O149" s="47">
        <f ca="1">IFERROR(IF($H149=Lists!$S$2,SUM('SEGUIMIENTO Y EVALUACIÓN'!J149:N149),IF('SEGUIMIENTO Y EVALUACIÓN'!$H149=Lists!$S$3,SUM('SEGUIMIENTO Y EVALUACIÓN'!K149:N149),IF('SEGUIMIENTO Y EVALUACIÓN'!$H149=Lists!$S$4,AVERAGE('SEGUIMIENTO Y EVALUACIÓN'!K149:N149),IF('SEGUIMIENTO Y EVALUACIÓN'!$H149=Lists!$S$5,OFFSET(J149,0,COUNTA(K149:N149)),IF($H149=Lists!$S$6,COUNTIF(K149:N149,"&lt;"&amp;FORMULACIÓN!Q149)/COUNT('SEGUIMIENTO Y EVALUACIÓN'!K149:N149),""))))),"")</f>
        <v>26</v>
      </c>
      <c r="P149" s="51" t="str">
        <f ca="1">IF($G149=Lists!$R$3,TEXT('SEGUIMIENTO Y EVALUACIÓN'!O149,"00,00%"),IF('SEGUIMIENTO Y EVALUACIÓN'!O149=0,0,TEXT('SEGUIMIENTO Y EVALUACIÓN'!O149,"##.###")))</f>
        <v>26</v>
      </c>
      <c r="Q149" s="209" t="str">
        <f>IF(FORMULACIÓN!R149&lt;&gt;"",FORMULACIÓN!R149,"")</f>
        <v>P6 - Cooperación internacional y relacionamiento estratégico.</v>
      </c>
      <c r="R149" s="209">
        <f>IF(FORMULACIÓN!S149&lt;&gt;"",FORMULACIÓN!S149,"")</f>
        <v>4.4999999999999998E-2</v>
      </c>
      <c r="S149" s="209" t="str">
        <f>IF(FORMULACIÓN!T149&lt;&gt;"",FORMULACIÓN!T149,"")</f>
        <v>Jefe de Oficina de Relaciones Internacionales e  Interinstitucionales</v>
      </c>
      <c r="T149" s="42"/>
      <c r="U149" s="42"/>
      <c r="V149" s="42"/>
      <c r="W149" s="43" t="str">
        <f t="shared" si="18"/>
        <v/>
      </c>
      <c r="X149" s="42"/>
      <c r="Y149" s="42"/>
      <c r="Z149" s="42"/>
      <c r="AA149" s="43" t="str">
        <f t="shared" si="19"/>
        <v/>
      </c>
      <c r="AB149" s="42"/>
      <c r="AC149" s="42"/>
      <c r="AD149" s="42"/>
      <c r="AE149" s="43" t="str">
        <f t="shared" si="20"/>
        <v/>
      </c>
      <c r="AF149" s="42"/>
      <c r="AG149" s="42"/>
      <c r="AH149" s="42"/>
      <c r="AI149" s="46" t="str">
        <f t="shared" si="21"/>
        <v/>
      </c>
      <c r="AJ149" s="46" t="str">
        <f>IF(SUM(AA149,AE149,W149,AI149)=0,"",SUM((AA149,AE149,W149,AI149)))</f>
        <v/>
      </c>
      <c r="AK149"/>
      <c r="AL149" s="1" t="str">
        <f t="shared" si="22"/>
        <v>L5M1P6</v>
      </c>
      <c r="AM149" s="56" t="str">
        <f t="shared" si="23"/>
        <v>Participación en convocatorias académicas nacionales e internacionales.</v>
      </c>
      <c r="AN149" s="112" t="str">
        <f ca="1">IF($G149=Lists!$R$3,"T1: "&amp;TEXT(FORMULACIÓN!L149,"00,00%")&amp;CHAR(10)&amp;"T2: "&amp;TEXT(FORMULACIÓN!M149,"00,00%")&amp;CHAR(10)&amp;"T3: "&amp;TEXT(FORMULACIÓN!N149,"00,00%")&amp;CHAR(10)&amp;"Tn: "&amp;TEXT(FORMULACIÓN!O149,"00,00%"),IF(FORMULACIÓN!Q149=0,0,"T1: "&amp;TEXT(FORMULACIÓN!L149,"##.###")&amp;CHAR(10)&amp;"T2: "&amp;TEXT(FORMULACIÓN!M149,"##.###")&amp;CHAR(10)&amp;"T3: "&amp;TEXT(FORMULACIÓN!N149,"##.###")&amp;CHAR(10)&amp;"Tn: "&amp;TEXT(FORMULACIÓN!O149,"##.###")))</f>
        <v>T1: 30
T2: 30
T3: 30
Tn: 10</v>
      </c>
      <c r="AO149" s="117">
        <f>IFERROR(IF($H149=Lists!$S$6,IF(AND(FORMULACIÓN!L149&gt;K149,K149&gt;0),1,0),IF((K149/FORMULACIÓN!L149)&lt;&gt;0,K149/FORMULACIÓN!L149,0)),"")</f>
        <v>0.8666666666666667</v>
      </c>
      <c r="AP149" s="117">
        <f>IFERROR(IF($H149=Lists!$S$6,IF(AND(FORMULACIÓN!M149&gt;L149,L149&gt;0),1,0),IF((L149/FORMULACIÓN!M149)&lt;&gt;0,L149/FORMULACIÓN!M149,0)),"")</f>
        <v>0</v>
      </c>
      <c r="AQ149" s="117">
        <f>IFERROR(IF($H149=Lists!$S$6,IF(AND(FORMULACIÓN!N149&gt;M149,M149&gt;0),1,0),IF((M149/FORMULACIÓN!N149)&lt;&gt;0,M149/FORMULACIÓN!N149,0)),"")</f>
        <v>0</v>
      </c>
      <c r="AR149" s="117">
        <f>IFERROR(IF($H149=Lists!$S$6,IF(AND(FORMULACIÓN!O149&gt;N149,N149&gt;0),1,0),IF((N149/FORMULACIÓN!O149)&lt;&gt;0,N149/FORMULACIÓN!O149,0)),"")</f>
        <v>0</v>
      </c>
      <c r="AS149" s="110"/>
      <c r="AT149" s="118" t="str">
        <f ca="1">IF($H149=Lists!$S$6,TEXT(COUNTIF('SEGUIMIENTO Y EVALUACIÓN'!K149:N149,"&lt;"&amp;FORMULACIÓN!Q149),"##.###")&amp;" / "&amp;TEXT(COUNTIF('SEGUIMIENTO Y EVALUACIÓN'!K149:N149,"&gt;"&amp;0),"##.###"),IF($G149=Lists!$R$3,TEXT('SEGUIMIENTO Y EVALUACIÓN'!O149,"00,00%")&amp;" / "&amp;TEXT(FORMULACIÓN!P149,"00,00%"),IF('SEGUIMIENTO Y EVALUACIÓN'!O149=0,0,TEXT('SEGUIMIENTO Y EVALUACIÓN'!O149,"##.###")&amp;" / "&amp;TEXT(FORMULACIÓN!P149,"##.###"))))</f>
        <v>26 / 100</v>
      </c>
      <c r="AU149" s="57">
        <f ca="1">IFERROR(IF((P149/FORMULACIÓN!Q149)&lt;&gt;0,IF($H149=Lists!$S$6,COUNTIF('SEGUIMIENTO Y EVALUACIÓN'!K149:N149,"&lt;"&amp;FORMULACIÓN!Q149),'SEGUIMIENTO Y EVALUACIÓN'!P149)/IF($H149=Lists!$S$6,COUNTIF('SEGUIMIENTO Y EVALUACIÓN'!K149:N149,"&gt;"&amp;0),FORMULACIÓN!P149),0),0)</f>
        <v>0.26</v>
      </c>
      <c r="AV149" s="93">
        <f t="shared" ca="1" si="24"/>
        <v>1.17E-2</v>
      </c>
      <c r="AW149" s="93" cm="1">
        <f t="array" ref="AW149">IF(INDEX(AO149:AU149,1,$AV$3)&gt;1,IF($AU$2=1,1,INDEX(AO149:AU149,1,$AV$3)),INDEX(AO149:AU149,1,$AV$3))</f>
        <v>0.8666666666666667</v>
      </c>
      <c r="AX149"/>
      <c r="AY149" s="119" t="str">
        <f>IFERROR(IF((W149/FORMULACIÓN!X149)&lt;&gt;0,W149/FORMULACIÓN!X149,0),"")</f>
        <v/>
      </c>
      <c r="AZ149" s="119" t="str">
        <f>IFERROR(IF((AA149/FORMULACIÓN!AB149)&lt;&gt;0,AA149/FORMULACIÓN!AB149,0),"")</f>
        <v/>
      </c>
      <c r="BA149" s="119" t="str">
        <f>IFERROR(IF((AE149/FORMULACIÓN!AF149)&lt;&gt;0,(AE149/FORMULACIÓN!AF149),0),"")</f>
        <v/>
      </c>
      <c r="BB149" s="119" t="str">
        <f>IFERROR(IF((AI149/FORMULACIÓN!AJ149)&lt;&gt;0,AI149/FORMULACIÓN!AJ149,0),"")</f>
        <v/>
      </c>
      <c r="BC149" s="120" t="str">
        <f>IF('SEGUIMIENTO Y EVALUACIÓN'!AI149=0,0,TEXT('SEGUIMIENTO Y EVALUACIÓN'!AI149,"$ ##.###")&amp;" / "&amp;TEXT(FORMULACIÓN!AK149,"$ ##.###"))</f>
        <v xml:space="preserve"> / $ 2.059.383.547</v>
      </c>
      <c r="BD149" s="57">
        <f>IFERROR(IF((AJ149/FORMULACIÓN!AK149)&lt;&gt;0,AJ149/FORMULACIÓN!AK149,0),0)</f>
        <v>0</v>
      </c>
      <c r="CL149" s="7"/>
    </row>
    <row r="150" spans="1:90" s="1" customFormat="1" ht="99.95" customHeight="1">
      <c r="A150" s="45">
        <f>IF(FORMULACIÓN!A150="","",FORMULACIÓN!A150)</f>
        <v>139</v>
      </c>
      <c r="B150" s="45" t="str">
        <f>IF(FORMULACIÓN!B150="","",FORMULACIÓN!B150)</f>
        <v xml:space="preserve">L5 - Modernización de la Gestión Administrativa </v>
      </c>
      <c r="C150" s="45" t="str">
        <f>IF(FORMULACIÓN!E150="","",FORMULACIÓN!E150)</f>
        <v>M2 - Fortalecimiento de la estructura organizativa y del talento humano.</v>
      </c>
      <c r="D150" s="45" t="str">
        <f>IF(FORMULACIÓN!F150="","",FORMULACIÓN!F150)</f>
        <v>Garantizar personal cualificado con altos niveles de satisfacción en clima organizacional y bienestar laboral.</v>
      </c>
      <c r="E150" s="45" t="str">
        <f>IF(FORMULACIÓN!G150="","",FORMULACIÓN!G150)</f>
        <v>Estructura de planta administrativa</v>
      </c>
      <c r="F150" s="45" t="str">
        <f>IF(FORMULACIÓN!H150="","",FORMULACIÓN!H150)</f>
        <v>Actualización de la estructura y planta administrativa</v>
      </c>
      <c r="G150" s="45" t="str">
        <f>IF(FORMULACIÓN!I150="","",FORMULACIÓN!I150)</f>
        <v>Unidad</v>
      </c>
      <c r="H150" s="45" t="str">
        <f>IF(FORMULACIÓN!J150="","",FORMULACIÓN!J150)</f>
        <v>Nuevo gestionado durante la vigencia</v>
      </c>
      <c r="I150" s="188" t="str">
        <f ca="1">IF($G150=Lists!$R$3,"PDI: "&amp;TEXT(FORMULACIÓN!Q150,"00,00%")&amp;CHAR(10)&amp;CHAR(10)&amp;"T1: "&amp;TEXT(FORMULACIÓN!L150,"00,00%")&amp;CHAR(10)&amp;"T2: "&amp;TEXT(FORMULACIÓN!M150,"00,00%")&amp;CHAR(10)&amp;"T3: "&amp;TEXT(FORMULACIÓN!N150,"00,00%")&amp;CHAR(10)&amp;"Tn: "&amp;TEXT(FORMULACIÓN!O150,"00,00%"),IF(FORMULACIÓN!Q150=0,0,"PDI: "&amp;TEXT(FORMULACIÓN!Q150,"##.###")&amp;CHAR(10)&amp;CHAR(10)&amp;"T1: "&amp;TEXT(FORMULACIÓN!L150,"##.###")&amp;CHAR(10)&amp;"T2: "&amp;TEXT(FORMULACIÓN!M150,"##.###")&amp;CHAR(10)&amp;"T3: "&amp;TEXT(FORMULACIÓN!N150,"##.###")&amp;CHAR(10)&amp;"Tn: "&amp;TEXT(FORMULACIÓN!O150,"##.###")))</f>
        <v xml:space="preserve">PDI: 1
T1: 1
T2: 
T3: 
Tn: </v>
      </c>
      <c r="J150" s="122">
        <f>IF(FORMULACIÓN!K150&lt;&gt;"",FORMULACIÓN!K150,"")</f>
        <v>0</v>
      </c>
      <c r="K150" s="310">
        <v>1</v>
      </c>
      <c r="L150" s="58"/>
      <c r="M150" s="58"/>
      <c r="N150" s="58"/>
      <c r="O150" s="47">
        <f ca="1">IFERROR(IF($H150=Lists!$S$2,SUM('SEGUIMIENTO Y EVALUACIÓN'!J150:N150),IF('SEGUIMIENTO Y EVALUACIÓN'!$H150=Lists!$S$3,SUM('SEGUIMIENTO Y EVALUACIÓN'!K150:N150),IF('SEGUIMIENTO Y EVALUACIÓN'!$H150=Lists!$S$4,AVERAGE('SEGUIMIENTO Y EVALUACIÓN'!K150:N150),IF('SEGUIMIENTO Y EVALUACIÓN'!$H150=Lists!$S$5,OFFSET(J150,0,COUNTA(K150:N150)),IF($H150=Lists!$S$6,COUNTIF(K150:N150,"&lt;"&amp;FORMULACIÓN!Q150)/COUNT('SEGUIMIENTO Y EVALUACIÓN'!K150:N150),""))))),"")</f>
        <v>1</v>
      </c>
      <c r="P150" s="51" t="str">
        <f ca="1">IF($G150=Lists!$R$3,TEXT('SEGUIMIENTO Y EVALUACIÓN'!O150,"00,00%"),IF('SEGUIMIENTO Y EVALUACIÓN'!O150=0,0,TEXT('SEGUIMIENTO Y EVALUACIÓN'!O150,"##.###")))</f>
        <v>1</v>
      </c>
      <c r="Q150" s="209" t="str">
        <f>IF(FORMULACIÓN!R150&lt;&gt;"",FORMULACIÓN!R150,"")</f>
        <v>P1 - Equidad, bienestar y desarrollo laboral</v>
      </c>
      <c r="R150" s="209">
        <f>IF(FORMULACIÓN!S150&lt;&gt;"",FORMULACIÓN!S150,"")</f>
        <v>0.03</v>
      </c>
      <c r="S150" s="209" t="str">
        <f>IF(FORMULACIÓN!T150&lt;&gt;"",FORMULACIÓN!T150,"")</f>
        <v>Jefe de Oficina de Planeación</v>
      </c>
      <c r="T150" s="42"/>
      <c r="U150" s="42"/>
      <c r="V150" s="42"/>
      <c r="W150" s="43" t="str">
        <f t="shared" si="18"/>
        <v/>
      </c>
      <c r="X150" s="42"/>
      <c r="Y150" s="42"/>
      <c r="Z150" s="42"/>
      <c r="AA150" s="43" t="str">
        <f t="shared" si="19"/>
        <v/>
      </c>
      <c r="AB150" s="42"/>
      <c r="AC150" s="42"/>
      <c r="AD150" s="42"/>
      <c r="AE150" s="43" t="str">
        <f t="shared" si="20"/>
        <v/>
      </c>
      <c r="AF150" s="42"/>
      <c r="AG150" s="42"/>
      <c r="AH150" s="42"/>
      <c r="AI150" s="46" t="str">
        <f t="shared" si="21"/>
        <v/>
      </c>
      <c r="AJ150" s="46" t="str">
        <f>IF(SUM(AA150,AE150,W150,AI150)=0,"",SUM((AA150,AE150,W150,AI150)))</f>
        <v/>
      </c>
      <c r="AK150"/>
      <c r="AL150" s="1" t="str">
        <f t="shared" si="22"/>
        <v>L5M2P1</v>
      </c>
      <c r="AM150" s="56" t="str">
        <f t="shared" si="23"/>
        <v>Estructura de planta administrativa</v>
      </c>
      <c r="AN150" s="112" t="str">
        <f ca="1">IF($G150=Lists!$R$3,"T1: "&amp;TEXT(FORMULACIÓN!L150,"00,00%")&amp;CHAR(10)&amp;"T2: "&amp;TEXT(FORMULACIÓN!M150,"00,00%")&amp;CHAR(10)&amp;"T3: "&amp;TEXT(FORMULACIÓN!N150,"00,00%")&amp;CHAR(10)&amp;"Tn: "&amp;TEXT(FORMULACIÓN!O150,"00,00%"),IF(FORMULACIÓN!Q150=0,0,"T1: "&amp;TEXT(FORMULACIÓN!L150,"##.###")&amp;CHAR(10)&amp;"T2: "&amp;TEXT(FORMULACIÓN!M150,"##.###")&amp;CHAR(10)&amp;"T3: "&amp;TEXT(FORMULACIÓN!N150,"##.###")&amp;CHAR(10)&amp;"Tn: "&amp;TEXT(FORMULACIÓN!O150,"##.###")))</f>
        <v xml:space="preserve">T1: 1
T2: 
T3: 
Tn: </v>
      </c>
      <c r="AO150" s="117">
        <f>IFERROR(IF($H150=Lists!$S$6,IF(AND(FORMULACIÓN!L150&gt;K150,K150&gt;0),1,0),IF((K150/FORMULACIÓN!L150)&lt;&gt;0,K150/FORMULACIÓN!L150,0)),"")</f>
        <v>1</v>
      </c>
      <c r="AP150" s="117" t="str">
        <f>IFERROR(IF($H150=Lists!$S$6,IF(AND(FORMULACIÓN!M150&gt;L150,L150&gt;0),1,0),IF((L150/FORMULACIÓN!M150)&lt;&gt;0,L150/FORMULACIÓN!M150,0)),"")</f>
        <v/>
      </c>
      <c r="AQ150" s="117" t="str">
        <f>IFERROR(IF($H150=Lists!$S$6,IF(AND(FORMULACIÓN!N150&gt;M150,M150&gt;0),1,0),IF((M150/FORMULACIÓN!N150)&lt;&gt;0,M150/FORMULACIÓN!N150,0)),"")</f>
        <v/>
      </c>
      <c r="AR150" s="117" t="str">
        <f>IFERROR(IF($H150=Lists!$S$6,IF(AND(FORMULACIÓN!O150&gt;N150,N150&gt;0),1,0),IF((N150/FORMULACIÓN!O150)&lt;&gt;0,N150/FORMULACIÓN!O150,0)),"")</f>
        <v/>
      </c>
      <c r="AS150" s="110"/>
      <c r="AT150" s="118" t="str">
        <f ca="1">IF($H150=Lists!$S$6,TEXT(COUNTIF('SEGUIMIENTO Y EVALUACIÓN'!K150:N150,"&lt;"&amp;FORMULACIÓN!Q150),"##.###")&amp;" / "&amp;TEXT(COUNTIF('SEGUIMIENTO Y EVALUACIÓN'!K150:N150,"&gt;"&amp;0),"##.###"),IF($G150=Lists!$R$3,TEXT('SEGUIMIENTO Y EVALUACIÓN'!O150,"00,00%")&amp;" / "&amp;TEXT(FORMULACIÓN!P150,"00,00%"),IF('SEGUIMIENTO Y EVALUACIÓN'!O150=0,0,TEXT('SEGUIMIENTO Y EVALUACIÓN'!O150,"##.###")&amp;" / "&amp;TEXT(FORMULACIÓN!P150,"##.###"))))</f>
        <v>1 / 1</v>
      </c>
      <c r="AU150" s="57">
        <f ca="1">IFERROR(IF((P150/FORMULACIÓN!Q150)&lt;&gt;0,IF($H150=Lists!$S$6,COUNTIF('SEGUIMIENTO Y EVALUACIÓN'!K150:N150,"&lt;"&amp;FORMULACIÓN!Q150),'SEGUIMIENTO Y EVALUACIÓN'!P150)/IF($H150=Lists!$S$6,COUNTIF('SEGUIMIENTO Y EVALUACIÓN'!K150:N150,"&gt;"&amp;0),FORMULACIÓN!P150),0),0)</f>
        <v>1</v>
      </c>
      <c r="AV150" s="93">
        <f t="shared" ca="1" si="24"/>
        <v>0.03</v>
      </c>
      <c r="AW150" s="93" cm="1">
        <f t="array" ref="AW150">IF(INDEX(AO150:AU150,1,$AV$3)&gt;1,IF($AU$2=1,1,INDEX(AO150:AU150,1,$AV$3)),INDEX(AO150:AU150,1,$AV$3))</f>
        <v>1</v>
      </c>
      <c r="AX150"/>
      <c r="AY150" s="119" t="str">
        <f>IFERROR(IF((W150/FORMULACIÓN!X150)&lt;&gt;0,W150/FORMULACIÓN!X150,0),"")</f>
        <v/>
      </c>
      <c r="AZ150" s="119" t="str">
        <f>IFERROR(IF((AA150/FORMULACIÓN!AB150)&lt;&gt;0,AA150/FORMULACIÓN!AB150,0),"")</f>
        <v/>
      </c>
      <c r="BA150" s="119" t="str">
        <f>IFERROR(IF((AE150/FORMULACIÓN!AF150)&lt;&gt;0,(AE150/FORMULACIÓN!AF150),0),"")</f>
        <v/>
      </c>
      <c r="BB150" s="119" t="str">
        <f>IFERROR(IF((AI150/FORMULACIÓN!AJ150)&lt;&gt;0,AI150/FORMULACIÓN!AJ150,0),"")</f>
        <v/>
      </c>
      <c r="BC150" s="120" t="str">
        <f>IF('SEGUIMIENTO Y EVALUACIÓN'!AI150=0,0,TEXT('SEGUIMIENTO Y EVALUACIÓN'!AI150,"$ ##.###")&amp;" / "&amp;TEXT(FORMULACIÓN!AK150,"$ ##.###"))</f>
        <v xml:space="preserve"> / $ 4.647.686.493</v>
      </c>
      <c r="BD150" s="57">
        <f>IFERROR(IF((AJ150/FORMULACIÓN!AK150)&lt;&gt;0,AJ150/FORMULACIÓN!AK150,0),0)</f>
        <v>0</v>
      </c>
      <c r="CL150" s="7"/>
    </row>
    <row r="151" spans="1:90" s="1" customFormat="1" ht="99.95" customHeight="1">
      <c r="A151" s="45">
        <f>IF(FORMULACIÓN!A151="","",FORMULACIÓN!A151)</f>
        <v>140</v>
      </c>
      <c r="B151" s="45" t="str">
        <f>IF(FORMULACIÓN!B151="","",FORMULACIÓN!B151)</f>
        <v xml:space="preserve">L5 - Modernización de la Gestión Administrativa </v>
      </c>
      <c r="C151" s="45" t="str">
        <f>IF(FORMULACIÓN!E151="","",FORMULACIÓN!E151)</f>
        <v>M2 - Fortalecimiento de la estructura organizativa y del talento humano.</v>
      </c>
      <c r="D151" s="45" t="str">
        <f>IF(FORMULACIÓN!F151="","",FORMULACIÓN!F151)</f>
        <v>Garantizar personal cualificado con altos niveles de satisfacción en clima organizacional y bienestar laboral.</v>
      </c>
      <c r="E151" s="45" t="str">
        <f>IF(FORMULACIÓN!G151="","",FORMULACIÓN!G151)</f>
        <v>Clima organizacional</v>
      </c>
      <c r="F151" s="45" t="str">
        <f>IF(FORMULACIÓN!H151="","",FORMULACIÓN!H151)</f>
        <v xml:space="preserve">Grado de satisfacción del clima organizacional </v>
      </c>
      <c r="G151" s="45" t="str">
        <f>IF(FORMULACIÓN!I151="","",FORMULACIÓN!I151)</f>
        <v>Porcentaje</v>
      </c>
      <c r="H151" s="45" t="str">
        <f>IF(FORMULACIÓN!J151="","",FORMULACIÓN!J151)</f>
        <v>Límite</v>
      </c>
      <c r="I151" s="188" t="str">
        <f ca="1">IF($G151=Lists!$R$3,"PDI: "&amp;TEXT(FORMULACIÓN!Q151,"00,00%")&amp;CHAR(10)&amp;CHAR(10)&amp;"T1: "&amp;TEXT(FORMULACIÓN!L151,"00,00%")&amp;CHAR(10)&amp;"T2: "&amp;TEXT(FORMULACIÓN!M151,"00,00%")&amp;CHAR(10)&amp;"T3: "&amp;TEXT(FORMULACIÓN!N151,"00,00%")&amp;CHAR(10)&amp;"Tn: "&amp;TEXT(FORMULACIÓN!O151,"00,00%"),IF(FORMULACIÓN!Q151=0,0,"PDI: "&amp;TEXT(FORMULACIÓN!Q151,"##.###")&amp;CHAR(10)&amp;CHAR(10)&amp;"T1: "&amp;TEXT(FORMULACIÓN!L151,"##.###")&amp;CHAR(10)&amp;"T2: "&amp;TEXT(FORMULACIÓN!M151,"##.###")&amp;CHAR(10)&amp;"T3: "&amp;TEXT(FORMULACIÓN!N151,"##.###")&amp;CHAR(10)&amp;"Tn: "&amp;TEXT(FORMULACIÓN!O151,"##.###")))</f>
        <v>PDI: 70,00%
T1: 70,00%
T2: 70,00%
T3: 70,00%
Tn: 70,00%</v>
      </c>
      <c r="J151" s="209">
        <f>IF(FORMULACIÓN!K151&lt;&gt;"",FORMULACIÓN!K151,"")</f>
        <v>0.3</v>
      </c>
      <c r="K151" s="309">
        <v>0.65</v>
      </c>
      <c r="L151" s="58"/>
      <c r="M151" s="58"/>
      <c r="N151" s="58"/>
      <c r="O151" s="47">
        <f ca="1">IFERROR(IF($H151=Lists!$S$2,SUM('SEGUIMIENTO Y EVALUACIÓN'!J151:N151),IF('SEGUIMIENTO Y EVALUACIÓN'!$H151=Lists!$S$3,SUM('SEGUIMIENTO Y EVALUACIÓN'!K151:N151),IF('SEGUIMIENTO Y EVALUACIÓN'!$H151=Lists!$S$4,AVERAGE('SEGUIMIENTO Y EVALUACIÓN'!K151:N151),IF('SEGUIMIENTO Y EVALUACIÓN'!$H151=Lists!$S$5,OFFSET(J151,0,COUNTA(K151:N151)),IF($H151=Lists!$S$6,COUNTIF(K151:N151,"&lt;"&amp;FORMULACIÓN!Q151)/COUNT('SEGUIMIENTO Y EVALUACIÓN'!K151:N151),""))))),"")</f>
        <v>1</v>
      </c>
      <c r="P151" s="51" t="str">
        <f ca="1">IF($G151=Lists!$R$3,TEXT('SEGUIMIENTO Y EVALUACIÓN'!O151,"00,00%"),IF('SEGUIMIENTO Y EVALUACIÓN'!O151=0,0,TEXT('SEGUIMIENTO Y EVALUACIÓN'!O151,"##.###")))</f>
        <v>100,00%</v>
      </c>
      <c r="Q151" s="209" t="str">
        <f>IF(FORMULACIÓN!R151&lt;&gt;"",FORMULACIÓN!R151,"")</f>
        <v>P1 - Equidad, bienestar y desarrollo laboral</v>
      </c>
      <c r="R151" s="209">
        <f>IF(FORMULACIÓN!S151&lt;&gt;"",FORMULACIÓN!S151,"")</f>
        <v>0.03</v>
      </c>
      <c r="S151" s="209" t="str">
        <f>IF(FORMULACIÓN!T151&lt;&gt;"",FORMULACIÓN!T151,"")</f>
        <v>Jefe del Departamento de Talento Humano</v>
      </c>
      <c r="T151" s="42"/>
      <c r="U151" s="42"/>
      <c r="V151" s="42"/>
      <c r="W151" s="43" t="str">
        <f t="shared" si="18"/>
        <v/>
      </c>
      <c r="X151" s="42"/>
      <c r="Y151" s="42"/>
      <c r="Z151" s="42"/>
      <c r="AA151" s="43" t="str">
        <f t="shared" si="19"/>
        <v/>
      </c>
      <c r="AB151" s="42"/>
      <c r="AC151" s="42"/>
      <c r="AD151" s="42"/>
      <c r="AE151" s="43" t="str">
        <f t="shared" si="20"/>
        <v/>
      </c>
      <c r="AF151" s="42"/>
      <c r="AG151" s="42"/>
      <c r="AH151" s="42"/>
      <c r="AI151" s="46" t="str">
        <f t="shared" si="21"/>
        <v/>
      </c>
      <c r="AJ151" s="46" t="str">
        <f>IF(SUM(AA151,AE151,W151,AI151)=0,"",SUM((AA151,AE151,W151,AI151)))</f>
        <v/>
      </c>
      <c r="AK151"/>
      <c r="AL151" s="1" t="str">
        <f t="shared" si="22"/>
        <v>L5M2P1</v>
      </c>
      <c r="AM151" s="56" t="str">
        <f t="shared" si="23"/>
        <v>Clima organizacional</v>
      </c>
      <c r="AN151" s="112" t="str">
        <f>IF($G151=Lists!$R$3,"T1: "&amp;TEXT(FORMULACIÓN!L151,"00,00%")&amp;CHAR(10)&amp;"T2: "&amp;TEXT(FORMULACIÓN!M151,"00,00%")&amp;CHAR(10)&amp;"T3: "&amp;TEXT(FORMULACIÓN!N151,"00,00%")&amp;CHAR(10)&amp;"Tn: "&amp;TEXT(FORMULACIÓN!O151,"00,00%"),IF(FORMULACIÓN!Q151=0,0,"T1: "&amp;TEXT(FORMULACIÓN!L151,"##.###")&amp;CHAR(10)&amp;"T2: "&amp;TEXT(FORMULACIÓN!M151,"##.###")&amp;CHAR(10)&amp;"T3: "&amp;TEXT(FORMULACIÓN!N151,"##.###")&amp;CHAR(10)&amp;"Tn: "&amp;TEXT(FORMULACIÓN!O151,"##.###")))</f>
        <v>T1: 70,00%
T2: 70,00%
T3: 70,00%
Tn: 70,00%</v>
      </c>
      <c r="AO151" s="117">
        <f>IFERROR(IF($H151=Lists!$S$6,IF(AND(FORMULACIÓN!L151&gt;K151,K151&gt;0),1,0),IF((K151/FORMULACIÓN!L151)&lt;&gt;0,K151/FORMULACIÓN!L151,0)),"")</f>
        <v>1</v>
      </c>
      <c r="AP151" s="117">
        <f>IFERROR(IF($H151=Lists!$S$6,IF(AND(FORMULACIÓN!M151&gt;L151,L151&gt;0),1,0),IF((L151/FORMULACIÓN!M151)&lt;&gt;0,L151/FORMULACIÓN!M151,0)),"")</f>
        <v>0</v>
      </c>
      <c r="AQ151" s="117">
        <f>IFERROR(IF($H151=Lists!$S$6,IF(AND(FORMULACIÓN!N151&gt;M151,M151&gt;0),1,0),IF((M151/FORMULACIÓN!N151)&lt;&gt;0,M151/FORMULACIÓN!N151,0)),"")</f>
        <v>0</v>
      </c>
      <c r="AR151" s="117">
        <f>IFERROR(IF($H151=Lists!$S$6,IF(AND(FORMULACIÓN!O151&gt;N151,N151&gt;0),1,0),IF((N151/FORMULACIÓN!O151)&lt;&gt;0,N151/FORMULACIÓN!O151,0)),"")</f>
        <v>0</v>
      </c>
      <c r="AS151" s="110"/>
      <c r="AT151" s="118" t="str">
        <f ca="1">IF($H151=Lists!$S$6,TEXT(COUNTIF('SEGUIMIENTO Y EVALUACIÓN'!K151:N151,"&lt;"&amp;FORMULACIÓN!Q151),"##.###")&amp;" / "&amp;TEXT(COUNTIF('SEGUIMIENTO Y EVALUACIÓN'!K151:N151,"&gt;"&amp;0),"##.###"),IF($G151=Lists!$R$3,TEXT('SEGUIMIENTO Y EVALUACIÓN'!O151,"00,00%")&amp;" / "&amp;TEXT(FORMULACIÓN!P151,"00,00%"),IF('SEGUIMIENTO Y EVALUACIÓN'!O151=0,0,TEXT('SEGUIMIENTO Y EVALUACIÓN'!O151,"##.###")&amp;" / "&amp;TEXT(FORMULACIÓN!P151,"##.###"))))</f>
        <v>1 / 1</v>
      </c>
      <c r="AU151" s="57">
        <f ca="1">IFERROR(IF((P151/FORMULACIÓN!Q151)&lt;&gt;0,IF($H151=Lists!$S$6,COUNTIF('SEGUIMIENTO Y EVALUACIÓN'!K151:N151,"&lt;"&amp;FORMULACIÓN!Q151),'SEGUIMIENTO Y EVALUACIÓN'!P151)/IF($H151=Lists!$S$6,COUNTIF('SEGUIMIENTO Y EVALUACIÓN'!K151:N151,"&gt;"&amp;0),FORMULACIÓN!P151),0),0)</f>
        <v>1</v>
      </c>
      <c r="AV151" s="93">
        <f t="shared" ca="1" si="24"/>
        <v>0.03</v>
      </c>
      <c r="AW151" s="93" cm="1">
        <f t="array" ref="AW151">IF(INDEX(AO151:AU151,1,$AV$3)&gt;1,IF($AU$2=1,1,INDEX(AO151:AU151,1,$AV$3)),INDEX(AO151:AU151,1,$AV$3))</f>
        <v>1</v>
      </c>
      <c r="AX151"/>
      <c r="AY151" s="119" t="str">
        <f>IFERROR(IF((W151/FORMULACIÓN!X151)&lt;&gt;0,W151/FORMULACIÓN!X151,0),"")</f>
        <v/>
      </c>
      <c r="AZ151" s="119" t="str">
        <f>IFERROR(IF((AA151/FORMULACIÓN!AB151)&lt;&gt;0,AA151/FORMULACIÓN!AB151,0),"")</f>
        <v/>
      </c>
      <c r="BA151" s="119" t="str">
        <f>IFERROR(IF((AE151/FORMULACIÓN!AF151)&lt;&gt;0,(AE151/FORMULACIÓN!AF151),0),"")</f>
        <v/>
      </c>
      <c r="BB151" s="119" t="str">
        <f>IFERROR(IF((AI151/FORMULACIÓN!AJ151)&lt;&gt;0,AI151/FORMULACIÓN!AJ151,0),"")</f>
        <v/>
      </c>
      <c r="BC151" s="120" t="str">
        <f>IF('SEGUIMIENTO Y EVALUACIÓN'!AI151=0,0,TEXT('SEGUIMIENTO Y EVALUACIÓN'!AI151,"$ ##.###")&amp;" / "&amp;TEXT(FORMULACIÓN!AK151,"$ ##.###"))</f>
        <v xml:space="preserve"> / $ 431.683.023.269</v>
      </c>
      <c r="BD151" s="57">
        <f>IFERROR(IF((AJ151/FORMULACIÓN!AK151)&lt;&gt;0,AJ151/FORMULACIÓN!AK151,0),0)</f>
        <v>0</v>
      </c>
      <c r="CL151" s="7"/>
    </row>
    <row r="152" spans="1:90" s="1" customFormat="1" ht="99.95" customHeight="1">
      <c r="A152" s="45">
        <f>IF(FORMULACIÓN!A152="","",FORMULACIÓN!A152)</f>
        <v>141</v>
      </c>
      <c r="B152" s="45" t="str">
        <f>IF(FORMULACIÓN!B152="","",FORMULACIÓN!B152)</f>
        <v xml:space="preserve">L5 - Modernización de la Gestión Administrativa </v>
      </c>
      <c r="C152" s="45" t="str">
        <f>IF(FORMULACIÓN!E152="","",FORMULACIÓN!E152)</f>
        <v>M2 - Fortalecimiento de la estructura organizativa y del talento humano.</v>
      </c>
      <c r="D152" s="45" t="str">
        <f>IF(FORMULACIÓN!F152="","",FORMULACIÓN!F152)</f>
        <v>Garantizar personal cualificado con altos niveles de satisfacción en clima organizacional y bienestar laboral.</v>
      </c>
      <c r="E152" s="45" t="str">
        <f>IF(FORMULACIÓN!G152="","",FORMULACIÓN!G152)</f>
        <v>Implementación del sistema de evaluación de desempeño</v>
      </c>
      <c r="F152" s="45" t="str">
        <f>IF(FORMULACIÓN!H152="","",FORMULACIÓN!H152)</f>
        <v>N° de funcionarios con evaluación de desempeño aplicada de acuerdo a normativa / total de funcionarios de la planta administrativa *100</v>
      </c>
      <c r="G152" s="45" t="str">
        <f>IF(FORMULACIÓN!I152="","",FORMULACIÓN!I152)</f>
        <v>Porcentaje</v>
      </c>
      <c r="H152" s="45" t="str">
        <f>IF(FORMULACIÓN!J152="","",FORMULACIÓN!J152)</f>
        <v>Acumulado</v>
      </c>
      <c r="I152" s="188" t="str">
        <f ca="1">IF($G152=Lists!$R$3,"PDI: "&amp;TEXT(FORMULACIÓN!Q152,"00,00%")&amp;CHAR(10)&amp;CHAR(10)&amp;"T1: "&amp;TEXT(FORMULACIÓN!L152,"00,00%")&amp;CHAR(10)&amp;"T2: "&amp;TEXT(FORMULACIÓN!M152,"00,00%")&amp;CHAR(10)&amp;"T3: "&amp;TEXT(FORMULACIÓN!N152,"00,00%")&amp;CHAR(10)&amp;"Tn: "&amp;TEXT(FORMULACIÓN!O152,"00,00%"),IF(FORMULACIÓN!Q152=0,0,"PDI: "&amp;TEXT(FORMULACIÓN!Q152,"##.###")&amp;CHAR(10)&amp;CHAR(10)&amp;"T1: "&amp;TEXT(FORMULACIÓN!L152,"##.###")&amp;CHAR(10)&amp;"T2: "&amp;TEXT(FORMULACIÓN!M152,"##.###")&amp;CHAR(10)&amp;"T3: "&amp;TEXT(FORMULACIÓN!N152,"##.###")&amp;CHAR(10)&amp;"Tn: "&amp;TEXT(FORMULACIÓN!O152,"##.###")))</f>
        <v>PDI: 80,00%
T1: 00,00%
T2: 60,00%
T3: 10,00%
Tn: 10,00%</v>
      </c>
      <c r="J152" s="122">
        <f>IF(FORMULACIÓN!K152&lt;&gt;"",FORMULACIÓN!K152,"")</f>
        <v>0</v>
      </c>
      <c r="K152" s="309">
        <v>0</v>
      </c>
      <c r="L152" s="58"/>
      <c r="M152" s="58"/>
      <c r="N152" s="58"/>
      <c r="O152" s="47">
        <f ca="1">IFERROR(IF($H152=Lists!$S$2,SUM('SEGUIMIENTO Y EVALUACIÓN'!J152:N152),IF('SEGUIMIENTO Y EVALUACIÓN'!$H152=Lists!$S$3,SUM('SEGUIMIENTO Y EVALUACIÓN'!K152:N152),IF('SEGUIMIENTO Y EVALUACIÓN'!$H152=Lists!$S$4,AVERAGE('SEGUIMIENTO Y EVALUACIÓN'!K152:N152),IF('SEGUIMIENTO Y EVALUACIÓN'!$H152=Lists!$S$5,OFFSET(J152,0,COUNTA(K152:N152)),IF($H152=Lists!$S$6,COUNTIF(K152:N152,"&lt;"&amp;FORMULACIÓN!Q152)/COUNT('SEGUIMIENTO Y EVALUACIÓN'!K152:N152),""))))),"")</f>
        <v>0</v>
      </c>
      <c r="P152" s="51" t="str">
        <f ca="1">IF($G152=Lists!$R$3,TEXT('SEGUIMIENTO Y EVALUACIÓN'!O152,"00,00%"),IF('SEGUIMIENTO Y EVALUACIÓN'!O152=0,0,TEXT('SEGUIMIENTO Y EVALUACIÓN'!O152,"##.###")))</f>
        <v>00,00%</v>
      </c>
      <c r="Q152" s="209" t="str">
        <f>IF(FORMULACIÓN!R152&lt;&gt;"",FORMULACIÓN!R152,"")</f>
        <v>P1 - Equidad, bienestar y desarrollo laboral</v>
      </c>
      <c r="R152" s="209">
        <f>IF(FORMULACIÓN!S152&lt;&gt;"",FORMULACIÓN!S152,"")</f>
        <v>0.03</v>
      </c>
      <c r="S152" s="209" t="str">
        <f>IF(FORMULACIÓN!T152&lt;&gt;"",FORMULACIÓN!T152,"")</f>
        <v>Jefe del Departamento de Talento Humano</v>
      </c>
      <c r="T152" s="42"/>
      <c r="U152" s="42"/>
      <c r="V152" s="42"/>
      <c r="W152" s="43" t="str">
        <f t="shared" si="18"/>
        <v/>
      </c>
      <c r="X152" s="42"/>
      <c r="Y152" s="42"/>
      <c r="Z152" s="42"/>
      <c r="AA152" s="43" t="str">
        <f t="shared" si="19"/>
        <v/>
      </c>
      <c r="AB152" s="42"/>
      <c r="AC152" s="42"/>
      <c r="AD152" s="42"/>
      <c r="AE152" s="43" t="str">
        <f t="shared" si="20"/>
        <v/>
      </c>
      <c r="AF152" s="42"/>
      <c r="AG152" s="42"/>
      <c r="AH152" s="42"/>
      <c r="AI152" s="46" t="str">
        <f t="shared" si="21"/>
        <v/>
      </c>
      <c r="AJ152" s="46" t="str">
        <f>IF(SUM(AA152,AE152,W152,AI152)=0,"",SUM((AA152,AE152,W152,AI152)))</f>
        <v/>
      </c>
      <c r="AK152"/>
      <c r="AL152" s="1" t="str">
        <f t="shared" si="22"/>
        <v>L5M2P1</v>
      </c>
      <c r="AM152" s="56" t="str">
        <f t="shared" si="23"/>
        <v>Implementación del sistema de evaluación de desempeño</v>
      </c>
      <c r="AN152" s="112" t="str">
        <f>IF($G152=Lists!$R$3,"T1: "&amp;TEXT(FORMULACIÓN!L152,"00,00%")&amp;CHAR(10)&amp;"T2: "&amp;TEXT(FORMULACIÓN!M152,"00,00%")&amp;CHAR(10)&amp;"T3: "&amp;TEXT(FORMULACIÓN!N152,"00,00%")&amp;CHAR(10)&amp;"Tn: "&amp;TEXT(FORMULACIÓN!O152,"00,00%"),IF(FORMULACIÓN!Q152=0,0,"T1: "&amp;TEXT(FORMULACIÓN!L152,"##.###")&amp;CHAR(10)&amp;"T2: "&amp;TEXT(FORMULACIÓN!M152,"##.###")&amp;CHAR(10)&amp;"T3: "&amp;TEXT(FORMULACIÓN!N152,"##.###")&amp;CHAR(10)&amp;"Tn: "&amp;TEXT(FORMULACIÓN!O152,"##.###")))</f>
        <v>T1: 00,00%
T2: 60,00%
T3: 10,00%
Tn: 10,00%</v>
      </c>
      <c r="AO152" s="117" t="str">
        <f>IFERROR(IF($H152=Lists!$S$6,IF(AND(FORMULACIÓN!L152&gt;K152,K152&gt;0),1,0),IF((K152/FORMULACIÓN!L152)&lt;&gt;0,K152/FORMULACIÓN!L152,0)),"")</f>
        <v/>
      </c>
      <c r="AP152" s="117">
        <f>IFERROR(IF($H152=Lists!$S$6,IF(AND(FORMULACIÓN!M152&gt;L152,L152&gt;0),1,0),IF((L152/FORMULACIÓN!M152)&lt;&gt;0,L152/FORMULACIÓN!M152,0)),"")</f>
        <v>0</v>
      </c>
      <c r="AQ152" s="117">
        <f>IFERROR(IF($H152=Lists!$S$6,IF(AND(FORMULACIÓN!N152&gt;M152,M152&gt;0),1,0),IF((M152/FORMULACIÓN!N152)&lt;&gt;0,M152/FORMULACIÓN!N152,0)),"")</f>
        <v>0</v>
      </c>
      <c r="AR152" s="117">
        <f>IFERROR(IF($H152=Lists!$S$6,IF(AND(FORMULACIÓN!O152&gt;N152,N152&gt;0),1,0),IF((N152/FORMULACIÓN!O152)&lt;&gt;0,N152/FORMULACIÓN!O152,0)),"")</f>
        <v>0</v>
      </c>
      <c r="AS152" s="110"/>
      <c r="AT152" s="118" t="str">
        <f ca="1">IF($H152=Lists!$S$6,TEXT(COUNTIF('SEGUIMIENTO Y EVALUACIÓN'!K152:N152,"&lt;"&amp;FORMULACIÓN!Q152),"##.###")&amp;" / "&amp;TEXT(COUNTIF('SEGUIMIENTO Y EVALUACIÓN'!K152:N152,"&gt;"&amp;0),"##.###"),IF($G152=Lists!$R$3,TEXT('SEGUIMIENTO Y EVALUACIÓN'!O152,"00,00%")&amp;" / "&amp;TEXT(FORMULACIÓN!P152,"00,00%"),IF('SEGUIMIENTO Y EVALUACIÓN'!O152=0,0,TEXT('SEGUIMIENTO Y EVALUACIÓN'!O152,"##.###")&amp;" / "&amp;TEXT(FORMULACIÓN!P152,"##.###"))))</f>
        <v>00,00% / 80,00%</v>
      </c>
      <c r="AU152" s="57">
        <f ca="1">IFERROR(IF((P152/FORMULACIÓN!Q152)&lt;&gt;0,IF($H152=Lists!$S$6,COUNTIF('SEGUIMIENTO Y EVALUACIÓN'!K152:N152,"&lt;"&amp;FORMULACIÓN!Q152),'SEGUIMIENTO Y EVALUACIÓN'!P152)/IF($H152=Lists!$S$6,COUNTIF('SEGUIMIENTO Y EVALUACIÓN'!K152:N152,"&gt;"&amp;0),FORMULACIÓN!P152),0),0)</f>
        <v>0</v>
      </c>
      <c r="AV152" s="93">
        <f t="shared" ca="1" si="24"/>
        <v>0</v>
      </c>
      <c r="AW152" s="93" cm="1">
        <f t="array" ref="AW152">IF(INDEX(AO152:AU152,1,$AV$3)&gt;1,IF($AU$2=1,1,INDEX(AO152:AU152,1,$AV$3)),INDEX(AO152:AU152,1,$AV$3))</f>
        <v>1</v>
      </c>
      <c r="AX152"/>
      <c r="AY152" s="119" t="str">
        <f>IFERROR(IF((W152/FORMULACIÓN!X152)&lt;&gt;0,W152/FORMULACIÓN!X152,0),"")</f>
        <v/>
      </c>
      <c r="AZ152" s="119" t="str">
        <f>IFERROR(IF((AA152/FORMULACIÓN!AB152)&lt;&gt;0,AA152/FORMULACIÓN!AB152,0),"")</f>
        <v/>
      </c>
      <c r="BA152" s="119" t="str">
        <f>IFERROR(IF((AE152/FORMULACIÓN!AF152)&lt;&gt;0,(AE152/FORMULACIÓN!AF152),0),"")</f>
        <v/>
      </c>
      <c r="BB152" s="119" t="str">
        <f>IFERROR(IF((AI152/FORMULACIÓN!AJ152)&lt;&gt;0,AI152/FORMULACIÓN!AJ152,0),"")</f>
        <v/>
      </c>
      <c r="BC152" s="120" t="str">
        <f>IF('SEGUIMIENTO Y EVALUACIÓN'!AI152=0,0,TEXT('SEGUIMIENTO Y EVALUACIÓN'!AI152,"$ ##.###")&amp;" / "&amp;TEXT(FORMULACIÓN!AK152,"$ ##.###"))</f>
        <v xml:space="preserve"> / $ 1.373.759.300</v>
      </c>
      <c r="BD152" s="57">
        <f>IFERROR(IF((AJ152/FORMULACIÓN!AK152)&lt;&gt;0,AJ152/FORMULACIÓN!AK152,0),0)</f>
        <v>0</v>
      </c>
      <c r="CL152" s="7"/>
    </row>
    <row r="153" spans="1:90" s="1" customFormat="1" ht="99.95" customHeight="1">
      <c r="A153" s="45">
        <f>IF(FORMULACIÓN!A153="","",FORMULACIÓN!A153)</f>
        <v>142</v>
      </c>
      <c r="B153" s="45" t="str">
        <f>IF(FORMULACIÓN!B153="","",FORMULACIÓN!B153)</f>
        <v xml:space="preserve">L5 - Modernización de la Gestión Administrativa </v>
      </c>
      <c r="C153" s="45" t="str">
        <f>IF(FORMULACIÓN!E153="","",FORMULACIÓN!E153)</f>
        <v>M3 - Infraestructura y dotación adecuada</v>
      </c>
      <c r="D153" s="45" t="str">
        <f>IF(FORMULACIÓN!F153="","",FORMULACIÓN!F153)</f>
        <v xml:space="preserve">Formular e implementar el Plan maestro de infraestructura física </v>
      </c>
      <c r="E153" s="45" t="str">
        <f>IF(FORMULACIÓN!G153="","",FORMULACIÓN!G153)</f>
        <v xml:space="preserve">Plan maestro de infraestructura física elaborado proyectado a 10 años </v>
      </c>
      <c r="F153" s="45" t="str">
        <f>IF(FORMULACIÓN!H153="","",FORMULACIÓN!H153)</f>
        <v xml:space="preserve">Plan maestro de infraestructura física elaborado </v>
      </c>
      <c r="G153" s="45" t="str">
        <f>IF(FORMULACIÓN!I153="","",FORMULACIÓN!I153)</f>
        <v>Unidad</v>
      </c>
      <c r="H153" s="45" t="str">
        <f>IF(FORMULACIÓN!J153="","",FORMULACIÓN!J153)</f>
        <v>Nuevo gestionado durante la vigencia</v>
      </c>
      <c r="I153" s="188" t="str">
        <f ca="1">IF($G153=Lists!$R$3,"PDI: "&amp;TEXT(FORMULACIÓN!Q153,"00,00%")&amp;CHAR(10)&amp;CHAR(10)&amp;"T1: "&amp;TEXT(FORMULACIÓN!L153,"00,00%")&amp;CHAR(10)&amp;"T2: "&amp;TEXT(FORMULACIÓN!M153,"00,00%")&amp;CHAR(10)&amp;"T3: "&amp;TEXT(FORMULACIÓN!N153,"00,00%")&amp;CHAR(10)&amp;"Tn: "&amp;TEXT(FORMULACIÓN!O153,"00,00%"),IF(FORMULACIÓN!Q153=0,0,"PDI: "&amp;TEXT(FORMULACIÓN!Q153,"##.###")&amp;CHAR(10)&amp;CHAR(10)&amp;"T1: "&amp;TEXT(FORMULACIÓN!L153,"##.###")&amp;CHAR(10)&amp;"T2: "&amp;TEXT(FORMULACIÓN!M153,"##.###")&amp;CHAR(10)&amp;"T3: "&amp;TEXT(FORMULACIÓN!N153,"##.###")&amp;CHAR(10)&amp;"Tn: "&amp;TEXT(FORMULACIÓN!O153,"##.###")))</f>
        <v xml:space="preserve">PDI: 1
T1: 1
T2: 
T3: 
Tn: </v>
      </c>
      <c r="J153" s="122">
        <f>IF(FORMULACIÓN!K153&lt;&gt;"",FORMULACIÓN!K153,"")</f>
        <v>0</v>
      </c>
      <c r="K153" s="310">
        <v>0</v>
      </c>
      <c r="L153" s="58"/>
      <c r="M153" s="58"/>
      <c r="N153" s="58"/>
      <c r="O153" s="47">
        <f ca="1">IFERROR(IF($H153=Lists!$S$2,SUM('SEGUIMIENTO Y EVALUACIÓN'!J153:N153),IF('SEGUIMIENTO Y EVALUACIÓN'!$H153=Lists!$S$3,SUM('SEGUIMIENTO Y EVALUACIÓN'!K153:N153),IF('SEGUIMIENTO Y EVALUACIÓN'!$H153=Lists!$S$4,AVERAGE('SEGUIMIENTO Y EVALUACIÓN'!K153:N153),IF('SEGUIMIENTO Y EVALUACIÓN'!$H153=Lists!$S$5,OFFSET(J153,0,COUNTA(K153:N153)),IF($H153=Lists!$S$6,COUNTIF(K153:N153,"&lt;"&amp;FORMULACIÓN!Q153)/COUNT('SEGUIMIENTO Y EVALUACIÓN'!K153:N153),""))))),"")</f>
        <v>0</v>
      </c>
      <c r="P153" s="51">
        <f ca="1">IF($G153=Lists!$R$3,TEXT('SEGUIMIENTO Y EVALUACIÓN'!O153,"00,00%"),IF('SEGUIMIENTO Y EVALUACIÓN'!O153=0,0,TEXT('SEGUIMIENTO Y EVALUACIÓN'!O153,"##.###")))</f>
        <v>0</v>
      </c>
      <c r="Q153" s="209" t="str">
        <f>IF(FORMULACIÓN!R153&lt;&gt;"",FORMULACIÓN!R153,"")</f>
        <v>P1 - Diseño y adecuación de infraestructura inclusiva, sostenible y especializada en todas las sedes.</v>
      </c>
      <c r="R153" s="209">
        <f>IF(FORMULACIÓN!S153&lt;&gt;"",FORMULACIÓN!S153,"")</f>
        <v>0.06</v>
      </c>
      <c r="S153" s="209" t="str">
        <f>IF(FORMULACIÓN!T153&lt;&gt;"",FORMULACIÓN!T153,"")</f>
        <v>Jefe de Oficina de Planeación</v>
      </c>
      <c r="T153" s="42"/>
      <c r="U153" s="42"/>
      <c r="V153" s="42"/>
      <c r="W153" s="43" t="str">
        <f t="shared" si="18"/>
        <v/>
      </c>
      <c r="X153" s="42"/>
      <c r="Y153" s="42"/>
      <c r="Z153" s="42"/>
      <c r="AA153" s="43" t="str">
        <f t="shared" si="19"/>
        <v/>
      </c>
      <c r="AB153" s="42"/>
      <c r="AC153" s="42"/>
      <c r="AD153" s="42"/>
      <c r="AE153" s="43" t="str">
        <f t="shared" si="20"/>
        <v/>
      </c>
      <c r="AF153" s="42"/>
      <c r="AG153" s="42"/>
      <c r="AH153" s="42"/>
      <c r="AI153" s="46" t="str">
        <f t="shared" si="21"/>
        <v/>
      </c>
      <c r="AJ153" s="46" t="str">
        <f>IF(SUM(AA153,AE153,W153,AI153)=0,"",SUM((AA153,AE153,W153,AI153)))</f>
        <v/>
      </c>
      <c r="AK153"/>
      <c r="AL153" s="1" t="str">
        <f t="shared" si="22"/>
        <v>L5M3P1</v>
      </c>
      <c r="AM153" s="56" t="str">
        <f t="shared" si="23"/>
        <v xml:space="preserve">Plan maestro de infraestructura física elaborado proyectado a 10 años </v>
      </c>
      <c r="AN153" s="112" t="str">
        <f ca="1">IF($G153=Lists!$R$3,"T1: "&amp;TEXT(FORMULACIÓN!L153,"00,00%")&amp;CHAR(10)&amp;"T2: "&amp;TEXT(FORMULACIÓN!M153,"00,00%")&amp;CHAR(10)&amp;"T3: "&amp;TEXT(FORMULACIÓN!N153,"00,00%")&amp;CHAR(10)&amp;"Tn: "&amp;TEXT(FORMULACIÓN!O153,"00,00%"),IF(FORMULACIÓN!Q153=0,0,"T1: "&amp;TEXT(FORMULACIÓN!L153,"##.###")&amp;CHAR(10)&amp;"T2: "&amp;TEXT(FORMULACIÓN!M153,"##.###")&amp;CHAR(10)&amp;"T3: "&amp;TEXT(FORMULACIÓN!N153,"##.###")&amp;CHAR(10)&amp;"Tn: "&amp;TEXT(FORMULACIÓN!O153,"##.###")))</f>
        <v xml:space="preserve">T1: 1
T2: 
T3: 
Tn: </v>
      </c>
      <c r="AO153" s="117">
        <f>IFERROR(IF($H153=Lists!$S$6,IF(AND(FORMULACIÓN!L153&gt;K153,K153&gt;0),1,0),IF((K153/FORMULACIÓN!L153)&lt;&gt;0,K153/FORMULACIÓN!L153,0)),"")</f>
        <v>0</v>
      </c>
      <c r="AP153" s="117" t="str">
        <f>IFERROR(IF($H153=Lists!$S$6,IF(AND(FORMULACIÓN!M153&gt;L153,L153&gt;0),1,0),IF((L153/FORMULACIÓN!M153)&lt;&gt;0,L153/FORMULACIÓN!M153,0)),"")</f>
        <v/>
      </c>
      <c r="AQ153" s="117" t="str">
        <f>IFERROR(IF($H153=Lists!$S$6,IF(AND(FORMULACIÓN!N153&gt;M153,M153&gt;0),1,0),IF((M153/FORMULACIÓN!N153)&lt;&gt;0,M153/FORMULACIÓN!N153,0)),"")</f>
        <v/>
      </c>
      <c r="AR153" s="117" t="str">
        <f>IFERROR(IF($H153=Lists!$S$6,IF(AND(FORMULACIÓN!O153&gt;N153,N153&gt;0),1,0),IF((N153/FORMULACIÓN!O153)&lt;&gt;0,N153/FORMULACIÓN!O153,0)),"")</f>
        <v/>
      </c>
      <c r="AS153" s="110"/>
      <c r="AT153" s="118">
        <f ca="1">IF($H153=Lists!$S$6,TEXT(COUNTIF('SEGUIMIENTO Y EVALUACIÓN'!K153:N153,"&lt;"&amp;FORMULACIÓN!Q153),"##.###")&amp;" / "&amp;TEXT(COUNTIF('SEGUIMIENTO Y EVALUACIÓN'!K153:N153,"&gt;"&amp;0),"##.###"),IF($G153=Lists!$R$3,TEXT('SEGUIMIENTO Y EVALUACIÓN'!O153,"00,00%")&amp;" / "&amp;TEXT(FORMULACIÓN!P153,"00,00%"),IF('SEGUIMIENTO Y EVALUACIÓN'!O153=0,0,TEXT('SEGUIMIENTO Y EVALUACIÓN'!O153,"##.###")&amp;" / "&amp;TEXT(FORMULACIÓN!P153,"##.###"))))</f>
        <v>0</v>
      </c>
      <c r="AU153" s="57">
        <f ca="1">IFERROR(IF((P153/FORMULACIÓN!Q153)&lt;&gt;0,IF($H153=Lists!$S$6,COUNTIF('SEGUIMIENTO Y EVALUACIÓN'!K153:N153,"&lt;"&amp;FORMULACIÓN!Q153),'SEGUIMIENTO Y EVALUACIÓN'!P153)/IF($H153=Lists!$S$6,COUNTIF('SEGUIMIENTO Y EVALUACIÓN'!K153:N153,"&gt;"&amp;0),FORMULACIÓN!P153),0),0)</f>
        <v>0</v>
      </c>
      <c r="AV153" s="93">
        <f t="shared" ca="1" si="24"/>
        <v>0</v>
      </c>
      <c r="AW153" s="93" cm="1">
        <f t="array" ref="AW153">IF(INDEX(AO153:AU153,1,$AV$3)&gt;1,IF($AU$2=1,1,INDEX(AO153:AU153,1,$AV$3)),INDEX(AO153:AU153,1,$AV$3))</f>
        <v>0</v>
      </c>
      <c r="AX153"/>
      <c r="AY153" s="119" t="str">
        <f>IFERROR(IF((W153/FORMULACIÓN!X153)&lt;&gt;0,W153/FORMULACIÓN!X153,0),"")</f>
        <v/>
      </c>
      <c r="AZ153" s="119" t="str">
        <f>IFERROR(IF((AA153/FORMULACIÓN!AB153)&lt;&gt;0,AA153/FORMULACIÓN!AB153,0),"")</f>
        <v/>
      </c>
      <c r="BA153" s="119" t="str">
        <f>IFERROR(IF((AE153/FORMULACIÓN!AF153)&lt;&gt;0,(AE153/FORMULACIÓN!AF153),0),"")</f>
        <v/>
      </c>
      <c r="BB153" s="119" t="str">
        <f>IFERROR(IF((AI153/FORMULACIÓN!AJ153)&lt;&gt;0,AI153/FORMULACIÓN!AJ153,0),"")</f>
        <v/>
      </c>
      <c r="BC153" s="120" t="str">
        <f>IF('SEGUIMIENTO Y EVALUACIÓN'!AI153=0,0,TEXT('SEGUIMIENTO Y EVALUACIÓN'!AI153,"$ ##.###")&amp;" / "&amp;TEXT(FORMULACIÓN!AK153,"$ ##.###"))</f>
        <v xml:space="preserve"> / $ 9.181.621.603</v>
      </c>
      <c r="BD153" s="57">
        <f>IFERROR(IF((AJ153/FORMULACIÓN!AK153)&lt;&gt;0,AJ153/FORMULACIÓN!AK153,0),0)</f>
        <v>0</v>
      </c>
      <c r="CL153" s="7"/>
    </row>
    <row r="154" spans="1:90" s="1" customFormat="1" ht="99.95" customHeight="1">
      <c r="A154" s="45">
        <f>IF(FORMULACIÓN!A154="","",FORMULACIÓN!A154)</f>
        <v>143</v>
      </c>
      <c r="B154" s="45" t="str">
        <f>IF(FORMULACIÓN!B154="","",FORMULACIÓN!B154)</f>
        <v xml:space="preserve">L5 - Modernización de la Gestión Administrativa </v>
      </c>
      <c r="C154" s="45" t="str">
        <f>IF(FORMULACIÓN!E154="","",FORMULACIÓN!E154)</f>
        <v>M3 - Infraestructura y dotación adecuada</v>
      </c>
      <c r="D154" s="45" t="str">
        <f>IF(FORMULACIÓN!F154="","",FORMULACIÓN!F154)</f>
        <v xml:space="preserve">Formular e implementar el Plan maestro de infraestructura física </v>
      </c>
      <c r="E154" s="45" t="str">
        <f>IF(FORMULACIÓN!G154="","",FORMULACIÓN!G154)</f>
        <v>Porcentaje de cumplimiento del Plan maestro de Infraestructura física</v>
      </c>
      <c r="F154" s="45" t="str">
        <f>IF(FORMULACIÓN!H154="","",FORMULACIÓN!H154)</f>
        <v>(N° de nuevos proyectos finalizados / total de nuevos proyectos programados en el Plan de Infraestructura) *100</v>
      </c>
      <c r="G154" s="45" t="str">
        <f>IF(FORMULACIÓN!I154="","",FORMULACIÓN!I154)</f>
        <v>Porcentaje</v>
      </c>
      <c r="H154" s="45" t="str">
        <f>IF(FORMULACIÓN!J154="","",FORMULACIÓN!J154)</f>
        <v>Nuevo gestionado durante la vigencia</v>
      </c>
      <c r="I154" s="188" t="str">
        <f ca="1">IF($G154=Lists!$R$3,"PDI: "&amp;TEXT(FORMULACIÓN!Q154,"00,00%")&amp;CHAR(10)&amp;CHAR(10)&amp;"T1: "&amp;TEXT(FORMULACIÓN!L154,"00,00%")&amp;CHAR(10)&amp;"T2: "&amp;TEXT(FORMULACIÓN!M154,"00,00%")&amp;CHAR(10)&amp;"T3: "&amp;TEXT(FORMULACIÓN!N154,"00,00%")&amp;CHAR(10)&amp;"Tn: "&amp;TEXT(FORMULACIÓN!O154,"00,00%"),IF(FORMULACIÓN!Q154=0,0,"PDI: "&amp;TEXT(FORMULACIÓN!Q154,"##.###")&amp;CHAR(10)&amp;CHAR(10)&amp;"T1: "&amp;TEXT(FORMULACIÓN!L154,"##.###")&amp;CHAR(10)&amp;"T2: "&amp;TEXT(FORMULACIÓN!M154,"##.###")&amp;CHAR(10)&amp;"T3: "&amp;TEXT(FORMULACIÓN!N154,"##.###")&amp;CHAR(10)&amp;"Tn: "&amp;TEXT(FORMULACIÓN!O154,"##.###")))</f>
        <v>PDI: 80,00%
T1: 00,00%
T2: 20,00%
T3: 40,00%
Tn: 20,00%</v>
      </c>
      <c r="J154" s="122">
        <f>IF(FORMULACIÓN!K154&lt;&gt;"",FORMULACIÓN!K154,"")</f>
        <v>0</v>
      </c>
      <c r="K154" s="309">
        <v>0</v>
      </c>
      <c r="L154" s="58"/>
      <c r="M154" s="58"/>
      <c r="N154" s="58"/>
      <c r="O154" s="47">
        <f ca="1">IFERROR(IF($H154=Lists!$S$2,SUM('SEGUIMIENTO Y EVALUACIÓN'!J154:N154),IF('SEGUIMIENTO Y EVALUACIÓN'!$H154=Lists!$S$3,SUM('SEGUIMIENTO Y EVALUACIÓN'!K154:N154),IF('SEGUIMIENTO Y EVALUACIÓN'!$H154=Lists!$S$4,AVERAGE('SEGUIMIENTO Y EVALUACIÓN'!K154:N154),IF('SEGUIMIENTO Y EVALUACIÓN'!$H154=Lists!$S$5,OFFSET(J154,0,COUNTA(K154:N154)),IF($H154=Lists!$S$6,COUNTIF(K154:N154,"&lt;"&amp;FORMULACIÓN!Q154)/COUNT('SEGUIMIENTO Y EVALUACIÓN'!K154:N154),""))))),"")</f>
        <v>0</v>
      </c>
      <c r="P154" s="51" t="str">
        <f ca="1">IF($G154=Lists!$R$3,TEXT('SEGUIMIENTO Y EVALUACIÓN'!O154,"00,00%"),IF('SEGUIMIENTO Y EVALUACIÓN'!O154=0,0,TEXT('SEGUIMIENTO Y EVALUACIÓN'!O154,"##.###")))</f>
        <v>00,00%</v>
      </c>
      <c r="Q154" s="209" t="str">
        <f>IF(FORMULACIÓN!R154&lt;&gt;"",FORMULACIÓN!R154,"")</f>
        <v>P1 - Diseño y adecuación de infraestructura inclusiva, sostenible y especializada en todas las sedes.</v>
      </c>
      <c r="R154" s="209">
        <f>IF(FORMULACIÓN!S154&lt;&gt;"",FORMULACIÓN!S154,"")</f>
        <v>0.06</v>
      </c>
      <c r="S154" s="209" t="str">
        <f>IF(FORMULACIÓN!T154&lt;&gt;"",FORMULACIÓN!T154,"")</f>
        <v>Jefe de Oficina de Planeación</v>
      </c>
      <c r="T154" s="42"/>
      <c r="U154" s="42"/>
      <c r="V154" s="42"/>
      <c r="W154" s="43" t="str">
        <f t="shared" si="18"/>
        <v/>
      </c>
      <c r="X154" s="42"/>
      <c r="Y154" s="42"/>
      <c r="Z154" s="42"/>
      <c r="AA154" s="43" t="str">
        <f t="shared" si="19"/>
        <v/>
      </c>
      <c r="AB154" s="42"/>
      <c r="AC154" s="42"/>
      <c r="AD154" s="42"/>
      <c r="AE154" s="43" t="str">
        <f t="shared" si="20"/>
        <v/>
      </c>
      <c r="AF154" s="42"/>
      <c r="AG154" s="42"/>
      <c r="AH154" s="42"/>
      <c r="AI154" s="46" t="str">
        <f t="shared" si="21"/>
        <v/>
      </c>
      <c r="AJ154" s="46" t="str">
        <f>IF(SUM(AA154,AE154,W154,AI154)=0,"",SUM((AA154,AE154,W154,AI154)))</f>
        <v/>
      </c>
      <c r="AK154"/>
      <c r="AL154" s="1" t="str">
        <f t="shared" si="22"/>
        <v>L5M3P1</v>
      </c>
      <c r="AM154" s="56" t="str">
        <f t="shared" si="23"/>
        <v>Porcentaje de cumplimiento del Plan maestro de Infraestructura física</v>
      </c>
      <c r="AN154" s="112" t="str">
        <f>IF($G154=Lists!$R$3,"T1: "&amp;TEXT(FORMULACIÓN!L154,"00,00%")&amp;CHAR(10)&amp;"T2: "&amp;TEXT(FORMULACIÓN!M154,"00,00%")&amp;CHAR(10)&amp;"T3: "&amp;TEXT(FORMULACIÓN!N154,"00,00%")&amp;CHAR(10)&amp;"Tn: "&amp;TEXT(FORMULACIÓN!O154,"00,00%"),IF(FORMULACIÓN!Q154=0,0,"T1: "&amp;TEXT(FORMULACIÓN!L154,"##.###")&amp;CHAR(10)&amp;"T2: "&amp;TEXT(FORMULACIÓN!M154,"##.###")&amp;CHAR(10)&amp;"T3: "&amp;TEXT(FORMULACIÓN!N154,"##.###")&amp;CHAR(10)&amp;"Tn: "&amp;TEXT(FORMULACIÓN!O154,"##.###")))</f>
        <v>T1: 00,00%
T2: 20,00%
T3: 40,00%
Tn: 20,00%</v>
      </c>
      <c r="AO154" s="117" t="str">
        <f>IFERROR(IF($H154=Lists!$S$6,IF(AND(FORMULACIÓN!L154&gt;K154,K154&gt;0),1,0),IF((K154/FORMULACIÓN!L154)&lt;&gt;0,K154/FORMULACIÓN!L154,0)),"")</f>
        <v/>
      </c>
      <c r="AP154" s="117">
        <f>IFERROR(IF($H154=Lists!$S$6,IF(AND(FORMULACIÓN!M154&gt;L154,L154&gt;0),1,0),IF((L154/FORMULACIÓN!M154)&lt;&gt;0,L154/FORMULACIÓN!M154,0)),"")</f>
        <v>0</v>
      </c>
      <c r="AQ154" s="117">
        <f>IFERROR(IF($H154=Lists!$S$6,IF(AND(FORMULACIÓN!N154&gt;M154,M154&gt;0),1,0),IF((M154/FORMULACIÓN!N154)&lt;&gt;0,M154/FORMULACIÓN!N154,0)),"")</f>
        <v>0</v>
      </c>
      <c r="AR154" s="117">
        <f>IFERROR(IF($H154=Lists!$S$6,IF(AND(FORMULACIÓN!O154&gt;N154,N154&gt;0),1,0),IF((N154/FORMULACIÓN!O154)&lt;&gt;0,N154/FORMULACIÓN!O154,0)),"")</f>
        <v>0</v>
      </c>
      <c r="AS154" s="110"/>
      <c r="AT154" s="118" t="str">
        <f ca="1">IF($H154=Lists!$S$6,TEXT(COUNTIF('SEGUIMIENTO Y EVALUACIÓN'!K154:N154,"&lt;"&amp;FORMULACIÓN!Q154),"##.###")&amp;" / "&amp;TEXT(COUNTIF('SEGUIMIENTO Y EVALUACIÓN'!K154:N154,"&gt;"&amp;0),"##.###"),IF($G154=Lists!$R$3,TEXT('SEGUIMIENTO Y EVALUACIÓN'!O154,"00,00%")&amp;" / "&amp;TEXT(FORMULACIÓN!P154,"00,00%"),IF('SEGUIMIENTO Y EVALUACIÓN'!O154=0,0,TEXT('SEGUIMIENTO Y EVALUACIÓN'!O154,"##.###")&amp;" / "&amp;TEXT(FORMULACIÓN!P154,"##.###"))))</f>
        <v>00,00% / 80,00%</v>
      </c>
      <c r="AU154" s="57">
        <f ca="1">IFERROR(IF((P154/FORMULACIÓN!Q154)&lt;&gt;0,IF($H154=Lists!$S$6,COUNTIF('SEGUIMIENTO Y EVALUACIÓN'!K154:N154,"&lt;"&amp;FORMULACIÓN!Q154),'SEGUIMIENTO Y EVALUACIÓN'!P154)/IF($H154=Lists!$S$6,COUNTIF('SEGUIMIENTO Y EVALUACIÓN'!K154:N154,"&gt;"&amp;0),FORMULACIÓN!P154),0),0)</f>
        <v>0</v>
      </c>
      <c r="AV154" s="93">
        <f t="shared" ca="1" si="24"/>
        <v>0</v>
      </c>
      <c r="AW154" s="93" cm="1">
        <f t="array" ref="AW154">IF(INDEX(AO154:AU154,1,$AV$3)&gt;1,IF($AU$2=1,1,INDEX(AO154:AU154,1,$AV$3)),INDEX(AO154:AU154,1,$AV$3))</f>
        <v>1</v>
      </c>
      <c r="AX154"/>
      <c r="AY154" s="119" t="str">
        <f>IFERROR(IF((W154/FORMULACIÓN!X154)&lt;&gt;0,W154/FORMULACIÓN!X154,0),"")</f>
        <v/>
      </c>
      <c r="AZ154" s="119" t="str">
        <f>IFERROR(IF((AA154/FORMULACIÓN!AB154)&lt;&gt;0,AA154/FORMULACIÓN!AB154,0),"")</f>
        <v/>
      </c>
      <c r="BA154" s="119" t="str">
        <f>IFERROR(IF((AE154/FORMULACIÓN!AF154)&lt;&gt;0,(AE154/FORMULACIÓN!AF154),0),"")</f>
        <v/>
      </c>
      <c r="BB154" s="119" t="str">
        <f>IFERROR(IF((AI154/FORMULACIÓN!AJ154)&lt;&gt;0,AI154/FORMULACIÓN!AJ154,0),"")</f>
        <v/>
      </c>
      <c r="BC154" s="120" t="str">
        <f>IF('SEGUIMIENTO Y EVALUACIÓN'!AI154=0,0,TEXT('SEGUIMIENTO Y EVALUACIÓN'!AI154,"$ ##.###")&amp;" / "&amp;TEXT(FORMULACIÓN!AK154,"$ ##.###"))</f>
        <v xml:space="preserve"> / $ 12.719.386.249</v>
      </c>
      <c r="BD154" s="57">
        <f>IFERROR(IF((AJ154/FORMULACIÓN!AK154)&lt;&gt;0,AJ154/FORMULACIÓN!AK154,0),0)</f>
        <v>0</v>
      </c>
      <c r="CL154" s="7"/>
    </row>
    <row r="155" spans="1:90" s="1" customFormat="1" ht="99.95" customHeight="1">
      <c r="A155" s="45">
        <f>IF(FORMULACIÓN!A155="","",FORMULACIÓN!A155)</f>
        <v>144</v>
      </c>
      <c r="B155" s="45" t="str">
        <f>IF(FORMULACIÓN!B155="","",FORMULACIÓN!B155)</f>
        <v xml:space="preserve">L5 - Modernización de la Gestión Administrativa </v>
      </c>
      <c r="C155" s="45" t="str">
        <f>IF(FORMULACIÓN!E155="","",FORMULACIÓN!E155)</f>
        <v>M3 - Infraestructura y dotación adecuada</v>
      </c>
      <c r="D155" s="45" t="str">
        <f>IF(FORMULACIÓN!F155="","",FORMULACIÓN!F155)</f>
        <v>Gestionar la modernización de la sede central de la Biblioteca del campus.</v>
      </c>
      <c r="E155" s="45" t="str">
        <f>IF(FORMULACIÓN!G155="","",FORMULACIÓN!G155)</f>
        <v>Proyecto de Modernización de la Biblioteca</v>
      </c>
      <c r="F155" s="45" t="str">
        <f>IF(FORMULACIÓN!H155="","",FORMULACIÓN!H155)</f>
        <v>(N° de fases ejecutadas / total de fases del proyecto de Modernización de la Biblioteca) * 100</v>
      </c>
      <c r="G155" s="45" t="str">
        <f>IF(FORMULACIÓN!I155="","",FORMULACIÓN!I155)</f>
        <v>Porcentaje</v>
      </c>
      <c r="H155" s="45" t="str">
        <f>IF(FORMULACIÓN!J155="","",FORMULACIÓN!J155)</f>
        <v>Nuevo gestionado durante la vigencia</v>
      </c>
      <c r="I155" s="188" t="str">
        <f ca="1">IF($G155=Lists!$R$3,"PDI: "&amp;TEXT(FORMULACIÓN!Q155,"00,00%")&amp;CHAR(10)&amp;CHAR(10)&amp;"T1: "&amp;TEXT(FORMULACIÓN!L155,"00,00%")&amp;CHAR(10)&amp;"T2: "&amp;TEXT(FORMULACIÓN!M155,"00,00%")&amp;CHAR(10)&amp;"T3: "&amp;TEXT(FORMULACIÓN!N155,"00,00%")&amp;CHAR(10)&amp;"Tn: "&amp;TEXT(FORMULACIÓN!O155,"00,00%"),IF(FORMULACIÓN!Q155=0,0,"PDI: "&amp;TEXT(FORMULACIÓN!Q155,"##.###")&amp;CHAR(10)&amp;CHAR(10)&amp;"T1: "&amp;TEXT(FORMULACIÓN!L155,"##.###")&amp;CHAR(10)&amp;"T2: "&amp;TEXT(FORMULACIÓN!M155,"##.###")&amp;CHAR(10)&amp;"T3: "&amp;TEXT(FORMULACIÓN!N155,"##.###")&amp;CHAR(10)&amp;"Tn: "&amp;TEXT(FORMULACIÓN!O155,"##.###")))</f>
        <v>PDI: 55,00%
T1: 05,00%
T2: 15,00%
T3: 15,00%
Tn: 20,00%</v>
      </c>
      <c r="J155" s="122">
        <f>IF(FORMULACIÓN!K155&lt;&gt;"",FORMULACIÓN!K155,"")</f>
        <v>0</v>
      </c>
      <c r="K155" s="309">
        <v>1</v>
      </c>
      <c r="L155" s="58"/>
      <c r="M155" s="58"/>
      <c r="N155" s="58"/>
      <c r="O155" s="47">
        <f ca="1">IFERROR(IF($H155=Lists!$S$2,SUM('SEGUIMIENTO Y EVALUACIÓN'!J155:N155),IF('SEGUIMIENTO Y EVALUACIÓN'!$H155=Lists!$S$3,SUM('SEGUIMIENTO Y EVALUACIÓN'!K155:N155),IF('SEGUIMIENTO Y EVALUACIÓN'!$H155=Lists!$S$4,AVERAGE('SEGUIMIENTO Y EVALUACIÓN'!K155:N155),IF('SEGUIMIENTO Y EVALUACIÓN'!$H155=Lists!$S$5,OFFSET(J155,0,COUNTA(K155:N155)),IF($H155=Lists!$S$6,COUNTIF(K155:N155,"&lt;"&amp;FORMULACIÓN!Q155)/COUNT('SEGUIMIENTO Y EVALUACIÓN'!K155:N155),""))))),"")</f>
        <v>1</v>
      </c>
      <c r="P155" s="51" t="str">
        <f ca="1">IF($G155=Lists!$R$3,TEXT('SEGUIMIENTO Y EVALUACIÓN'!O155,"00,00%"),IF('SEGUIMIENTO Y EVALUACIÓN'!O155=0,0,TEXT('SEGUIMIENTO Y EVALUACIÓN'!O155,"##.###")))</f>
        <v>100,00%</v>
      </c>
      <c r="Q155" s="209" t="str">
        <f>IF(FORMULACIÓN!R155&lt;&gt;"",FORMULACIÓN!R155,"")</f>
        <v xml:space="preserve">P2 - Sostenimiento de la infraestructura física en todas las sedes. </v>
      </c>
      <c r="R155" s="209">
        <f>IF(FORMULACIÓN!S155&lt;&gt;"",FORMULACIÓN!S155,"")</f>
        <v>0.12</v>
      </c>
      <c r="S155" s="209" t="str">
        <f>IF(FORMULACIÓN!T155&lt;&gt;"",FORMULACIÓN!T155,"")</f>
        <v>Jefe de Oficina de Planeación</v>
      </c>
      <c r="T155" s="42"/>
      <c r="U155" s="42"/>
      <c r="V155" s="42"/>
      <c r="W155" s="43" t="str">
        <f t="shared" si="18"/>
        <v/>
      </c>
      <c r="X155" s="42"/>
      <c r="Y155" s="42"/>
      <c r="Z155" s="42"/>
      <c r="AA155" s="43" t="str">
        <f t="shared" si="19"/>
        <v/>
      </c>
      <c r="AB155" s="42"/>
      <c r="AC155" s="42"/>
      <c r="AD155" s="42"/>
      <c r="AE155" s="43" t="str">
        <f t="shared" si="20"/>
        <v/>
      </c>
      <c r="AF155" s="42"/>
      <c r="AG155" s="42"/>
      <c r="AH155" s="42"/>
      <c r="AI155" s="46" t="str">
        <f t="shared" si="21"/>
        <v/>
      </c>
      <c r="AJ155" s="46" t="str">
        <f>IF(SUM(AA155,AE155,W155,AI155)=0,"",SUM((AA155,AE155,W155,AI155)))</f>
        <v/>
      </c>
      <c r="AK155"/>
      <c r="AL155" s="1" t="str">
        <f t="shared" si="22"/>
        <v>L5M3P2</v>
      </c>
      <c r="AM155" s="56" t="str">
        <f t="shared" si="23"/>
        <v>Proyecto de Modernización de la Biblioteca</v>
      </c>
      <c r="AN155" s="112" t="str">
        <f>IF($G155=Lists!$R$3,"T1: "&amp;TEXT(FORMULACIÓN!L155,"00,00%")&amp;CHAR(10)&amp;"T2: "&amp;TEXT(FORMULACIÓN!M155,"00,00%")&amp;CHAR(10)&amp;"T3: "&amp;TEXT(FORMULACIÓN!N155,"00,00%")&amp;CHAR(10)&amp;"Tn: "&amp;TEXT(FORMULACIÓN!O155,"00,00%"),IF(FORMULACIÓN!Q155=0,0,"T1: "&amp;TEXT(FORMULACIÓN!L155,"##.###")&amp;CHAR(10)&amp;"T2: "&amp;TEXT(FORMULACIÓN!M155,"##.###")&amp;CHAR(10)&amp;"T3: "&amp;TEXT(FORMULACIÓN!N155,"##.###")&amp;CHAR(10)&amp;"Tn: "&amp;TEXT(FORMULACIÓN!O155,"##.###")))</f>
        <v>T1: 05,00%
T2: 15,00%
T3: 15,00%
Tn: 20,00%</v>
      </c>
      <c r="AO155" s="117">
        <f>IFERROR(IF($H155=Lists!$S$6,IF(AND(FORMULACIÓN!L155&gt;K155,K155&gt;0),1,0),IF((K155/FORMULACIÓN!L155)&lt;&gt;0,K155/FORMULACIÓN!L155,0)),"")</f>
        <v>20</v>
      </c>
      <c r="AP155" s="117">
        <f>IFERROR(IF($H155=Lists!$S$6,IF(AND(FORMULACIÓN!M155&gt;L155,L155&gt;0),1,0),IF((L155/FORMULACIÓN!M155)&lt;&gt;0,L155/FORMULACIÓN!M155,0)),"")</f>
        <v>0</v>
      </c>
      <c r="AQ155" s="117">
        <f>IFERROR(IF($H155=Lists!$S$6,IF(AND(FORMULACIÓN!N155&gt;M155,M155&gt;0),1,0),IF((M155/FORMULACIÓN!N155)&lt;&gt;0,M155/FORMULACIÓN!N155,0)),"")</f>
        <v>0</v>
      </c>
      <c r="AR155" s="117">
        <f>IFERROR(IF($H155=Lists!$S$6,IF(AND(FORMULACIÓN!O155&gt;N155,N155&gt;0),1,0),IF((N155/FORMULACIÓN!O155)&lt;&gt;0,N155/FORMULACIÓN!O155,0)),"")</f>
        <v>0</v>
      </c>
      <c r="AS155" s="110"/>
      <c r="AT155" s="118" t="str">
        <f ca="1">IF($H155=Lists!$S$6,TEXT(COUNTIF('SEGUIMIENTO Y EVALUACIÓN'!K155:N155,"&lt;"&amp;FORMULACIÓN!Q155),"##.###")&amp;" / "&amp;TEXT(COUNTIF('SEGUIMIENTO Y EVALUACIÓN'!K155:N155,"&gt;"&amp;0),"##.###"),IF($G155=Lists!$R$3,TEXT('SEGUIMIENTO Y EVALUACIÓN'!O155,"00,00%")&amp;" / "&amp;TEXT(FORMULACIÓN!P155,"00,00%"),IF('SEGUIMIENTO Y EVALUACIÓN'!O155=0,0,TEXT('SEGUIMIENTO Y EVALUACIÓN'!O155,"##.###")&amp;" / "&amp;TEXT(FORMULACIÓN!P155,"##.###"))))</f>
        <v>100,00% / 55,00%</v>
      </c>
      <c r="AU155" s="57">
        <f ca="1">IFERROR(IF((P155/FORMULACIÓN!Q155)&lt;&gt;0,IF($H155=Lists!$S$6,COUNTIF('SEGUIMIENTO Y EVALUACIÓN'!K155:N155,"&lt;"&amp;FORMULACIÓN!Q155),'SEGUIMIENTO Y EVALUACIÓN'!P155)/IF($H155=Lists!$S$6,COUNTIF('SEGUIMIENTO Y EVALUACIÓN'!K155:N155,"&gt;"&amp;0),FORMULACIÓN!P155),0),0)</f>
        <v>1.8181818181818181</v>
      </c>
      <c r="AV155" s="93">
        <f t="shared" ca="1" si="24"/>
        <v>0.12</v>
      </c>
      <c r="AW155" s="93" cm="1">
        <f t="array" ref="AW155">IF(INDEX(AO155:AU155,1,$AV$3)&gt;1,IF($AU$2=1,1,INDEX(AO155:AU155,1,$AV$3)),INDEX(AO155:AU155,1,$AV$3))</f>
        <v>1</v>
      </c>
      <c r="AX155"/>
      <c r="AY155" s="119" t="str">
        <f>IFERROR(IF((W155/FORMULACIÓN!X155)&lt;&gt;0,W155/FORMULACIÓN!X155,0),"")</f>
        <v/>
      </c>
      <c r="AZ155" s="119" t="str">
        <f>IFERROR(IF((AA155/FORMULACIÓN!AB155)&lt;&gt;0,AA155/FORMULACIÓN!AB155,0),"")</f>
        <v/>
      </c>
      <c r="BA155" s="119" t="str">
        <f>IFERROR(IF((AE155/FORMULACIÓN!AF155)&lt;&gt;0,(AE155/FORMULACIÓN!AF155),0),"")</f>
        <v/>
      </c>
      <c r="BB155" s="119" t="str">
        <f>IFERROR(IF((AI155/FORMULACIÓN!AJ155)&lt;&gt;0,AI155/FORMULACIÓN!AJ155,0),"")</f>
        <v/>
      </c>
      <c r="BC155" s="120" t="str">
        <f>IF('SEGUIMIENTO Y EVALUACIÓN'!AI155=0,0,TEXT('SEGUIMIENTO Y EVALUACIÓN'!AI155,"$ ##.###")&amp;" / "&amp;TEXT(FORMULACIÓN!AK155,"$ ##.###"))</f>
        <v xml:space="preserve"> / $ 33.713.500.000</v>
      </c>
      <c r="BD155" s="57">
        <f>IFERROR(IF((AJ155/FORMULACIÓN!AK155)&lt;&gt;0,AJ155/FORMULACIÓN!AK155,0),0)</f>
        <v>0</v>
      </c>
      <c r="CL155" s="7"/>
    </row>
    <row r="156" spans="1:90" s="1" customFormat="1" ht="99.95" customHeight="1">
      <c r="A156" s="45">
        <f>IF(FORMULACIÓN!A156="","",FORMULACIÓN!A156)</f>
        <v>145</v>
      </c>
      <c r="B156" s="45" t="str">
        <f>IF(FORMULACIÓN!B156="","",FORMULACIÓN!B156)</f>
        <v xml:space="preserve">L5 - Modernización de la Gestión Administrativa </v>
      </c>
      <c r="C156" s="45" t="str">
        <f>IF(FORMULACIÓN!E156="","",FORMULACIÓN!E156)</f>
        <v>M3 - Infraestructura y dotación adecuada</v>
      </c>
      <c r="D156" s="45" t="str">
        <f>IF(FORMULACIÓN!F156="","",FORMULACIÓN!F156)</f>
        <v>Adecuar contenedores sostenibles y modernos que permitan la recolección selectiva de residuos en salas de reuniones, centros de investigación y zonas de estudios.</v>
      </c>
      <c r="E156" s="45" t="str">
        <f>IF(FORMULACIÓN!G156="","",FORMULACIÓN!G156)</f>
        <v>Espacios adecuados con enfoque ambiental</v>
      </c>
      <c r="F156" s="45" t="str">
        <f>IF(FORMULACIÓN!H156="","",FORMULACIÓN!H156)</f>
        <v>(N° de espacios intervenidos y dotados con enfoque ambiental / total de espacios proyectados a intervenir y dotar con enfoque ambiental) * 100</v>
      </c>
      <c r="G156" s="45" t="str">
        <f>IF(FORMULACIÓN!I156="","",FORMULACIÓN!I156)</f>
        <v>Porcentaje</v>
      </c>
      <c r="H156" s="45" t="str">
        <f>IF(FORMULACIÓN!J156="","",FORMULACIÓN!J156)</f>
        <v>Nuevo gestionado durante la vigencia</v>
      </c>
      <c r="I156" s="188" t="str">
        <f ca="1">IF($G156=Lists!$R$3,"PDI: "&amp;TEXT(FORMULACIÓN!Q156,"00,00%")&amp;CHAR(10)&amp;CHAR(10)&amp;"T1: "&amp;TEXT(FORMULACIÓN!L156,"00,00%")&amp;CHAR(10)&amp;"T2: "&amp;TEXT(FORMULACIÓN!M156,"00,00%")&amp;CHAR(10)&amp;"T3: "&amp;TEXT(FORMULACIÓN!N156,"00,00%")&amp;CHAR(10)&amp;"Tn: "&amp;TEXT(FORMULACIÓN!O156,"00,00%"),IF(FORMULACIÓN!Q156=0,0,"PDI: "&amp;TEXT(FORMULACIÓN!Q156,"##.###")&amp;CHAR(10)&amp;CHAR(10)&amp;"T1: "&amp;TEXT(FORMULACIÓN!L156,"##.###")&amp;CHAR(10)&amp;"T2: "&amp;TEXT(FORMULACIÓN!M156,"##.###")&amp;CHAR(10)&amp;"T3: "&amp;TEXT(FORMULACIÓN!N156,"##.###")&amp;CHAR(10)&amp;"Tn: "&amp;TEXT(FORMULACIÓN!O156,"##.###")))</f>
        <v>PDI: 80,00%
T1: 00,00%
T2: 20,00%
T3: 40,00%
Tn: 20,00%</v>
      </c>
      <c r="J156" s="122">
        <f>IF(FORMULACIÓN!K156&lt;&gt;"",FORMULACIÓN!K156,"")</f>
        <v>0</v>
      </c>
      <c r="K156" s="309">
        <v>0.51</v>
      </c>
      <c r="L156" s="58"/>
      <c r="M156" s="58"/>
      <c r="N156" s="58"/>
      <c r="O156" s="47">
        <f ca="1">IFERROR(IF($H156=Lists!$S$2,SUM('SEGUIMIENTO Y EVALUACIÓN'!J156:N156),IF('SEGUIMIENTO Y EVALUACIÓN'!$H156=Lists!$S$3,SUM('SEGUIMIENTO Y EVALUACIÓN'!K156:N156),IF('SEGUIMIENTO Y EVALUACIÓN'!$H156=Lists!$S$4,AVERAGE('SEGUIMIENTO Y EVALUACIÓN'!K156:N156),IF('SEGUIMIENTO Y EVALUACIÓN'!$H156=Lists!$S$5,OFFSET(J156,0,COUNTA(K156:N156)),IF($H156=Lists!$S$6,COUNTIF(K156:N156,"&lt;"&amp;FORMULACIÓN!Q156)/COUNT('SEGUIMIENTO Y EVALUACIÓN'!K156:N156),""))))),"")</f>
        <v>0.51</v>
      </c>
      <c r="P156" s="51" t="str">
        <f ca="1">IF($G156=Lists!$R$3,TEXT('SEGUIMIENTO Y EVALUACIÓN'!O156,"00,00%"),IF('SEGUIMIENTO Y EVALUACIÓN'!O156=0,0,TEXT('SEGUIMIENTO Y EVALUACIÓN'!O156,"##.###")))</f>
        <v>51,00%</v>
      </c>
      <c r="Q156" s="209" t="str">
        <f>IF(FORMULACIÓN!R156&lt;&gt;"",FORMULACIÓN!R156,"")</f>
        <v xml:space="preserve">P3 - Campus atractivo armónico con el medio ambiente. </v>
      </c>
      <c r="R156" s="209">
        <f>IF(FORMULACIÓN!S156&lt;&gt;"",FORMULACIÓN!S156,"")</f>
        <v>0.12</v>
      </c>
      <c r="S156" s="209" t="str">
        <f>IF(FORMULACIÓN!T156&lt;&gt;"",FORMULACIÓN!T156,"")</f>
        <v>Jefe de Oficina de Planeación</v>
      </c>
      <c r="T156" s="42"/>
      <c r="U156" s="42"/>
      <c r="V156" s="42"/>
      <c r="W156" s="43" t="str">
        <f t="shared" si="18"/>
        <v/>
      </c>
      <c r="X156" s="42"/>
      <c r="Y156" s="42"/>
      <c r="Z156" s="42"/>
      <c r="AA156" s="43" t="str">
        <f t="shared" si="19"/>
        <v/>
      </c>
      <c r="AB156" s="42"/>
      <c r="AC156" s="42"/>
      <c r="AD156" s="42"/>
      <c r="AE156" s="43" t="str">
        <f t="shared" si="20"/>
        <v/>
      </c>
      <c r="AF156" s="42"/>
      <c r="AG156" s="42"/>
      <c r="AH156" s="42"/>
      <c r="AI156" s="46" t="str">
        <f t="shared" si="21"/>
        <v/>
      </c>
      <c r="AJ156" s="46" t="str">
        <f>IF(SUM(AA156,AE156,W156,AI156)=0,"",SUM((AA156,AE156,W156,AI156)))</f>
        <v/>
      </c>
      <c r="AK156"/>
      <c r="AL156" s="1" t="str">
        <f t="shared" si="22"/>
        <v>L5M3P3</v>
      </c>
      <c r="AM156" s="56" t="str">
        <f t="shared" si="23"/>
        <v>Espacios adecuados con enfoque ambiental</v>
      </c>
      <c r="AN156" s="112" t="str">
        <f>IF($G156=Lists!$R$3,"T1: "&amp;TEXT(FORMULACIÓN!L156,"00,00%")&amp;CHAR(10)&amp;"T2: "&amp;TEXT(FORMULACIÓN!M156,"00,00%")&amp;CHAR(10)&amp;"T3: "&amp;TEXT(FORMULACIÓN!N156,"00,00%")&amp;CHAR(10)&amp;"Tn: "&amp;TEXT(FORMULACIÓN!O156,"00,00%"),IF(FORMULACIÓN!Q156=0,0,"T1: "&amp;TEXT(FORMULACIÓN!L156,"##.###")&amp;CHAR(10)&amp;"T2: "&amp;TEXT(FORMULACIÓN!M156,"##.###")&amp;CHAR(10)&amp;"T3: "&amp;TEXT(FORMULACIÓN!N156,"##.###")&amp;CHAR(10)&amp;"Tn: "&amp;TEXT(FORMULACIÓN!O156,"##.###")))</f>
        <v>T1: 00,00%
T2: 20,00%
T3: 40,00%
Tn: 20,00%</v>
      </c>
      <c r="AO156" s="117" t="str">
        <f>IFERROR(IF($H156=Lists!$S$6,IF(AND(FORMULACIÓN!L156&gt;K156,K156&gt;0),1,0),IF((K156/FORMULACIÓN!L156)&lt;&gt;0,K156/FORMULACIÓN!L156,0)),"")</f>
        <v/>
      </c>
      <c r="AP156" s="117">
        <f>IFERROR(IF($H156=Lists!$S$6,IF(AND(FORMULACIÓN!M156&gt;L156,L156&gt;0),1,0),IF((L156/FORMULACIÓN!M156)&lt;&gt;0,L156/FORMULACIÓN!M156,0)),"")</f>
        <v>0</v>
      </c>
      <c r="AQ156" s="117">
        <f>IFERROR(IF($H156=Lists!$S$6,IF(AND(FORMULACIÓN!N156&gt;M156,M156&gt;0),1,0),IF((M156/FORMULACIÓN!N156)&lt;&gt;0,M156/FORMULACIÓN!N156,0)),"")</f>
        <v>0</v>
      </c>
      <c r="AR156" s="117">
        <f>IFERROR(IF($H156=Lists!$S$6,IF(AND(FORMULACIÓN!O156&gt;N156,N156&gt;0),1,0),IF((N156/FORMULACIÓN!O156)&lt;&gt;0,N156/FORMULACIÓN!O156,0)),"")</f>
        <v>0</v>
      </c>
      <c r="AS156" s="110"/>
      <c r="AT156" s="118" t="str">
        <f ca="1">IF($H156=Lists!$S$6,TEXT(COUNTIF('SEGUIMIENTO Y EVALUACIÓN'!K156:N156,"&lt;"&amp;FORMULACIÓN!Q156),"##.###")&amp;" / "&amp;TEXT(COUNTIF('SEGUIMIENTO Y EVALUACIÓN'!K156:N156,"&gt;"&amp;0),"##.###"),IF($G156=Lists!$R$3,TEXT('SEGUIMIENTO Y EVALUACIÓN'!O156,"00,00%")&amp;" / "&amp;TEXT(FORMULACIÓN!P156,"00,00%"),IF('SEGUIMIENTO Y EVALUACIÓN'!O156=0,0,TEXT('SEGUIMIENTO Y EVALUACIÓN'!O156,"##.###")&amp;" / "&amp;TEXT(FORMULACIÓN!P156,"##.###"))))</f>
        <v>51,00% / 80,00%</v>
      </c>
      <c r="AU156" s="57">
        <f ca="1">IFERROR(IF((P156/FORMULACIÓN!Q156)&lt;&gt;0,IF($H156=Lists!$S$6,COUNTIF('SEGUIMIENTO Y EVALUACIÓN'!K156:N156,"&lt;"&amp;FORMULACIÓN!Q156),'SEGUIMIENTO Y EVALUACIÓN'!P156)/IF($H156=Lists!$S$6,COUNTIF('SEGUIMIENTO Y EVALUACIÓN'!K156:N156,"&gt;"&amp;0),FORMULACIÓN!P156),0),0)</f>
        <v>0.63749999999999996</v>
      </c>
      <c r="AV156" s="93">
        <f t="shared" ca="1" si="24"/>
        <v>7.6499999999999999E-2</v>
      </c>
      <c r="AW156" s="93" cm="1">
        <f t="array" ref="AW156">IF(INDEX(AO156:AU156,1,$AV$3)&gt;1,IF($AU$2=1,1,INDEX(AO156:AU156,1,$AV$3)),INDEX(AO156:AU156,1,$AV$3))</f>
        <v>1</v>
      </c>
      <c r="AX156"/>
      <c r="AY156" s="119" t="str">
        <f>IFERROR(IF((W156/FORMULACIÓN!X156)&lt;&gt;0,W156/FORMULACIÓN!X156,0),"")</f>
        <v/>
      </c>
      <c r="AZ156" s="119" t="str">
        <f>IFERROR(IF((AA156/FORMULACIÓN!AB156)&lt;&gt;0,AA156/FORMULACIÓN!AB156,0),"")</f>
        <v/>
      </c>
      <c r="BA156" s="119" t="str">
        <f>IFERROR(IF((AE156/FORMULACIÓN!AF156)&lt;&gt;0,(AE156/FORMULACIÓN!AF156),0),"")</f>
        <v/>
      </c>
      <c r="BB156" s="119" t="str">
        <f>IFERROR(IF((AI156/FORMULACIÓN!AJ156)&lt;&gt;0,AI156/FORMULACIÓN!AJ156,0),"")</f>
        <v/>
      </c>
      <c r="BC156" s="120" t="str">
        <f>IF('SEGUIMIENTO Y EVALUACIÓN'!AI156=0,0,TEXT('SEGUIMIENTO Y EVALUACIÓN'!AI156,"$ ##.###")&amp;" / "&amp;TEXT(FORMULACIÓN!AK156,"$ ##.###"))</f>
        <v xml:space="preserve"> / $ 7.171.500.000</v>
      </c>
      <c r="BD156" s="57">
        <f>IFERROR(IF((AJ156/FORMULACIÓN!AK156)&lt;&gt;0,AJ156/FORMULACIÓN!AK156,0),0)</f>
        <v>0</v>
      </c>
      <c r="CL156" s="7"/>
    </row>
    <row r="157" spans="1:90" s="1" customFormat="1" ht="99.95" customHeight="1">
      <c r="A157" s="45" t="str">
        <f>IF(FORMULACIÓN!A157="","",FORMULACIÓN!A157)</f>
        <v/>
      </c>
      <c r="B157" s="45" t="str">
        <f>IF(FORMULACIÓN!B157="","",FORMULACIÓN!B157)</f>
        <v/>
      </c>
      <c r="C157" s="45" t="str">
        <f>IF(FORMULACIÓN!E157="","",FORMULACIÓN!E157)</f>
        <v/>
      </c>
      <c r="D157" s="45" t="str">
        <f>IF(FORMULACIÓN!F157="","",FORMULACIÓN!F157)</f>
        <v/>
      </c>
      <c r="E157" s="45" t="str">
        <f>IF(FORMULACIÓN!G157="","",FORMULACIÓN!G157)</f>
        <v/>
      </c>
      <c r="F157" s="45" t="str">
        <f>IF(FORMULACIÓN!H157="","",FORMULACIÓN!H157)</f>
        <v/>
      </c>
      <c r="G157" s="45" t="str">
        <f>IF(FORMULACIÓN!I157="","",FORMULACIÓN!I157)</f>
        <v/>
      </c>
      <c r="H157" s="45" t="str">
        <f>IF(FORMULACIÓN!J157="","",FORMULACIÓN!J157)</f>
        <v/>
      </c>
      <c r="I157" s="188" t="str">
        <f ca="1">IF($G157=Lists!$R$3,"PDI: "&amp;TEXT(FORMULACIÓN!Q157,"00,00%")&amp;CHAR(10)&amp;CHAR(10)&amp;"T1: "&amp;TEXT(FORMULACIÓN!L157,"00,00%")&amp;CHAR(10)&amp;"T2: "&amp;TEXT(FORMULACIÓN!M157,"00,00%")&amp;CHAR(10)&amp;"T3: "&amp;TEXT(FORMULACIÓN!N157,"00,00%")&amp;CHAR(10)&amp;"Tn: "&amp;TEXT(FORMULACIÓN!O157,"00,00%"),IF(FORMULACIÓN!Q157=0,0,"PDI: "&amp;TEXT(FORMULACIÓN!Q157,"##.###")&amp;CHAR(10)&amp;CHAR(10)&amp;"T1: "&amp;TEXT(FORMULACIÓN!L157,"##.###")&amp;CHAR(10)&amp;"T2: "&amp;TEXT(FORMULACIÓN!M157,"##.###")&amp;CHAR(10)&amp;"T3: "&amp;TEXT(FORMULACIÓN!N157,"##.###")&amp;CHAR(10)&amp;"Tn: "&amp;TEXT(FORMULACIÓN!O157,"##.###")))</f>
        <v xml:space="preserve">PDI: 
T1: 
T2: 
T3: 
Tn: </v>
      </c>
      <c r="J157" s="122" t="str">
        <f>IF(FORMULACIÓN!K157&lt;&gt;"",FORMULACIÓN!K157,"")</f>
        <v/>
      </c>
      <c r="K157" s="58"/>
      <c r="L157" s="58"/>
      <c r="M157" s="58"/>
      <c r="N157" s="58"/>
      <c r="O157" s="47" t="str">
        <f ca="1">IFERROR(IF($H157=Lists!$S$2,SUM('SEGUIMIENTO Y EVALUACIÓN'!J157:N157),IF('SEGUIMIENTO Y EVALUACIÓN'!$H157=Lists!$S$3,SUM('SEGUIMIENTO Y EVALUACIÓN'!K157:N157),IF('SEGUIMIENTO Y EVALUACIÓN'!$H157=Lists!$S$4,AVERAGE('SEGUIMIENTO Y EVALUACIÓN'!K157:N157),IF('SEGUIMIENTO Y EVALUACIÓN'!$H157=Lists!$S$5,OFFSET(J157,0,COUNTA(K157:N157)),IF($H157=Lists!$S$6,COUNTIF(K157:N157,"&lt;"&amp;FORMULACIÓN!Q157)/COUNT('SEGUIMIENTO Y EVALUACIÓN'!K157:N157),""))))),"")</f>
        <v/>
      </c>
      <c r="P157" s="51" t="str">
        <f ca="1">IF($G157=Lists!$R$3,TEXT('SEGUIMIENTO Y EVALUACIÓN'!O157,"00,00%"),IF('SEGUIMIENTO Y EVALUACIÓN'!O157=0,0,TEXT('SEGUIMIENTO Y EVALUACIÓN'!O157,"##.###")))</f>
        <v/>
      </c>
      <c r="Q157" s="209" t="str">
        <f>IF(FORMULACIÓN!R157&lt;&gt;"",FORMULACIÓN!R157,"")</f>
        <v/>
      </c>
      <c r="R157" s="209" t="str">
        <f>IF(FORMULACIÓN!S157&lt;&gt;"",FORMULACIÓN!S157,"")</f>
        <v/>
      </c>
      <c r="S157" s="209" t="str">
        <f>IF(FORMULACIÓN!T157&lt;&gt;"",FORMULACIÓN!T157,"")</f>
        <v/>
      </c>
      <c r="T157" s="42"/>
      <c r="U157" s="42"/>
      <c r="V157" s="42"/>
      <c r="W157" s="43" t="str">
        <f t="shared" si="18"/>
        <v/>
      </c>
      <c r="X157" s="42"/>
      <c r="Y157" s="42"/>
      <c r="Z157" s="42"/>
      <c r="AA157" s="43" t="str">
        <f t="shared" si="19"/>
        <v/>
      </c>
      <c r="AB157" s="42"/>
      <c r="AC157" s="42"/>
      <c r="AD157" s="42"/>
      <c r="AE157" s="43" t="str">
        <f t="shared" si="20"/>
        <v/>
      </c>
      <c r="AF157" s="42"/>
      <c r="AG157" s="42"/>
      <c r="AH157" s="42"/>
      <c r="AI157" s="46" t="str">
        <f t="shared" si="21"/>
        <v/>
      </c>
      <c r="AJ157" s="46" t="str">
        <f>IF(SUM(AA157,AE157,W157,AI157)=0,"",SUM((AA157,AE157,W157,AI157)))</f>
        <v/>
      </c>
      <c r="AK157"/>
      <c r="AL157" s="1" t="str">
        <f t="shared" si="22"/>
        <v/>
      </c>
      <c r="AM157" s="56" t="str">
        <f t="shared" si="23"/>
        <v/>
      </c>
      <c r="AN157" s="112" t="str">
        <f ca="1">IF($G157=Lists!$R$3,"T1: "&amp;TEXT(FORMULACIÓN!L157,"00,00%")&amp;CHAR(10)&amp;"T2: "&amp;TEXT(FORMULACIÓN!M157,"00,00%")&amp;CHAR(10)&amp;"T3: "&amp;TEXT(FORMULACIÓN!N157,"00,00%")&amp;CHAR(10)&amp;"Tn: "&amp;TEXT(FORMULACIÓN!O157,"00,00%"),IF(FORMULACIÓN!Q157=0,0,"T1: "&amp;TEXT(FORMULACIÓN!L157,"##.###")&amp;CHAR(10)&amp;"T2: "&amp;TEXT(FORMULACIÓN!M157,"##.###")&amp;CHAR(10)&amp;"T3: "&amp;TEXT(FORMULACIÓN!N157,"##.###")&amp;CHAR(10)&amp;"Tn: "&amp;TEXT(FORMULACIÓN!O157,"##.###")))</f>
        <v xml:space="preserve">T1: 
T2: 
T3: 
Tn: </v>
      </c>
      <c r="AO157" s="117" t="str">
        <f>IFERROR(IF($H157=Lists!$S$6,IF(AND(FORMULACIÓN!L157&gt;K157,K157&gt;0),1,0),IF((K157/FORMULACIÓN!L157)&lt;&gt;0,K157/FORMULACIÓN!L157,0)),"")</f>
        <v/>
      </c>
      <c r="AP157" s="117" t="str">
        <f>IFERROR(IF($H157=Lists!$S$6,IF(AND(FORMULACIÓN!M157&gt;L157,L157&gt;0),1,0),IF((L157/FORMULACIÓN!M157)&lt;&gt;0,L157/FORMULACIÓN!M157,0)),"")</f>
        <v/>
      </c>
      <c r="AQ157" s="117" t="str">
        <f>IFERROR(IF($H157=Lists!$S$6,IF(AND(FORMULACIÓN!N157&gt;M157,M157&gt;0),1,0),IF((M157/FORMULACIÓN!N157)&lt;&gt;0,M157/FORMULACIÓN!N157,0)),"")</f>
        <v/>
      </c>
      <c r="AR157" s="117" t="str">
        <f>IFERROR(IF($H157=Lists!$S$6,IF(AND(FORMULACIÓN!O157&gt;N157,N157&gt;0),1,0),IF((N157/FORMULACIÓN!O157)&lt;&gt;0,N157/FORMULACIÓN!O157,0)),"")</f>
        <v/>
      </c>
      <c r="AS157" s="110"/>
      <c r="AT157" s="118" t="str">
        <f ca="1">IF($H157=Lists!$S$6,TEXT(COUNTIF('SEGUIMIENTO Y EVALUACIÓN'!K157:N157,"&lt;"&amp;FORMULACIÓN!Q157),"##.###")&amp;" / "&amp;TEXT(COUNTIF('SEGUIMIENTO Y EVALUACIÓN'!K157:N157,"&gt;"&amp;0),"##.###"),IF($G157=Lists!$R$3,TEXT('SEGUIMIENTO Y EVALUACIÓN'!O157,"00,00%")&amp;" / "&amp;TEXT(FORMULACIÓN!P157,"00,00%"),IF('SEGUIMIENTO Y EVALUACIÓN'!O157=0,0,TEXT('SEGUIMIENTO Y EVALUACIÓN'!O157,"##.###")&amp;" / "&amp;TEXT(FORMULACIÓN!P157,"##.###"))))</f>
        <v xml:space="preserve"> / </v>
      </c>
      <c r="AU157" s="57">
        <f ca="1">IFERROR(IF((P157/FORMULACIÓN!Q157)&lt;&gt;0,IF($H157=Lists!$S$6,COUNTIF('SEGUIMIENTO Y EVALUACIÓN'!K157:N157,"&lt;"&amp;FORMULACIÓN!Q157),'SEGUIMIENTO Y EVALUACIÓN'!P157)/IF($H157=Lists!$S$6,COUNTIF('SEGUIMIENTO Y EVALUACIÓN'!K157:N157,"&gt;"&amp;0),FORMULACIÓN!P157),0),0)</f>
        <v>0</v>
      </c>
      <c r="AV157" s="93" t="str">
        <f t="shared" ca="1" si="24"/>
        <v/>
      </c>
      <c r="AW157" s="93" cm="1">
        <f t="array" ref="AW157">IF(INDEX(AO157:AU157,1,$AV$3)&gt;1,IF($AU$2=1,1,INDEX(AO157:AU157,1,$AV$3)),INDEX(AO157:AU157,1,$AV$3))</f>
        <v>1</v>
      </c>
      <c r="AX157"/>
      <c r="AY157" s="119" t="str">
        <f>IFERROR(IF((W157/FORMULACIÓN!X157)&lt;&gt;0,W157/FORMULACIÓN!X157,0),"")</f>
        <v/>
      </c>
      <c r="AZ157" s="119" t="str">
        <f>IFERROR(IF((AA157/FORMULACIÓN!AB157)&lt;&gt;0,AA157/FORMULACIÓN!AB157,0),"")</f>
        <v/>
      </c>
      <c r="BA157" s="119" t="str">
        <f>IFERROR(IF((AE157/FORMULACIÓN!AF157)&lt;&gt;0,(AE157/FORMULACIÓN!AF157),0),"")</f>
        <v/>
      </c>
      <c r="BB157" s="119" t="str">
        <f>IFERROR(IF((AI157/FORMULACIÓN!AJ157)&lt;&gt;0,AI157/FORMULACIÓN!AJ157,0),"")</f>
        <v/>
      </c>
      <c r="BC157" s="120" t="str">
        <f>IF('SEGUIMIENTO Y EVALUACIÓN'!AI157=0,0,TEXT('SEGUIMIENTO Y EVALUACIÓN'!AI157,"$ ##.###")&amp;" / "&amp;TEXT(FORMULACIÓN!AK157,"$ ##.###"))</f>
        <v xml:space="preserve"> / </v>
      </c>
      <c r="BD157" s="57">
        <f>IFERROR(IF((AJ157/FORMULACIÓN!AK157)&lt;&gt;0,AJ157/FORMULACIÓN!AK157,0),0)</f>
        <v>0</v>
      </c>
      <c r="CL157" s="7"/>
    </row>
    <row r="158" spans="1:90" s="1" customFormat="1" ht="99.95" customHeight="1">
      <c r="A158" s="45" t="str">
        <f>IF(FORMULACIÓN!A158="","",FORMULACIÓN!A158)</f>
        <v/>
      </c>
      <c r="B158" s="45" t="str">
        <f>IF(FORMULACIÓN!B158="","",FORMULACIÓN!B158)</f>
        <v/>
      </c>
      <c r="C158" s="45" t="str">
        <f>IF(FORMULACIÓN!E158="","",FORMULACIÓN!E158)</f>
        <v/>
      </c>
      <c r="D158" s="45" t="str">
        <f>IF(FORMULACIÓN!F158="","",FORMULACIÓN!F158)</f>
        <v/>
      </c>
      <c r="E158" s="45" t="str">
        <f>IF(FORMULACIÓN!G158="","",FORMULACIÓN!G158)</f>
        <v/>
      </c>
      <c r="F158" s="45" t="str">
        <f>IF(FORMULACIÓN!H158="","",FORMULACIÓN!H158)</f>
        <v/>
      </c>
      <c r="G158" s="45" t="str">
        <f>IF(FORMULACIÓN!I158="","",FORMULACIÓN!I158)</f>
        <v/>
      </c>
      <c r="H158" s="45" t="str">
        <f>IF(FORMULACIÓN!J158="","",FORMULACIÓN!J158)</f>
        <v/>
      </c>
      <c r="I158" s="188" t="str">
        <f ca="1">IF($G158=Lists!$R$3,"PDI: "&amp;TEXT(FORMULACIÓN!Q158,"00,00%")&amp;CHAR(10)&amp;CHAR(10)&amp;"T1: "&amp;TEXT(FORMULACIÓN!L158,"00,00%")&amp;CHAR(10)&amp;"T2: "&amp;TEXT(FORMULACIÓN!M158,"00,00%")&amp;CHAR(10)&amp;"T3: "&amp;TEXT(FORMULACIÓN!N158,"00,00%")&amp;CHAR(10)&amp;"Tn: "&amp;TEXT(FORMULACIÓN!O158,"00,00%"),IF(FORMULACIÓN!Q158=0,0,"PDI: "&amp;TEXT(FORMULACIÓN!Q158,"##.###")&amp;CHAR(10)&amp;CHAR(10)&amp;"T1: "&amp;TEXT(FORMULACIÓN!L158,"##.###")&amp;CHAR(10)&amp;"T2: "&amp;TEXT(FORMULACIÓN!M158,"##.###")&amp;CHAR(10)&amp;"T3: "&amp;TEXT(FORMULACIÓN!N158,"##.###")&amp;CHAR(10)&amp;"Tn: "&amp;TEXT(FORMULACIÓN!O158,"##.###")))</f>
        <v xml:space="preserve">PDI: 
T1: 
T2: 
T3: 
Tn: </v>
      </c>
      <c r="J158" s="122" t="str">
        <f>IF(FORMULACIÓN!K158&lt;&gt;"",FORMULACIÓN!K158,"")</f>
        <v/>
      </c>
      <c r="K158" s="58"/>
      <c r="L158" s="58"/>
      <c r="M158" s="58"/>
      <c r="N158" s="58"/>
      <c r="O158" s="47" t="str">
        <f ca="1">IFERROR(IF($H158=Lists!$S$2,SUM('SEGUIMIENTO Y EVALUACIÓN'!J158:N158),IF('SEGUIMIENTO Y EVALUACIÓN'!$H158=Lists!$S$3,SUM('SEGUIMIENTO Y EVALUACIÓN'!K158:N158),IF('SEGUIMIENTO Y EVALUACIÓN'!$H158=Lists!$S$4,AVERAGE('SEGUIMIENTO Y EVALUACIÓN'!K158:N158),IF('SEGUIMIENTO Y EVALUACIÓN'!$H158=Lists!$S$5,OFFSET(J158,0,COUNTA(K158:N158)),IF($H158=Lists!$S$6,COUNTIF(K158:N158,"&lt;"&amp;FORMULACIÓN!Q158)/COUNT('SEGUIMIENTO Y EVALUACIÓN'!K158:N158),""))))),"")</f>
        <v/>
      </c>
      <c r="P158" s="51" t="str">
        <f ca="1">IF($G158=Lists!$R$3,TEXT('SEGUIMIENTO Y EVALUACIÓN'!O158,"00,00%"),IF('SEGUIMIENTO Y EVALUACIÓN'!O158=0,0,TEXT('SEGUIMIENTO Y EVALUACIÓN'!O158,"##.###")))</f>
        <v/>
      </c>
      <c r="Q158" s="209" t="str">
        <f>IF(FORMULACIÓN!R158&lt;&gt;"",FORMULACIÓN!R158,"")</f>
        <v/>
      </c>
      <c r="R158" s="209" t="str">
        <f>IF(FORMULACIÓN!S158&lt;&gt;"",FORMULACIÓN!S158,"")</f>
        <v/>
      </c>
      <c r="S158" s="209" t="str">
        <f>IF(FORMULACIÓN!T158&lt;&gt;"",FORMULACIÓN!T158,"")</f>
        <v/>
      </c>
      <c r="T158" s="42"/>
      <c r="U158" s="42"/>
      <c r="V158" s="42"/>
      <c r="W158" s="43" t="str">
        <f t="shared" si="18"/>
        <v/>
      </c>
      <c r="X158" s="42"/>
      <c r="Y158" s="42"/>
      <c r="Z158" s="42"/>
      <c r="AA158" s="43" t="str">
        <f t="shared" si="19"/>
        <v/>
      </c>
      <c r="AB158" s="42"/>
      <c r="AC158" s="42"/>
      <c r="AD158" s="42"/>
      <c r="AE158" s="43" t="str">
        <f t="shared" si="20"/>
        <v/>
      </c>
      <c r="AF158" s="42"/>
      <c r="AG158" s="42"/>
      <c r="AH158" s="42"/>
      <c r="AI158" s="46" t="str">
        <f t="shared" si="21"/>
        <v/>
      </c>
      <c r="AJ158" s="46" t="str">
        <f>IF(SUM(AA158,AE158,W158,AI158)=0,"",SUM((AA158,AE158,W158,AI158)))</f>
        <v/>
      </c>
      <c r="AK158"/>
      <c r="AL158" s="1" t="str">
        <f t="shared" si="22"/>
        <v/>
      </c>
      <c r="AM158" s="56" t="str">
        <f t="shared" si="23"/>
        <v/>
      </c>
      <c r="AN158" s="112" t="str">
        <f ca="1">IF($G158=Lists!$R$3,"T1: "&amp;TEXT(FORMULACIÓN!L158,"00,00%")&amp;CHAR(10)&amp;"T2: "&amp;TEXT(FORMULACIÓN!M158,"00,00%")&amp;CHAR(10)&amp;"T3: "&amp;TEXT(FORMULACIÓN!N158,"00,00%")&amp;CHAR(10)&amp;"Tn: "&amp;TEXT(FORMULACIÓN!O158,"00,00%"),IF(FORMULACIÓN!Q158=0,0,"T1: "&amp;TEXT(FORMULACIÓN!L158,"##.###")&amp;CHAR(10)&amp;"T2: "&amp;TEXT(FORMULACIÓN!M158,"##.###")&amp;CHAR(10)&amp;"T3: "&amp;TEXT(FORMULACIÓN!N158,"##.###")&amp;CHAR(10)&amp;"Tn: "&amp;TEXT(FORMULACIÓN!O158,"##.###")))</f>
        <v xml:space="preserve">T1: 
T2: 
T3: 
Tn: </v>
      </c>
      <c r="AO158" s="117" t="str">
        <f>IFERROR(IF($H158=Lists!$S$6,IF(AND(FORMULACIÓN!L158&gt;K158,K158&gt;0),1,0),IF((K158/FORMULACIÓN!L158)&lt;&gt;0,K158/FORMULACIÓN!L158,0)),"")</f>
        <v/>
      </c>
      <c r="AP158" s="117" t="str">
        <f>IFERROR(IF($H158=Lists!$S$6,IF(AND(FORMULACIÓN!M158&gt;L158,L158&gt;0),1,0),IF((L158/FORMULACIÓN!M158)&lt;&gt;0,L158/FORMULACIÓN!M158,0)),"")</f>
        <v/>
      </c>
      <c r="AQ158" s="117" t="str">
        <f>IFERROR(IF($H158=Lists!$S$6,IF(AND(FORMULACIÓN!N158&gt;M158,M158&gt;0),1,0),IF((M158/FORMULACIÓN!N158)&lt;&gt;0,M158/FORMULACIÓN!N158,0)),"")</f>
        <v/>
      </c>
      <c r="AR158" s="117" t="str">
        <f>IFERROR(IF($H158=Lists!$S$6,IF(AND(FORMULACIÓN!O158&gt;N158,N158&gt;0),1,0),IF((N158/FORMULACIÓN!O158)&lt;&gt;0,N158/FORMULACIÓN!O158,0)),"")</f>
        <v/>
      </c>
      <c r="AS158" s="110"/>
      <c r="AT158" s="118" t="str">
        <f ca="1">IF($H158=Lists!$S$6,TEXT(COUNTIF('SEGUIMIENTO Y EVALUACIÓN'!K158:N158,"&lt;"&amp;FORMULACIÓN!Q158),"##.###")&amp;" / "&amp;TEXT(COUNTIF('SEGUIMIENTO Y EVALUACIÓN'!K158:N158,"&gt;"&amp;0),"##.###"),IF($G158=Lists!$R$3,TEXT('SEGUIMIENTO Y EVALUACIÓN'!O158,"00,00%")&amp;" / "&amp;TEXT(FORMULACIÓN!P158,"00,00%"),IF('SEGUIMIENTO Y EVALUACIÓN'!O158=0,0,TEXT('SEGUIMIENTO Y EVALUACIÓN'!O158,"##.###")&amp;" / "&amp;TEXT(FORMULACIÓN!P158,"##.###"))))</f>
        <v xml:space="preserve"> / </v>
      </c>
      <c r="AU158" s="57">
        <f ca="1">IFERROR(IF((P158/FORMULACIÓN!Q158)&lt;&gt;0,IF($H158=Lists!$S$6,COUNTIF('SEGUIMIENTO Y EVALUACIÓN'!K158:N158,"&lt;"&amp;FORMULACIÓN!Q158),'SEGUIMIENTO Y EVALUACIÓN'!P158)/IF($H158=Lists!$S$6,COUNTIF('SEGUIMIENTO Y EVALUACIÓN'!K158:N158,"&gt;"&amp;0),FORMULACIÓN!P158),0),0)</f>
        <v>0</v>
      </c>
      <c r="AV158" s="93" t="str">
        <f t="shared" ca="1" si="24"/>
        <v/>
      </c>
      <c r="AW158" s="93" cm="1">
        <f t="array" ref="AW158">IF(INDEX(AO158:AU158,1,$AV$3)&gt;1,IF($AU$2=1,1,INDEX(AO158:AU158,1,$AV$3)),INDEX(AO158:AU158,1,$AV$3))</f>
        <v>1</v>
      </c>
      <c r="AX158"/>
      <c r="AY158" s="119" t="str">
        <f>IFERROR(IF((W158/FORMULACIÓN!X158)&lt;&gt;0,W158/FORMULACIÓN!X158,0),"")</f>
        <v/>
      </c>
      <c r="AZ158" s="119" t="str">
        <f>IFERROR(IF((AA158/FORMULACIÓN!AB158)&lt;&gt;0,AA158/FORMULACIÓN!AB158,0),"")</f>
        <v/>
      </c>
      <c r="BA158" s="119" t="str">
        <f>IFERROR(IF((AE158/FORMULACIÓN!AF158)&lt;&gt;0,(AE158/FORMULACIÓN!AF158),0),"")</f>
        <v/>
      </c>
      <c r="BB158" s="119" t="str">
        <f>IFERROR(IF((AI158/FORMULACIÓN!AJ158)&lt;&gt;0,AI158/FORMULACIÓN!AJ158,0),"")</f>
        <v/>
      </c>
      <c r="BC158" s="120" t="str">
        <f>IF('SEGUIMIENTO Y EVALUACIÓN'!AI158=0,0,TEXT('SEGUIMIENTO Y EVALUACIÓN'!AI158,"$ ##.###")&amp;" / "&amp;TEXT(FORMULACIÓN!AK158,"$ ##.###"))</f>
        <v xml:space="preserve"> / </v>
      </c>
      <c r="BD158" s="57">
        <f>IFERROR(IF((AJ158/FORMULACIÓN!AK158)&lt;&gt;0,AJ158/FORMULACIÓN!AK158,0),0)</f>
        <v>0</v>
      </c>
      <c r="CL158" s="7"/>
    </row>
    <row r="159" spans="1:90" s="1" customFormat="1" ht="99.95" customHeight="1">
      <c r="A159" s="45" t="str">
        <f>IF(FORMULACIÓN!A159="","",FORMULACIÓN!A159)</f>
        <v/>
      </c>
      <c r="B159" s="45" t="str">
        <f>IF(FORMULACIÓN!B159="","",FORMULACIÓN!B159)</f>
        <v/>
      </c>
      <c r="C159" s="45" t="str">
        <f>IF(FORMULACIÓN!E159="","",FORMULACIÓN!E159)</f>
        <v/>
      </c>
      <c r="D159" s="45" t="str">
        <f>IF(FORMULACIÓN!F159="","",FORMULACIÓN!F159)</f>
        <v/>
      </c>
      <c r="E159" s="45" t="str">
        <f>IF(FORMULACIÓN!G159="","",FORMULACIÓN!G159)</f>
        <v/>
      </c>
      <c r="F159" s="45" t="str">
        <f>IF(FORMULACIÓN!H159="","",FORMULACIÓN!H159)</f>
        <v/>
      </c>
      <c r="G159" s="45" t="str">
        <f>IF(FORMULACIÓN!I159="","",FORMULACIÓN!I159)</f>
        <v/>
      </c>
      <c r="H159" s="45" t="str">
        <f>IF(FORMULACIÓN!J159="","",FORMULACIÓN!J159)</f>
        <v/>
      </c>
      <c r="I159" s="188" t="str">
        <f ca="1">IF($G159=Lists!$R$3,"PDI: "&amp;TEXT(FORMULACIÓN!Q159,"00,00%")&amp;CHAR(10)&amp;CHAR(10)&amp;"T1: "&amp;TEXT(FORMULACIÓN!L159,"00,00%")&amp;CHAR(10)&amp;"T2: "&amp;TEXT(FORMULACIÓN!M159,"00,00%")&amp;CHAR(10)&amp;"T3: "&amp;TEXT(FORMULACIÓN!N159,"00,00%")&amp;CHAR(10)&amp;"Tn: "&amp;TEXT(FORMULACIÓN!O159,"00,00%"),IF(FORMULACIÓN!Q159=0,0,"PDI: "&amp;TEXT(FORMULACIÓN!Q159,"##.###")&amp;CHAR(10)&amp;CHAR(10)&amp;"T1: "&amp;TEXT(FORMULACIÓN!L159,"##.###")&amp;CHAR(10)&amp;"T2: "&amp;TEXT(FORMULACIÓN!M159,"##.###")&amp;CHAR(10)&amp;"T3: "&amp;TEXT(FORMULACIÓN!N159,"##.###")&amp;CHAR(10)&amp;"Tn: "&amp;TEXT(FORMULACIÓN!O159,"##.###")))</f>
        <v xml:space="preserve">PDI: 
T1: 
T2: 
T3: 
Tn: </v>
      </c>
      <c r="J159" s="122" t="str">
        <f>IF(FORMULACIÓN!K159&lt;&gt;"",FORMULACIÓN!K159,"")</f>
        <v/>
      </c>
      <c r="K159" s="58"/>
      <c r="L159" s="58"/>
      <c r="M159" s="58"/>
      <c r="N159" s="58"/>
      <c r="O159" s="47" t="str">
        <f ca="1">IFERROR(IF($H159=Lists!$S$2,SUM('SEGUIMIENTO Y EVALUACIÓN'!J159:N159),IF('SEGUIMIENTO Y EVALUACIÓN'!$H159=Lists!$S$3,SUM('SEGUIMIENTO Y EVALUACIÓN'!K159:N159),IF('SEGUIMIENTO Y EVALUACIÓN'!$H159=Lists!$S$4,AVERAGE('SEGUIMIENTO Y EVALUACIÓN'!K159:N159),IF('SEGUIMIENTO Y EVALUACIÓN'!$H159=Lists!$S$5,OFFSET(J159,0,COUNTA(K159:N159)),IF($H159=Lists!$S$6,COUNTIF(K159:N159,"&lt;"&amp;FORMULACIÓN!Q159)/COUNT('SEGUIMIENTO Y EVALUACIÓN'!K159:N159),""))))),"")</f>
        <v/>
      </c>
      <c r="P159" s="51" t="str">
        <f ca="1">IF($G159=Lists!$R$3,TEXT('SEGUIMIENTO Y EVALUACIÓN'!O159,"00,00%"),IF('SEGUIMIENTO Y EVALUACIÓN'!O159=0,0,TEXT('SEGUIMIENTO Y EVALUACIÓN'!O159,"##.###")))</f>
        <v/>
      </c>
      <c r="Q159" s="209" t="str">
        <f>IF(FORMULACIÓN!R159&lt;&gt;"",FORMULACIÓN!R159,"")</f>
        <v/>
      </c>
      <c r="R159" s="209" t="str">
        <f>IF(FORMULACIÓN!S159&lt;&gt;"",FORMULACIÓN!S159,"")</f>
        <v/>
      </c>
      <c r="S159" s="209" t="str">
        <f>IF(FORMULACIÓN!T159&lt;&gt;"",FORMULACIÓN!T159,"")</f>
        <v/>
      </c>
      <c r="T159" s="42"/>
      <c r="U159" s="42"/>
      <c r="V159" s="42"/>
      <c r="W159" s="43" t="str">
        <f t="shared" si="18"/>
        <v/>
      </c>
      <c r="X159" s="42"/>
      <c r="Y159" s="42"/>
      <c r="Z159" s="42"/>
      <c r="AA159" s="43" t="str">
        <f t="shared" si="19"/>
        <v/>
      </c>
      <c r="AB159" s="42"/>
      <c r="AC159" s="42"/>
      <c r="AD159" s="42"/>
      <c r="AE159" s="43" t="str">
        <f t="shared" si="20"/>
        <v/>
      </c>
      <c r="AF159" s="42"/>
      <c r="AG159" s="42"/>
      <c r="AH159" s="42"/>
      <c r="AI159" s="46" t="str">
        <f t="shared" si="21"/>
        <v/>
      </c>
      <c r="AJ159" s="46" t="str">
        <f>IF(SUM(AA159,AE159,W159,AI159)=0,"",SUM((AA159,AE159,W159,AI159)))</f>
        <v/>
      </c>
      <c r="AK159"/>
      <c r="AL159" s="1" t="str">
        <f t="shared" si="22"/>
        <v/>
      </c>
      <c r="AM159" s="56" t="str">
        <f t="shared" si="23"/>
        <v/>
      </c>
      <c r="AN159" s="112" t="str">
        <f ca="1">IF($G159=Lists!$R$3,"T1: "&amp;TEXT(FORMULACIÓN!L159,"00,00%")&amp;CHAR(10)&amp;"T2: "&amp;TEXT(FORMULACIÓN!M159,"00,00%")&amp;CHAR(10)&amp;"T3: "&amp;TEXT(FORMULACIÓN!N159,"00,00%")&amp;CHAR(10)&amp;"Tn: "&amp;TEXT(FORMULACIÓN!O159,"00,00%"),IF(FORMULACIÓN!Q159=0,0,"T1: "&amp;TEXT(FORMULACIÓN!L159,"##.###")&amp;CHAR(10)&amp;"T2: "&amp;TEXT(FORMULACIÓN!M159,"##.###")&amp;CHAR(10)&amp;"T3: "&amp;TEXT(FORMULACIÓN!N159,"##.###")&amp;CHAR(10)&amp;"Tn: "&amp;TEXT(FORMULACIÓN!O159,"##.###")))</f>
        <v xml:space="preserve">T1: 
T2: 
T3: 
Tn: </v>
      </c>
      <c r="AO159" s="117" t="str">
        <f>IFERROR(IF($H159=Lists!$S$6,IF(AND(FORMULACIÓN!L159&gt;K159,K159&gt;0),1,0),IF((K159/FORMULACIÓN!L159)&lt;&gt;0,K159/FORMULACIÓN!L159,0)),"")</f>
        <v/>
      </c>
      <c r="AP159" s="117" t="str">
        <f>IFERROR(IF($H159=Lists!$S$6,IF(AND(FORMULACIÓN!M159&gt;L159,L159&gt;0),1,0),IF((L159/FORMULACIÓN!M159)&lt;&gt;0,L159/FORMULACIÓN!M159,0)),"")</f>
        <v/>
      </c>
      <c r="AQ159" s="117" t="str">
        <f>IFERROR(IF($H159=Lists!$S$6,IF(AND(FORMULACIÓN!N159&gt;M159,M159&gt;0),1,0),IF((M159/FORMULACIÓN!N159)&lt;&gt;0,M159/FORMULACIÓN!N159,0)),"")</f>
        <v/>
      </c>
      <c r="AR159" s="117" t="str">
        <f>IFERROR(IF($H159=Lists!$S$6,IF(AND(FORMULACIÓN!O159&gt;N159,N159&gt;0),1,0),IF((N159/FORMULACIÓN!O159)&lt;&gt;0,N159/FORMULACIÓN!O159,0)),"")</f>
        <v/>
      </c>
      <c r="AS159" s="110"/>
      <c r="AT159" s="118" t="str">
        <f ca="1">IF($H159=Lists!$S$6,TEXT(COUNTIF('SEGUIMIENTO Y EVALUACIÓN'!K159:N159,"&lt;"&amp;FORMULACIÓN!Q159),"##.###")&amp;" / "&amp;TEXT(COUNTIF('SEGUIMIENTO Y EVALUACIÓN'!K159:N159,"&gt;"&amp;0),"##.###"),IF($G159=Lists!$R$3,TEXT('SEGUIMIENTO Y EVALUACIÓN'!O159,"00,00%")&amp;" / "&amp;TEXT(FORMULACIÓN!P159,"00,00%"),IF('SEGUIMIENTO Y EVALUACIÓN'!O159=0,0,TEXT('SEGUIMIENTO Y EVALUACIÓN'!O159,"##.###")&amp;" / "&amp;TEXT(FORMULACIÓN!P159,"##.###"))))</f>
        <v xml:space="preserve"> / </v>
      </c>
      <c r="AU159" s="57">
        <f ca="1">IFERROR(IF((P159/FORMULACIÓN!Q159)&lt;&gt;0,IF($H159=Lists!$S$6,COUNTIF('SEGUIMIENTO Y EVALUACIÓN'!K159:N159,"&lt;"&amp;FORMULACIÓN!Q159),'SEGUIMIENTO Y EVALUACIÓN'!P159)/IF($H159=Lists!$S$6,COUNTIF('SEGUIMIENTO Y EVALUACIÓN'!K159:N159,"&gt;"&amp;0),FORMULACIÓN!P159),0),0)</f>
        <v>0</v>
      </c>
      <c r="AV159" s="93" t="str">
        <f t="shared" ca="1" si="24"/>
        <v/>
      </c>
      <c r="AW159" s="93" cm="1">
        <f t="array" ref="AW159">IF(INDEX(AO159:AU159,1,$AV$3)&gt;1,IF($AU$2=1,1,INDEX(AO159:AU159,1,$AV$3)),INDEX(AO159:AU159,1,$AV$3))</f>
        <v>1</v>
      </c>
      <c r="AX159"/>
      <c r="AY159" s="119" t="str">
        <f>IFERROR(IF((W159/FORMULACIÓN!X159)&lt;&gt;0,W159/FORMULACIÓN!X159,0),"")</f>
        <v/>
      </c>
      <c r="AZ159" s="119" t="str">
        <f>IFERROR(IF((AA159/FORMULACIÓN!AB159)&lt;&gt;0,AA159/FORMULACIÓN!AB159,0),"")</f>
        <v/>
      </c>
      <c r="BA159" s="119" t="str">
        <f>IFERROR(IF((AE159/FORMULACIÓN!AF159)&lt;&gt;0,(AE159/FORMULACIÓN!AF159),0),"")</f>
        <v/>
      </c>
      <c r="BB159" s="119" t="str">
        <f>IFERROR(IF((AI159/FORMULACIÓN!AJ159)&lt;&gt;0,AI159/FORMULACIÓN!AJ159,0),"")</f>
        <v/>
      </c>
      <c r="BC159" s="120" t="str">
        <f>IF('SEGUIMIENTO Y EVALUACIÓN'!AI159=0,0,TEXT('SEGUIMIENTO Y EVALUACIÓN'!AI159,"$ ##.###")&amp;" / "&amp;TEXT(FORMULACIÓN!AK159,"$ ##.###"))</f>
        <v xml:space="preserve"> / </v>
      </c>
      <c r="BD159" s="57">
        <f>IFERROR(IF((AJ159/FORMULACIÓN!AK159)&lt;&gt;0,AJ159/FORMULACIÓN!AK159,0),0)</f>
        <v>0</v>
      </c>
      <c r="CL159" s="7"/>
    </row>
    <row r="160" spans="1:90" s="1" customFormat="1" ht="99.95" customHeight="1">
      <c r="A160" s="45" t="str">
        <f>IF(FORMULACIÓN!A160="","",FORMULACIÓN!A160)</f>
        <v/>
      </c>
      <c r="B160" s="45" t="str">
        <f>IF(FORMULACIÓN!B160="","",FORMULACIÓN!B160)</f>
        <v/>
      </c>
      <c r="C160" s="45" t="str">
        <f>IF(FORMULACIÓN!E160="","",FORMULACIÓN!E160)</f>
        <v/>
      </c>
      <c r="D160" s="45" t="str">
        <f>IF(FORMULACIÓN!F160="","",FORMULACIÓN!F160)</f>
        <v/>
      </c>
      <c r="E160" s="45" t="str">
        <f>IF(FORMULACIÓN!G160="","",FORMULACIÓN!G160)</f>
        <v/>
      </c>
      <c r="F160" s="45" t="str">
        <f>IF(FORMULACIÓN!H160="","",FORMULACIÓN!H160)</f>
        <v/>
      </c>
      <c r="G160" s="45" t="str">
        <f>IF(FORMULACIÓN!I160="","",FORMULACIÓN!I160)</f>
        <v/>
      </c>
      <c r="H160" s="45" t="str">
        <f>IF(FORMULACIÓN!J160="","",FORMULACIÓN!J160)</f>
        <v/>
      </c>
      <c r="I160" s="188" t="str">
        <f ca="1">IF($G160=Lists!$R$3,"PDI: "&amp;TEXT(FORMULACIÓN!Q160,"00,00%")&amp;CHAR(10)&amp;CHAR(10)&amp;"T1: "&amp;TEXT(FORMULACIÓN!L160,"00,00%")&amp;CHAR(10)&amp;"T2: "&amp;TEXT(FORMULACIÓN!M160,"00,00%")&amp;CHAR(10)&amp;"T3: "&amp;TEXT(FORMULACIÓN!N160,"00,00%")&amp;CHAR(10)&amp;"Tn: "&amp;TEXT(FORMULACIÓN!O160,"00,00%"),IF(FORMULACIÓN!Q160=0,0,"PDI: "&amp;TEXT(FORMULACIÓN!Q160,"##.###")&amp;CHAR(10)&amp;CHAR(10)&amp;"T1: "&amp;TEXT(FORMULACIÓN!L160,"##.###")&amp;CHAR(10)&amp;"T2: "&amp;TEXT(FORMULACIÓN!M160,"##.###")&amp;CHAR(10)&amp;"T3: "&amp;TEXT(FORMULACIÓN!N160,"##.###")&amp;CHAR(10)&amp;"Tn: "&amp;TEXT(FORMULACIÓN!O160,"##.###")))</f>
        <v xml:space="preserve">PDI: 
T1: 
T2: 
T3: 
Tn: </v>
      </c>
      <c r="J160" s="122" t="str">
        <f>IF(FORMULACIÓN!K160&lt;&gt;"",FORMULACIÓN!K160,"")</f>
        <v/>
      </c>
      <c r="K160" s="58"/>
      <c r="L160" s="58"/>
      <c r="M160" s="58"/>
      <c r="N160" s="58"/>
      <c r="O160" s="47" t="str">
        <f ca="1">IFERROR(IF($H160=Lists!$S$2,SUM('SEGUIMIENTO Y EVALUACIÓN'!J160:N160),IF('SEGUIMIENTO Y EVALUACIÓN'!$H160=Lists!$S$3,SUM('SEGUIMIENTO Y EVALUACIÓN'!K160:N160),IF('SEGUIMIENTO Y EVALUACIÓN'!$H160=Lists!$S$4,AVERAGE('SEGUIMIENTO Y EVALUACIÓN'!K160:N160),IF('SEGUIMIENTO Y EVALUACIÓN'!$H160=Lists!$S$5,OFFSET(J160,0,COUNTA(K160:N160)),IF($H160=Lists!$S$6,COUNTIF(K160:N160,"&lt;"&amp;FORMULACIÓN!Q160)/COUNT('SEGUIMIENTO Y EVALUACIÓN'!K160:N160),""))))),"")</f>
        <v/>
      </c>
      <c r="P160" s="51" t="str">
        <f ca="1">IF($G160=Lists!$R$3,TEXT('SEGUIMIENTO Y EVALUACIÓN'!O160,"00,00%"),IF('SEGUIMIENTO Y EVALUACIÓN'!O160=0,0,TEXT('SEGUIMIENTO Y EVALUACIÓN'!O160,"##.###")))</f>
        <v/>
      </c>
      <c r="Q160" s="209" t="str">
        <f>IF(FORMULACIÓN!R160&lt;&gt;"",FORMULACIÓN!R160,"")</f>
        <v/>
      </c>
      <c r="R160" s="209" t="str">
        <f>IF(FORMULACIÓN!S160&lt;&gt;"",FORMULACIÓN!S160,"")</f>
        <v/>
      </c>
      <c r="S160" s="209" t="str">
        <f>IF(FORMULACIÓN!T160&lt;&gt;"",FORMULACIÓN!T160,"")</f>
        <v/>
      </c>
      <c r="T160" s="42"/>
      <c r="U160" s="42"/>
      <c r="V160" s="42"/>
      <c r="W160" s="43" t="str">
        <f t="shared" si="18"/>
        <v/>
      </c>
      <c r="X160" s="42"/>
      <c r="Y160" s="42"/>
      <c r="Z160" s="42"/>
      <c r="AA160" s="43" t="str">
        <f t="shared" si="19"/>
        <v/>
      </c>
      <c r="AB160" s="42"/>
      <c r="AC160" s="42"/>
      <c r="AD160" s="42"/>
      <c r="AE160" s="43" t="str">
        <f t="shared" si="20"/>
        <v/>
      </c>
      <c r="AF160" s="42"/>
      <c r="AG160" s="42"/>
      <c r="AH160" s="42"/>
      <c r="AI160" s="46" t="str">
        <f t="shared" si="21"/>
        <v/>
      </c>
      <c r="AJ160" s="46" t="str">
        <f>IF(SUM(AA160,AE160,W160,AI160)=0,"",SUM((AA160,AE160,W160,AI160)))</f>
        <v/>
      </c>
      <c r="AK160"/>
      <c r="AL160" s="1" t="str">
        <f t="shared" si="22"/>
        <v/>
      </c>
      <c r="AM160" s="56" t="str">
        <f t="shared" si="23"/>
        <v/>
      </c>
      <c r="AN160" s="112" t="str">
        <f ca="1">IF($G160=Lists!$R$3,"T1: "&amp;TEXT(FORMULACIÓN!L160,"00,00%")&amp;CHAR(10)&amp;"T2: "&amp;TEXT(FORMULACIÓN!M160,"00,00%")&amp;CHAR(10)&amp;"T3: "&amp;TEXT(FORMULACIÓN!N160,"00,00%")&amp;CHAR(10)&amp;"Tn: "&amp;TEXT(FORMULACIÓN!O160,"00,00%"),IF(FORMULACIÓN!Q160=0,0,"T1: "&amp;TEXT(FORMULACIÓN!L160,"##.###")&amp;CHAR(10)&amp;"T2: "&amp;TEXT(FORMULACIÓN!M160,"##.###")&amp;CHAR(10)&amp;"T3: "&amp;TEXT(FORMULACIÓN!N160,"##.###")&amp;CHAR(10)&amp;"Tn: "&amp;TEXT(FORMULACIÓN!O160,"##.###")))</f>
        <v xml:space="preserve">T1: 
T2: 
T3: 
Tn: </v>
      </c>
      <c r="AO160" s="117" t="str">
        <f>IFERROR(IF($H160=Lists!$S$6,IF(AND(FORMULACIÓN!L160&gt;K160,K160&gt;0),1,0),IF((K160/FORMULACIÓN!L160)&lt;&gt;0,K160/FORMULACIÓN!L160,0)),"")</f>
        <v/>
      </c>
      <c r="AP160" s="117" t="str">
        <f>IFERROR(IF($H160=Lists!$S$6,IF(AND(FORMULACIÓN!M160&gt;L160,L160&gt;0),1,0),IF((L160/FORMULACIÓN!M160)&lt;&gt;0,L160/FORMULACIÓN!M160,0)),"")</f>
        <v/>
      </c>
      <c r="AQ160" s="117" t="str">
        <f>IFERROR(IF($H160=Lists!$S$6,IF(AND(FORMULACIÓN!N160&gt;M160,M160&gt;0),1,0),IF((M160/FORMULACIÓN!N160)&lt;&gt;0,M160/FORMULACIÓN!N160,0)),"")</f>
        <v/>
      </c>
      <c r="AR160" s="117" t="str">
        <f>IFERROR(IF($H160=Lists!$S$6,IF(AND(FORMULACIÓN!O160&gt;N160,N160&gt;0),1,0),IF((N160/FORMULACIÓN!O160)&lt;&gt;0,N160/FORMULACIÓN!O160,0)),"")</f>
        <v/>
      </c>
      <c r="AS160" s="110"/>
      <c r="AT160" s="118" t="str">
        <f ca="1">IF($H160=Lists!$S$6,TEXT(COUNTIF('SEGUIMIENTO Y EVALUACIÓN'!K160:N160,"&lt;"&amp;FORMULACIÓN!Q160),"##.###")&amp;" / "&amp;TEXT(COUNTIF('SEGUIMIENTO Y EVALUACIÓN'!K160:N160,"&gt;"&amp;0),"##.###"),IF($G160=Lists!$R$3,TEXT('SEGUIMIENTO Y EVALUACIÓN'!O160,"00,00%")&amp;" / "&amp;TEXT(FORMULACIÓN!P160,"00,00%"),IF('SEGUIMIENTO Y EVALUACIÓN'!O160=0,0,TEXT('SEGUIMIENTO Y EVALUACIÓN'!O160,"##.###")&amp;" / "&amp;TEXT(FORMULACIÓN!P160,"##.###"))))</f>
        <v xml:space="preserve"> / </v>
      </c>
      <c r="AU160" s="57">
        <f ca="1">IFERROR(IF((P160/FORMULACIÓN!Q160)&lt;&gt;0,IF($H160=Lists!$S$6,COUNTIF('SEGUIMIENTO Y EVALUACIÓN'!K160:N160,"&lt;"&amp;FORMULACIÓN!Q160),'SEGUIMIENTO Y EVALUACIÓN'!P160)/IF($H160=Lists!$S$6,COUNTIF('SEGUIMIENTO Y EVALUACIÓN'!K160:N160,"&gt;"&amp;0),FORMULACIÓN!P160),0),0)</f>
        <v>0</v>
      </c>
      <c r="AV160" s="93" t="str">
        <f t="shared" ca="1" si="24"/>
        <v/>
      </c>
      <c r="AW160" s="93" cm="1">
        <f t="array" ref="AW160">IF(INDEX(AO160:AU160,1,$AV$3)&gt;1,IF($AU$2=1,1,INDEX(AO160:AU160,1,$AV$3)),INDEX(AO160:AU160,1,$AV$3))</f>
        <v>1</v>
      </c>
      <c r="AX160"/>
      <c r="AY160" s="119" t="str">
        <f>IFERROR(IF((W160/FORMULACIÓN!X160)&lt;&gt;0,W160/FORMULACIÓN!X160,0),"")</f>
        <v/>
      </c>
      <c r="AZ160" s="119" t="str">
        <f>IFERROR(IF((AA160/FORMULACIÓN!AB160)&lt;&gt;0,AA160/FORMULACIÓN!AB160,0),"")</f>
        <v/>
      </c>
      <c r="BA160" s="119" t="str">
        <f>IFERROR(IF((AE160/FORMULACIÓN!AF160)&lt;&gt;0,(AE160/FORMULACIÓN!AF160),0),"")</f>
        <v/>
      </c>
      <c r="BB160" s="119" t="str">
        <f>IFERROR(IF((AI160/FORMULACIÓN!AJ160)&lt;&gt;0,AI160/FORMULACIÓN!AJ160,0),"")</f>
        <v/>
      </c>
      <c r="BC160" s="120" t="str">
        <f>IF('SEGUIMIENTO Y EVALUACIÓN'!AI160=0,0,TEXT('SEGUIMIENTO Y EVALUACIÓN'!AI160,"$ ##.###")&amp;" / "&amp;TEXT(FORMULACIÓN!AK160,"$ ##.###"))</f>
        <v xml:space="preserve"> / </v>
      </c>
      <c r="BD160" s="57">
        <f>IFERROR(IF((AJ160/FORMULACIÓN!AK160)&lt;&gt;0,AJ160/FORMULACIÓN!AK160,0),0)</f>
        <v>0</v>
      </c>
      <c r="CL160" s="7"/>
    </row>
    <row r="161" spans="1:90" s="1" customFormat="1" ht="99.95" customHeight="1">
      <c r="A161" s="45" t="str">
        <f>IF(FORMULACIÓN!A161="","",FORMULACIÓN!A161)</f>
        <v/>
      </c>
      <c r="B161" s="45" t="str">
        <f>IF(FORMULACIÓN!B161="","",FORMULACIÓN!B161)</f>
        <v/>
      </c>
      <c r="C161" s="45" t="str">
        <f>IF(FORMULACIÓN!E161="","",FORMULACIÓN!E161)</f>
        <v/>
      </c>
      <c r="D161" s="45" t="str">
        <f>IF(FORMULACIÓN!F161="","",FORMULACIÓN!F161)</f>
        <v/>
      </c>
      <c r="E161" s="45" t="str">
        <f>IF(FORMULACIÓN!G161="","",FORMULACIÓN!G161)</f>
        <v/>
      </c>
      <c r="F161" s="45" t="str">
        <f>IF(FORMULACIÓN!H161="","",FORMULACIÓN!H161)</f>
        <v/>
      </c>
      <c r="G161" s="45" t="str">
        <f>IF(FORMULACIÓN!I161="","",FORMULACIÓN!I161)</f>
        <v/>
      </c>
      <c r="H161" s="45" t="str">
        <f>IF(FORMULACIÓN!J161="","",FORMULACIÓN!J161)</f>
        <v/>
      </c>
      <c r="I161" s="188" t="str">
        <f ca="1">IF($G161=Lists!$R$3,"PDI: "&amp;TEXT(FORMULACIÓN!Q161,"00,00%")&amp;CHAR(10)&amp;CHAR(10)&amp;"T1: "&amp;TEXT(FORMULACIÓN!L161,"00,00%")&amp;CHAR(10)&amp;"T2: "&amp;TEXT(FORMULACIÓN!M161,"00,00%")&amp;CHAR(10)&amp;"T3: "&amp;TEXT(FORMULACIÓN!N161,"00,00%")&amp;CHAR(10)&amp;"Tn: "&amp;TEXT(FORMULACIÓN!O161,"00,00%"),IF(FORMULACIÓN!Q161=0,0,"PDI: "&amp;TEXT(FORMULACIÓN!Q161,"##.###")&amp;CHAR(10)&amp;CHAR(10)&amp;"T1: "&amp;TEXT(FORMULACIÓN!L161,"##.###")&amp;CHAR(10)&amp;"T2: "&amp;TEXT(FORMULACIÓN!M161,"##.###")&amp;CHAR(10)&amp;"T3: "&amp;TEXT(FORMULACIÓN!N161,"##.###")&amp;CHAR(10)&amp;"Tn: "&amp;TEXT(FORMULACIÓN!O161,"##.###")))</f>
        <v xml:space="preserve">PDI: 
T1: 
T2: 
T3: 
Tn: </v>
      </c>
      <c r="J161" s="122" t="str">
        <f>IF(FORMULACIÓN!K161&lt;&gt;"",FORMULACIÓN!K161,"")</f>
        <v/>
      </c>
      <c r="K161" s="58"/>
      <c r="L161" s="58"/>
      <c r="M161" s="58"/>
      <c r="N161" s="58"/>
      <c r="O161" s="47" t="str">
        <f ca="1">IFERROR(IF($H161=Lists!$S$2,SUM('SEGUIMIENTO Y EVALUACIÓN'!J161:N161),IF('SEGUIMIENTO Y EVALUACIÓN'!$H161=Lists!$S$3,SUM('SEGUIMIENTO Y EVALUACIÓN'!K161:N161),IF('SEGUIMIENTO Y EVALUACIÓN'!$H161=Lists!$S$4,AVERAGE('SEGUIMIENTO Y EVALUACIÓN'!K161:N161),IF('SEGUIMIENTO Y EVALUACIÓN'!$H161=Lists!$S$5,OFFSET(J161,0,COUNTA(K161:N161)),IF($H161=Lists!$S$6,COUNTIF(K161:N161,"&lt;"&amp;FORMULACIÓN!Q161)/COUNT('SEGUIMIENTO Y EVALUACIÓN'!K161:N161),""))))),"")</f>
        <v/>
      </c>
      <c r="P161" s="51" t="str">
        <f ca="1">IF($G161=Lists!$R$3,TEXT('SEGUIMIENTO Y EVALUACIÓN'!O161,"00,00%"),IF('SEGUIMIENTO Y EVALUACIÓN'!O161=0,0,TEXT('SEGUIMIENTO Y EVALUACIÓN'!O161,"##.###")))</f>
        <v/>
      </c>
      <c r="Q161" s="209" t="str">
        <f>IF(FORMULACIÓN!R161&lt;&gt;"",FORMULACIÓN!R161,"")</f>
        <v/>
      </c>
      <c r="R161" s="209" t="str">
        <f>IF(FORMULACIÓN!S161&lt;&gt;"",FORMULACIÓN!S161,"")</f>
        <v/>
      </c>
      <c r="S161" s="209" t="str">
        <f>IF(FORMULACIÓN!T161&lt;&gt;"",FORMULACIÓN!T161,"")</f>
        <v/>
      </c>
      <c r="T161" s="42"/>
      <c r="U161" s="42"/>
      <c r="V161" s="42"/>
      <c r="W161" s="43" t="str">
        <f t="shared" si="18"/>
        <v/>
      </c>
      <c r="X161" s="42"/>
      <c r="Y161" s="42"/>
      <c r="Z161" s="42"/>
      <c r="AA161" s="43" t="str">
        <f t="shared" si="19"/>
        <v/>
      </c>
      <c r="AB161" s="42"/>
      <c r="AC161" s="42"/>
      <c r="AD161" s="42"/>
      <c r="AE161" s="43" t="str">
        <f t="shared" si="20"/>
        <v/>
      </c>
      <c r="AF161" s="42"/>
      <c r="AG161" s="42"/>
      <c r="AH161" s="42"/>
      <c r="AI161" s="46" t="str">
        <f t="shared" si="21"/>
        <v/>
      </c>
      <c r="AJ161" s="46" t="str">
        <f>IF(SUM(AA161,AE161,W161,AI161)=0,"",SUM((AA161,AE161,W161,AI161)))</f>
        <v/>
      </c>
      <c r="AK161"/>
      <c r="AL161" s="1" t="str">
        <f t="shared" si="22"/>
        <v/>
      </c>
      <c r="AM161" s="56" t="str">
        <f t="shared" si="23"/>
        <v/>
      </c>
      <c r="AN161" s="112" t="str">
        <f ca="1">IF($G161=Lists!$R$3,"T1: "&amp;TEXT(FORMULACIÓN!L161,"00,00%")&amp;CHAR(10)&amp;"T2: "&amp;TEXT(FORMULACIÓN!M161,"00,00%")&amp;CHAR(10)&amp;"T3: "&amp;TEXT(FORMULACIÓN!N161,"00,00%")&amp;CHAR(10)&amp;"Tn: "&amp;TEXT(FORMULACIÓN!O161,"00,00%"),IF(FORMULACIÓN!Q161=0,0,"T1: "&amp;TEXT(FORMULACIÓN!L161,"##.###")&amp;CHAR(10)&amp;"T2: "&amp;TEXT(FORMULACIÓN!M161,"##.###")&amp;CHAR(10)&amp;"T3: "&amp;TEXT(FORMULACIÓN!N161,"##.###")&amp;CHAR(10)&amp;"Tn: "&amp;TEXT(FORMULACIÓN!O161,"##.###")))</f>
        <v xml:space="preserve">T1: 
T2: 
T3: 
Tn: </v>
      </c>
      <c r="AO161" s="117" t="str">
        <f>IFERROR(IF($H161=Lists!$S$6,IF(AND(FORMULACIÓN!L161&gt;K161,K161&gt;0),1,0),IF((K161/FORMULACIÓN!L161)&lt;&gt;0,K161/FORMULACIÓN!L161,0)),"")</f>
        <v/>
      </c>
      <c r="AP161" s="117" t="str">
        <f>IFERROR(IF($H161=Lists!$S$6,IF(AND(FORMULACIÓN!M161&gt;L161,L161&gt;0),1,0),IF((L161/FORMULACIÓN!M161)&lt;&gt;0,L161/FORMULACIÓN!M161,0)),"")</f>
        <v/>
      </c>
      <c r="AQ161" s="117" t="str">
        <f>IFERROR(IF($H161=Lists!$S$6,IF(AND(FORMULACIÓN!N161&gt;M161,M161&gt;0),1,0),IF((M161/FORMULACIÓN!N161)&lt;&gt;0,M161/FORMULACIÓN!N161,0)),"")</f>
        <v/>
      </c>
      <c r="AR161" s="117" t="str">
        <f>IFERROR(IF($H161=Lists!$S$6,IF(AND(FORMULACIÓN!O161&gt;N161,N161&gt;0),1,0),IF((N161/FORMULACIÓN!O161)&lt;&gt;0,N161/FORMULACIÓN!O161,0)),"")</f>
        <v/>
      </c>
      <c r="AS161" s="110"/>
      <c r="AT161" s="118" t="str">
        <f ca="1">IF($H161=Lists!$S$6,TEXT(COUNTIF('SEGUIMIENTO Y EVALUACIÓN'!K161:N161,"&lt;"&amp;FORMULACIÓN!Q161),"##.###")&amp;" / "&amp;TEXT(COUNTIF('SEGUIMIENTO Y EVALUACIÓN'!K161:N161,"&gt;"&amp;0),"##.###"),IF($G161=Lists!$R$3,TEXT('SEGUIMIENTO Y EVALUACIÓN'!O161,"00,00%")&amp;" / "&amp;TEXT(FORMULACIÓN!P161,"00,00%"),IF('SEGUIMIENTO Y EVALUACIÓN'!O161=0,0,TEXT('SEGUIMIENTO Y EVALUACIÓN'!O161,"##.###")&amp;" / "&amp;TEXT(FORMULACIÓN!P161,"##.###"))))</f>
        <v xml:space="preserve"> / </v>
      </c>
      <c r="AU161" s="57">
        <f ca="1">IFERROR(IF((P161/FORMULACIÓN!Q161)&lt;&gt;0,IF($H161=Lists!$S$6,COUNTIF('SEGUIMIENTO Y EVALUACIÓN'!K161:N161,"&lt;"&amp;FORMULACIÓN!Q161),'SEGUIMIENTO Y EVALUACIÓN'!P161)/IF($H161=Lists!$S$6,COUNTIF('SEGUIMIENTO Y EVALUACIÓN'!K161:N161,"&gt;"&amp;0),FORMULACIÓN!P161),0),0)</f>
        <v>0</v>
      </c>
      <c r="AV161" s="93" t="str">
        <f t="shared" ca="1" si="24"/>
        <v/>
      </c>
      <c r="AW161" s="93" cm="1">
        <f t="array" ref="AW161">IF(INDEX(AO161:AU161,1,$AV$3)&gt;1,IF($AU$2=1,1,INDEX(AO161:AU161,1,$AV$3)),INDEX(AO161:AU161,1,$AV$3))</f>
        <v>1</v>
      </c>
      <c r="AX161"/>
      <c r="AY161" s="119" t="str">
        <f>IFERROR(IF((W161/FORMULACIÓN!X161)&lt;&gt;0,W161/FORMULACIÓN!X161,0),"")</f>
        <v/>
      </c>
      <c r="AZ161" s="119" t="str">
        <f>IFERROR(IF((AA161/FORMULACIÓN!AB161)&lt;&gt;0,AA161/FORMULACIÓN!AB161,0),"")</f>
        <v/>
      </c>
      <c r="BA161" s="119" t="str">
        <f>IFERROR(IF((AE161/FORMULACIÓN!AF161)&lt;&gt;0,(AE161/FORMULACIÓN!AF161),0),"")</f>
        <v/>
      </c>
      <c r="BB161" s="119" t="str">
        <f>IFERROR(IF((AI161/FORMULACIÓN!AJ161)&lt;&gt;0,AI161/FORMULACIÓN!AJ161,0),"")</f>
        <v/>
      </c>
      <c r="BC161" s="120" t="str">
        <f>IF('SEGUIMIENTO Y EVALUACIÓN'!AI161=0,0,TEXT('SEGUIMIENTO Y EVALUACIÓN'!AI161,"$ ##.###")&amp;" / "&amp;TEXT(FORMULACIÓN!AK161,"$ ##.###"))</f>
        <v xml:space="preserve"> / </v>
      </c>
      <c r="BD161" s="57">
        <f>IFERROR(IF((AJ161/FORMULACIÓN!AK161)&lt;&gt;0,AJ161/FORMULACIÓN!AK161,0),0)</f>
        <v>0</v>
      </c>
      <c r="CL161" s="7"/>
    </row>
    <row r="162" spans="1:90" s="1" customFormat="1" ht="99.95" customHeight="1">
      <c r="A162" s="45" t="str">
        <f>IF(FORMULACIÓN!A162="","",FORMULACIÓN!A162)</f>
        <v/>
      </c>
      <c r="B162" s="45" t="str">
        <f>IF(FORMULACIÓN!B162="","",FORMULACIÓN!B162)</f>
        <v/>
      </c>
      <c r="C162" s="45" t="str">
        <f>IF(FORMULACIÓN!E162="","",FORMULACIÓN!E162)</f>
        <v/>
      </c>
      <c r="D162" s="45" t="str">
        <f>IF(FORMULACIÓN!F162="","",FORMULACIÓN!F162)</f>
        <v/>
      </c>
      <c r="E162" s="45" t="str">
        <f>IF(FORMULACIÓN!G162="","",FORMULACIÓN!G162)</f>
        <v/>
      </c>
      <c r="F162" s="45" t="str">
        <f>IF(FORMULACIÓN!H162="","",FORMULACIÓN!H162)</f>
        <v/>
      </c>
      <c r="G162" s="45" t="str">
        <f>IF(FORMULACIÓN!I162="","",FORMULACIÓN!I162)</f>
        <v/>
      </c>
      <c r="H162" s="45" t="str">
        <f>IF(FORMULACIÓN!J162="","",FORMULACIÓN!J162)</f>
        <v/>
      </c>
      <c r="I162" s="188" t="str">
        <f ca="1">IF($G162=Lists!$R$3,"PDI: "&amp;TEXT(FORMULACIÓN!Q162,"00,00%")&amp;CHAR(10)&amp;CHAR(10)&amp;"T1: "&amp;TEXT(FORMULACIÓN!L162,"00,00%")&amp;CHAR(10)&amp;"T2: "&amp;TEXT(FORMULACIÓN!M162,"00,00%")&amp;CHAR(10)&amp;"T3: "&amp;TEXT(FORMULACIÓN!N162,"00,00%")&amp;CHAR(10)&amp;"Tn: "&amp;TEXT(FORMULACIÓN!O162,"00,00%"),IF(FORMULACIÓN!Q162=0,0,"PDI: "&amp;TEXT(FORMULACIÓN!Q162,"##.###")&amp;CHAR(10)&amp;CHAR(10)&amp;"T1: "&amp;TEXT(FORMULACIÓN!L162,"##.###")&amp;CHAR(10)&amp;"T2: "&amp;TEXT(FORMULACIÓN!M162,"##.###")&amp;CHAR(10)&amp;"T3: "&amp;TEXT(FORMULACIÓN!N162,"##.###")&amp;CHAR(10)&amp;"Tn: "&amp;TEXT(FORMULACIÓN!O162,"##.###")))</f>
        <v xml:space="preserve">PDI: 
T1: 
T2: 
T3: 
Tn: </v>
      </c>
      <c r="J162" s="122" t="str">
        <f>IF(FORMULACIÓN!K162&lt;&gt;"",FORMULACIÓN!K162,"")</f>
        <v/>
      </c>
      <c r="K162" s="58"/>
      <c r="L162" s="58"/>
      <c r="M162" s="58"/>
      <c r="N162" s="58"/>
      <c r="O162" s="47" t="str">
        <f ca="1">IFERROR(IF($H162=Lists!$S$2,SUM('SEGUIMIENTO Y EVALUACIÓN'!J162:N162),IF('SEGUIMIENTO Y EVALUACIÓN'!$H162=Lists!$S$3,SUM('SEGUIMIENTO Y EVALUACIÓN'!K162:N162),IF('SEGUIMIENTO Y EVALUACIÓN'!$H162=Lists!$S$4,AVERAGE('SEGUIMIENTO Y EVALUACIÓN'!K162:N162),IF('SEGUIMIENTO Y EVALUACIÓN'!$H162=Lists!$S$5,OFFSET(J162,0,COUNTA(K162:N162)),IF($H162=Lists!$S$6,COUNTIF(K162:N162,"&lt;"&amp;FORMULACIÓN!Q162)/COUNT('SEGUIMIENTO Y EVALUACIÓN'!K162:N162),""))))),"")</f>
        <v/>
      </c>
      <c r="P162" s="51" t="str">
        <f ca="1">IF($G162=Lists!$R$3,TEXT('SEGUIMIENTO Y EVALUACIÓN'!O162,"00,00%"),IF('SEGUIMIENTO Y EVALUACIÓN'!O162=0,0,TEXT('SEGUIMIENTO Y EVALUACIÓN'!O162,"##.###")))</f>
        <v/>
      </c>
      <c r="Q162" s="209" t="str">
        <f>IF(FORMULACIÓN!R162&lt;&gt;"",FORMULACIÓN!R162,"")</f>
        <v/>
      </c>
      <c r="R162" s="209" t="str">
        <f>IF(FORMULACIÓN!S162&lt;&gt;"",FORMULACIÓN!S162,"")</f>
        <v/>
      </c>
      <c r="S162" s="209" t="str">
        <f>IF(FORMULACIÓN!T162&lt;&gt;"",FORMULACIÓN!T162,"")</f>
        <v/>
      </c>
      <c r="T162" s="42"/>
      <c r="U162" s="42"/>
      <c r="V162" s="42"/>
      <c r="W162" s="43" t="str">
        <f t="shared" si="18"/>
        <v/>
      </c>
      <c r="X162" s="42"/>
      <c r="Y162" s="42"/>
      <c r="Z162" s="42"/>
      <c r="AA162" s="43" t="str">
        <f t="shared" si="19"/>
        <v/>
      </c>
      <c r="AB162" s="42"/>
      <c r="AC162" s="42"/>
      <c r="AD162" s="42"/>
      <c r="AE162" s="43" t="str">
        <f t="shared" si="20"/>
        <v/>
      </c>
      <c r="AF162" s="42"/>
      <c r="AG162" s="42"/>
      <c r="AH162" s="42"/>
      <c r="AI162" s="46" t="str">
        <f t="shared" si="21"/>
        <v/>
      </c>
      <c r="AJ162" s="46" t="str">
        <f>IF(SUM(AA162,AE162,W162,AI162)=0,"",SUM((AA162,AE162,W162,AI162)))</f>
        <v/>
      </c>
      <c r="AK162"/>
      <c r="AL162" s="1" t="str">
        <f t="shared" si="22"/>
        <v/>
      </c>
      <c r="AM162" s="56" t="str">
        <f t="shared" si="23"/>
        <v/>
      </c>
      <c r="AN162" s="112" t="str">
        <f ca="1">IF($G162=Lists!$R$3,"T1: "&amp;TEXT(FORMULACIÓN!L162,"00,00%")&amp;CHAR(10)&amp;"T2: "&amp;TEXT(FORMULACIÓN!M162,"00,00%")&amp;CHAR(10)&amp;"T3: "&amp;TEXT(FORMULACIÓN!N162,"00,00%")&amp;CHAR(10)&amp;"Tn: "&amp;TEXT(FORMULACIÓN!O162,"00,00%"),IF(FORMULACIÓN!Q162=0,0,"T1: "&amp;TEXT(FORMULACIÓN!L162,"##.###")&amp;CHAR(10)&amp;"T2: "&amp;TEXT(FORMULACIÓN!M162,"##.###")&amp;CHAR(10)&amp;"T3: "&amp;TEXT(FORMULACIÓN!N162,"##.###")&amp;CHAR(10)&amp;"Tn: "&amp;TEXT(FORMULACIÓN!O162,"##.###")))</f>
        <v xml:space="preserve">T1: 
T2: 
T3: 
Tn: </v>
      </c>
      <c r="AO162" s="117" t="str">
        <f>IFERROR(IF($H162=Lists!$S$6,IF(AND(FORMULACIÓN!L162&gt;K162,K162&gt;0),1,0),IF((K162/FORMULACIÓN!L162)&lt;&gt;0,K162/FORMULACIÓN!L162,0)),"")</f>
        <v/>
      </c>
      <c r="AP162" s="117" t="str">
        <f>IFERROR(IF($H162=Lists!$S$6,IF(AND(FORMULACIÓN!M162&gt;L162,L162&gt;0),1,0),IF((L162/FORMULACIÓN!M162)&lt;&gt;0,L162/FORMULACIÓN!M162,0)),"")</f>
        <v/>
      </c>
      <c r="AQ162" s="117" t="str">
        <f>IFERROR(IF($H162=Lists!$S$6,IF(AND(FORMULACIÓN!N162&gt;M162,M162&gt;0),1,0),IF((M162/FORMULACIÓN!N162)&lt;&gt;0,M162/FORMULACIÓN!N162,0)),"")</f>
        <v/>
      </c>
      <c r="AR162" s="117" t="str">
        <f>IFERROR(IF($H162=Lists!$S$6,IF(AND(FORMULACIÓN!O162&gt;N162,N162&gt;0),1,0),IF((N162/FORMULACIÓN!O162)&lt;&gt;0,N162/FORMULACIÓN!O162,0)),"")</f>
        <v/>
      </c>
      <c r="AS162" s="110"/>
      <c r="AT162" s="118" t="str">
        <f ca="1">IF($H162=Lists!$S$6,TEXT(COUNTIF('SEGUIMIENTO Y EVALUACIÓN'!K162:N162,"&lt;"&amp;FORMULACIÓN!Q162),"##.###")&amp;" / "&amp;TEXT(COUNTIF('SEGUIMIENTO Y EVALUACIÓN'!K162:N162,"&gt;"&amp;0),"##.###"),IF($G162=Lists!$R$3,TEXT('SEGUIMIENTO Y EVALUACIÓN'!O162,"00,00%")&amp;" / "&amp;TEXT(FORMULACIÓN!P162,"00,00%"),IF('SEGUIMIENTO Y EVALUACIÓN'!O162=0,0,TEXT('SEGUIMIENTO Y EVALUACIÓN'!O162,"##.###")&amp;" / "&amp;TEXT(FORMULACIÓN!P162,"##.###"))))</f>
        <v xml:space="preserve"> / </v>
      </c>
      <c r="AU162" s="57">
        <f ca="1">IFERROR(IF((P162/FORMULACIÓN!Q162)&lt;&gt;0,IF($H162=Lists!$S$6,COUNTIF('SEGUIMIENTO Y EVALUACIÓN'!K162:N162,"&lt;"&amp;FORMULACIÓN!Q162),'SEGUIMIENTO Y EVALUACIÓN'!P162)/IF($H162=Lists!$S$6,COUNTIF('SEGUIMIENTO Y EVALUACIÓN'!K162:N162,"&gt;"&amp;0),FORMULACIÓN!P162),0),0)</f>
        <v>0</v>
      </c>
      <c r="AV162" s="93" t="str">
        <f t="shared" ca="1" si="24"/>
        <v/>
      </c>
      <c r="AW162" s="93" cm="1">
        <f t="array" ref="AW162">IF(INDEX(AO162:AU162,1,$AV$3)&gt;1,IF($AU$2=1,1,INDEX(AO162:AU162,1,$AV$3)),INDEX(AO162:AU162,1,$AV$3))</f>
        <v>1</v>
      </c>
      <c r="AX162"/>
      <c r="AY162" s="119" t="str">
        <f>IFERROR(IF((W162/FORMULACIÓN!X162)&lt;&gt;0,W162/FORMULACIÓN!X162,0),"")</f>
        <v/>
      </c>
      <c r="AZ162" s="119" t="str">
        <f>IFERROR(IF((AA162/FORMULACIÓN!AB162)&lt;&gt;0,AA162/FORMULACIÓN!AB162,0),"")</f>
        <v/>
      </c>
      <c r="BA162" s="119" t="str">
        <f>IFERROR(IF((AE162/FORMULACIÓN!AF162)&lt;&gt;0,(AE162/FORMULACIÓN!AF162),0),"")</f>
        <v/>
      </c>
      <c r="BB162" s="119" t="str">
        <f>IFERROR(IF((AI162/FORMULACIÓN!AJ162)&lt;&gt;0,AI162/FORMULACIÓN!AJ162,0),"")</f>
        <v/>
      </c>
      <c r="BC162" s="120" t="str">
        <f>IF('SEGUIMIENTO Y EVALUACIÓN'!AI162=0,0,TEXT('SEGUIMIENTO Y EVALUACIÓN'!AI162,"$ ##.###")&amp;" / "&amp;TEXT(FORMULACIÓN!AK162,"$ ##.###"))</f>
        <v xml:space="preserve"> / </v>
      </c>
      <c r="BD162" s="57">
        <f>IFERROR(IF((AJ162/FORMULACIÓN!AK162)&lt;&gt;0,AJ162/FORMULACIÓN!AK162,0),0)</f>
        <v>0</v>
      </c>
      <c r="CL162" s="7"/>
    </row>
    <row r="163" spans="1:90" s="1" customFormat="1" ht="99.95" customHeight="1">
      <c r="A163" s="45" t="str">
        <f>IF(FORMULACIÓN!A163="","",FORMULACIÓN!A163)</f>
        <v/>
      </c>
      <c r="B163" s="45" t="str">
        <f>IF(FORMULACIÓN!B163="","",FORMULACIÓN!B163)</f>
        <v/>
      </c>
      <c r="C163" s="45" t="str">
        <f>IF(FORMULACIÓN!E163="","",FORMULACIÓN!E163)</f>
        <v/>
      </c>
      <c r="D163" s="45" t="str">
        <f>IF(FORMULACIÓN!F163="","",FORMULACIÓN!F163)</f>
        <v/>
      </c>
      <c r="E163" s="45" t="str">
        <f>IF(FORMULACIÓN!G163="","",FORMULACIÓN!G163)</f>
        <v/>
      </c>
      <c r="F163" s="45" t="str">
        <f>IF(FORMULACIÓN!H163="","",FORMULACIÓN!H163)</f>
        <v/>
      </c>
      <c r="G163" s="45" t="str">
        <f>IF(FORMULACIÓN!I163="","",FORMULACIÓN!I163)</f>
        <v/>
      </c>
      <c r="H163" s="45" t="str">
        <f>IF(FORMULACIÓN!J163="","",FORMULACIÓN!J163)</f>
        <v/>
      </c>
      <c r="I163" s="188" t="str">
        <f ca="1">IF($G163=Lists!$R$3,"PDI: "&amp;TEXT(FORMULACIÓN!Q163,"00,00%")&amp;CHAR(10)&amp;CHAR(10)&amp;"T1: "&amp;TEXT(FORMULACIÓN!L163,"00,00%")&amp;CHAR(10)&amp;"T2: "&amp;TEXT(FORMULACIÓN!M163,"00,00%")&amp;CHAR(10)&amp;"T3: "&amp;TEXT(FORMULACIÓN!N163,"00,00%")&amp;CHAR(10)&amp;"Tn: "&amp;TEXT(FORMULACIÓN!O163,"00,00%"),IF(FORMULACIÓN!Q163=0,0,"PDI: "&amp;TEXT(FORMULACIÓN!Q163,"##.###")&amp;CHAR(10)&amp;CHAR(10)&amp;"T1: "&amp;TEXT(FORMULACIÓN!L163,"##.###")&amp;CHAR(10)&amp;"T2: "&amp;TEXT(FORMULACIÓN!M163,"##.###")&amp;CHAR(10)&amp;"T3: "&amp;TEXT(FORMULACIÓN!N163,"##.###")&amp;CHAR(10)&amp;"Tn: "&amp;TEXT(FORMULACIÓN!O163,"##.###")))</f>
        <v xml:space="preserve">PDI: 
T1: 
T2: 
T3: 
Tn: </v>
      </c>
      <c r="J163" s="122" t="str">
        <f>IF(FORMULACIÓN!K163&lt;&gt;"",FORMULACIÓN!K163,"")</f>
        <v/>
      </c>
      <c r="K163" s="58"/>
      <c r="L163" s="58"/>
      <c r="M163" s="58"/>
      <c r="N163" s="58"/>
      <c r="O163" s="47" t="str">
        <f ca="1">IFERROR(IF($H163=Lists!$S$2,SUM('SEGUIMIENTO Y EVALUACIÓN'!J163:N163),IF('SEGUIMIENTO Y EVALUACIÓN'!$H163=Lists!$S$3,SUM('SEGUIMIENTO Y EVALUACIÓN'!K163:N163),IF('SEGUIMIENTO Y EVALUACIÓN'!$H163=Lists!$S$4,AVERAGE('SEGUIMIENTO Y EVALUACIÓN'!K163:N163),IF('SEGUIMIENTO Y EVALUACIÓN'!$H163=Lists!$S$5,OFFSET(J163,0,COUNTA(K163:N163)),IF($H163=Lists!$S$6,COUNTIF(K163:N163,"&lt;"&amp;FORMULACIÓN!Q163)/COUNT('SEGUIMIENTO Y EVALUACIÓN'!K163:N163),""))))),"")</f>
        <v/>
      </c>
      <c r="P163" s="51" t="str">
        <f ca="1">IF($G163=Lists!$R$3,TEXT('SEGUIMIENTO Y EVALUACIÓN'!O163,"00,00%"),IF('SEGUIMIENTO Y EVALUACIÓN'!O163=0,0,TEXT('SEGUIMIENTO Y EVALUACIÓN'!O163,"##.###")))</f>
        <v/>
      </c>
      <c r="Q163" s="209" t="str">
        <f>IF(FORMULACIÓN!R163&lt;&gt;"",FORMULACIÓN!R163,"")</f>
        <v/>
      </c>
      <c r="R163" s="209" t="str">
        <f>IF(FORMULACIÓN!S163&lt;&gt;"",FORMULACIÓN!S163,"")</f>
        <v/>
      </c>
      <c r="S163" s="209" t="str">
        <f>IF(FORMULACIÓN!T163&lt;&gt;"",FORMULACIÓN!T163,"")</f>
        <v/>
      </c>
      <c r="T163" s="42"/>
      <c r="U163" s="42"/>
      <c r="V163" s="42"/>
      <c r="W163" s="43" t="str">
        <f t="shared" si="18"/>
        <v/>
      </c>
      <c r="X163" s="42"/>
      <c r="Y163" s="42"/>
      <c r="Z163" s="42"/>
      <c r="AA163" s="43" t="str">
        <f t="shared" si="19"/>
        <v/>
      </c>
      <c r="AB163" s="42"/>
      <c r="AC163" s="42"/>
      <c r="AD163" s="42"/>
      <c r="AE163" s="43" t="str">
        <f t="shared" si="20"/>
        <v/>
      </c>
      <c r="AF163" s="42"/>
      <c r="AG163" s="42"/>
      <c r="AH163" s="42"/>
      <c r="AI163" s="46" t="str">
        <f t="shared" si="21"/>
        <v/>
      </c>
      <c r="AJ163" s="46" t="str">
        <f>IF(SUM(AA163,AE163,W163,AI163)=0,"",SUM((AA163,AE163,W163,AI163)))</f>
        <v/>
      </c>
      <c r="AK163"/>
      <c r="AL163" s="1" t="str">
        <f t="shared" si="22"/>
        <v/>
      </c>
      <c r="AM163" s="56" t="str">
        <f t="shared" si="23"/>
        <v/>
      </c>
      <c r="AN163" s="112" t="str">
        <f ca="1">IF($G163=Lists!$R$3,"T1: "&amp;TEXT(FORMULACIÓN!L163,"00,00%")&amp;CHAR(10)&amp;"T2: "&amp;TEXT(FORMULACIÓN!M163,"00,00%")&amp;CHAR(10)&amp;"T3: "&amp;TEXT(FORMULACIÓN!N163,"00,00%")&amp;CHAR(10)&amp;"Tn: "&amp;TEXT(FORMULACIÓN!O163,"00,00%"),IF(FORMULACIÓN!Q163=0,0,"T1: "&amp;TEXT(FORMULACIÓN!L163,"##.###")&amp;CHAR(10)&amp;"T2: "&amp;TEXT(FORMULACIÓN!M163,"##.###")&amp;CHAR(10)&amp;"T3: "&amp;TEXT(FORMULACIÓN!N163,"##.###")&amp;CHAR(10)&amp;"Tn: "&amp;TEXT(FORMULACIÓN!O163,"##.###")))</f>
        <v xml:space="preserve">T1: 
T2: 
T3: 
Tn: </v>
      </c>
      <c r="AO163" s="117" t="str">
        <f>IFERROR(IF($H163=Lists!$S$6,IF(AND(FORMULACIÓN!L163&gt;K163,K163&gt;0),1,0),IF((K163/FORMULACIÓN!L163)&lt;&gt;0,K163/FORMULACIÓN!L163,0)),"")</f>
        <v/>
      </c>
      <c r="AP163" s="117" t="str">
        <f>IFERROR(IF($H163=Lists!$S$6,IF(AND(FORMULACIÓN!M163&gt;L163,L163&gt;0),1,0),IF((L163/FORMULACIÓN!M163)&lt;&gt;0,L163/FORMULACIÓN!M163,0)),"")</f>
        <v/>
      </c>
      <c r="AQ163" s="117" t="str">
        <f>IFERROR(IF($H163=Lists!$S$6,IF(AND(FORMULACIÓN!N163&gt;M163,M163&gt;0),1,0),IF((M163/FORMULACIÓN!N163)&lt;&gt;0,M163/FORMULACIÓN!N163,0)),"")</f>
        <v/>
      </c>
      <c r="AR163" s="117" t="str">
        <f>IFERROR(IF($H163=Lists!$S$6,IF(AND(FORMULACIÓN!O163&gt;N163,N163&gt;0),1,0),IF((N163/FORMULACIÓN!O163)&lt;&gt;0,N163/FORMULACIÓN!O163,0)),"")</f>
        <v/>
      </c>
      <c r="AS163" s="110"/>
      <c r="AT163" s="118" t="str">
        <f ca="1">IF($H163=Lists!$S$6,TEXT(COUNTIF('SEGUIMIENTO Y EVALUACIÓN'!K163:N163,"&lt;"&amp;FORMULACIÓN!Q163),"##.###")&amp;" / "&amp;TEXT(COUNTIF('SEGUIMIENTO Y EVALUACIÓN'!K163:N163,"&gt;"&amp;0),"##.###"),IF($G163=Lists!$R$3,TEXT('SEGUIMIENTO Y EVALUACIÓN'!O163,"00,00%")&amp;" / "&amp;TEXT(FORMULACIÓN!P163,"00,00%"),IF('SEGUIMIENTO Y EVALUACIÓN'!O163=0,0,TEXT('SEGUIMIENTO Y EVALUACIÓN'!O163,"##.###")&amp;" / "&amp;TEXT(FORMULACIÓN!P163,"##.###"))))</f>
        <v xml:space="preserve"> / </v>
      </c>
      <c r="AU163" s="57">
        <f ca="1">IFERROR(IF((P163/FORMULACIÓN!Q163)&lt;&gt;0,IF($H163=Lists!$S$6,COUNTIF('SEGUIMIENTO Y EVALUACIÓN'!K163:N163,"&lt;"&amp;FORMULACIÓN!Q163),'SEGUIMIENTO Y EVALUACIÓN'!P163)/IF($H163=Lists!$S$6,COUNTIF('SEGUIMIENTO Y EVALUACIÓN'!K163:N163,"&gt;"&amp;0),FORMULACIÓN!P163),0),0)</f>
        <v>0</v>
      </c>
      <c r="AV163" s="93" t="str">
        <f t="shared" ca="1" si="24"/>
        <v/>
      </c>
      <c r="AW163" s="93" cm="1">
        <f t="array" ref="AW163">IF(INDEX(AO163:AU163,1,$AV$3)&gt;1,IF($AU$2=1,1,INDEX(AO163:AU163,1,$AV$3)),INDEX(AO163:AU163,1,$AV$3))</f>
        <v>1</v>
      </c>
      <c r="AX163"/>
      <c r="AY163" s="119" t="str">
        <f>IFERROR(IF((W163/FORMULACIÓN!X163)&lt;&gt;0,W163/FORMULACIÓN!X163,0),"")</f>
        <v/>
      </c>
      <c r="AZ163" s="119" t="str">
        <f>IFERROR(IF((AA163/FORMULACIÓN!AB163)&lt;&gt;0,AA163/FORMULACIÓN!AB163,0),"")</f>
        <v/>
      </c>
      <c r="BA163" s="119" t="str">
        <f>IFERROR(IF((AE163/FORMULACIÓN!AF163)&lt;&gt;0,(AE163/FORMULACIÓN!AF163),0),"")</f>
        <v/>
      </c>
      <c r="BB163" s="119" t="str">
        <f>IFERROR(IF((AI163/FORMULACIÓN!AJ163)&lt;&gt;0,AI163/FORMULACIÓN!AJ163,0),"")</f>
        <v/>
      </c>
      <c r="BC163" s="120" t="str">
        <f>IF('SEGUIMIENTO Y EVALUACIÓN'!AI163=0,0,TEXT('SEGUIMIENTO Y EVALUACIÓN'!AI163,"$ ##.###")&amp;" / "&amp;TEXT(FORMULACIÓN!AK163,"$ ##.###"))</f>
        <v xml:space="preserve"> / </v>
      </c>
      <c r="BD163" s="57">
        <f>IFERROR(IF((AJ163/FORMULACIÓN!AK163)&lt;&gt;0,AJ163/FORMULACIÓN!AK163,0),0)</f>
        <v>0</v>
      </c>
      <c r="CL163" s="7"/>
    </row>
    <row r="164" spans="1:90" s="1" customFormat="1" ht="99.95" customHeight="1">
      <c r="A164" s="45" t="str">
        <f>IF(FORMULACIÓN!A164="","",FORMULACIÓN!A164)</f>
        <v/>
      </c>
      <c r="B164" s="45" t="str">
        <f>IF(FORMULACIÓN!B164="","",FORMULACIÓN!B164)</f>
        <v/>
      </c>
      <c r="C164" s="45" t="str">
        <f>IF(FORMULACIÓN!E164="","",FORMULACIÓN!E164)</f>
        <v/>
      </c>
      <c r="D164" s="45" t="str">
        <f>IF(FORMULACIÓN!F164="","",FORMULACIÓN!F164)</f>
        <v/>
      </c>
      <c r="E164" s="45" t="str">
        <f>IF(FORMULACIÓN!G164="","",FORMULACIÓN!G164)</f>
        <v/>
      </c>
      <c r="F164" s="45" t="str">
        <f>IF(FORMULACIÓN!H164="","",FORMULACIÓN!H164)</f>
        <v/>
      </c>
      <c r="G164" s="45" t="str">
        <f>IF(FORMULACIÓN!I164="","",FORMULACIÓN!I164)</f>
        <v/>
      </c>
      <c r="H164" s="45" t="str">
        <f>IF(FORMULACIÓN!J164="","",FORMULACIÓN!J164)</f>
        <v/>
      </c>
      <c r="I164" s="188" t="str">
        <f ca="1">IF($G164=Lists!$R$3,"PDI: "&amp;TEXT(FORMULACIÓN!Q164,"00,00%")&amp;CHAR(10)&amp;CHAR(10)&amp;"T1: "&amp;TEXT(FORMULACIÓN!L164,"00,00%")&amp;CHAR(10)&amp;"T2: "&amp;TEXT(FORMULACIÓN!M164,"00,00%")&amp;CHAR(10)&amp;"T3: "&amp;TEXT(FORMULACIÓN!N164,"00,00%")&amp;CHAR(10)&amp;"Tn: "&amp;TEXT(FORMULACIÓN!O164,"00,00%"),IF(FORMULACIÓN!Q164=0,0,"PDI: "&amp;TEXT(FORMULACIÓN!Q164,"##.###")&amp;CHAR(10)&amp;CHAR(10)&amp;"T1: "&amp;TEXT(FORMULACIÓN!L164,"##.###")&amp;CHAR(10)&amp;"T2: "&amp;TEXT(FORMULACIÓN!M164,"##.###")&amp;CHAR(10)&amp;"T3: "&amp;TEXT(FORMULACIÓN!N164,"##.###")&amp;CHAR(10)&amp;"Tn: "&amp;TEXT(FORMULACIÓN!O164,"##.###")))</f>
        <v xml:space="preserve">PDI: 
T1: 
T2: 
T3: 
Tn: </v>
      </c>
      <c r="J164" s="122" t="str">
        <f>IF(FORMULACIÓN!K164&lt;&gt;"",FORMULACIÓN!K164,"")</f>
        <v/>
      </c>
      <c r="K164" s="58"/>
      <c r="L164" s="58"/>
      <c r="M164" s="58"/>
      <c r="N164" s="58"/>
      <c r="O164" s="47" t="str">
        <f ca="1">IFERROR(IF($H164=Lists!$S$2,SUM('SEGUIMIENTO Y EVALUACIÓN'!J164:N164),IF('SEGUIMIENTO Y EVALUACIÓN'!$H164=Lists!$S$3,SUM('SEGUIMIENTO Y EVALUACIÓN'!K164:N164),IF('SEGUIMIENTO Y EVALUACIÓN'!$H164=Lists!$S$4,AVERAGE('SEGUIMIENTO Y EVALUACIÓN'!K164:N164),IF('SEGUIMIENTO Y EVALUACIÓN'!$H164=Lists!$S$5,OFFSET(J164,0,COUNTA(K164:N164)),IF($H164=Lists!$S$6,COUNTIF(K164:N164,"&lt;"&amp;FORMULACIÓN!Q164)/COUNT('SEGUIMIENTO Y EVALUACIÓN'!K164:N164),""))))),"")</f>
        <v/>
      </c>
      <c r="P164" s="51" t="str">
        <f ca="1">IF($G164=Lists!$R$3,TEXT('SEGUIMIENTO Y EVALUACIÓN'!O164,"00,00%"),IF('SEGUIMIENTO Y EVALUACIÓN'!O164=0,0,TEXT('SEGUIMIENTO Y EVALUACIÓN'!O164,"##.###")))</f>
        <v/>
      </c>
      <c r="Q164" s="209" t="str">
        <f>IF(FORMULACIÓN!R164&lt;&gt;"",FORMULACIÓN!R164,"")</f>
        <v/>
      </c>
      <c r="R164" s="209" t="str">
        <f>IF(FORMULACIÓN!S164&lt;&gt;"",FORMULACIÓN!S164,"")</f>
        <v/>
      </c>
      <c r="S164" s="209" t="str">
        <f>IF(FORMULACIÓN!T164&lt;&gt;"",FORMULACIÓN!T164,"")</f>
        <v/>
      </c>
      <c r="T164" s="42"/>
      <c r="U164" s="42"/>
      <c r="V164" s="42"/>
      <c r="W164" s="43" t="str">
        <f t="shared" si="18"/>
        <v/>
      </c>
      <c r="X164" s="42"/>
      <c r="Y164" s="42"/>
      <c r="Z164" s="42"/>
      <c r="AA164" s="43" t="str">
        <f t="shared" si="19"/>
        <v/>
      </c>
      <c r="AB164" s="42"/>
      <c r="AC164" s="42"/>
      <c r="AD164" s="42"/>
      <c r="AE164" s="43" t="str">
        <f t="shared" si="20"/>
        <v/>
      </c>
      <c r="AF164" s="42"/>
      <c r="AG164" s="42"/>
      <c r="AH164" s="42"/>
      <c r="AI164" s="46" t="str">
        <f t="shared" si="21"/>
        <v/>
      </c>
      <c r="AJ164" s="46" t="str">
        <f>IF(SUM(AA164,AE164,W164,AI164)=0,"",SUM((AA164,AE164,W164,AI164)))</f>
        <v/>
      </c>
      <c r="AK164"/>
      <c r="AL164" s="1" t="str">
        <f t="shared" ref="AL164:AL204" si="25">LEFT($B164,2)&amp;LEFT($C164,2)&amp;LEFT($Q164,2)</f>
        <v/>
      </c>
      <c r="AM164" s="56" t="str">
        <f t="shared" si="23"/>
        <v/>
      </c>
      <c r="AN164" s="112" t="str">
        <f ca="1">IF($G164=Lists!$R$3,"T1: "&amp;TEXT(FORMULACIÓN!L164,"00,00%")&amp;CHAR(10)&amp;"T2: "&amp;TEXT(FORMULACIÓN!M164,"00,00%")&amp;CHAR(10)&amp;"T3: "&amp;TEXT(FORMULACIÓN!N164,"00,00%")&amp;CHAR(10)&amp;"Tn: "&amp;TEXT(FORMULACIÓN!O164,"00,00%"),IF(FORMULACIÓN!Q164=0,0,"T1: "&amp;TEXT(FORMULACIÓN!L164,"##.###")&amp;CHAR(10)&amp;"T2: "&amp;TEXT(FORMULACIÓN!M164,"##.###")&amp;CHAR(10)&amp;"T3: "&amp;TEXT(FORMULACIÓN!N164,"##.###")&amp;CHAR(10)&amp;"Tn: "&amp;TEXT(FORMULACIÓN!O164,"##.###")))</f>
        <v xml:space="preserve">T1: 
T2: 
T3: 
Tn: </v>
      </c>
      <c r="AO164" s="117" t="str">
        <f>IFERROR(IF($H164=Lists!$S$6,IF(AND(FORMULACIÓN!L164&gt;K164,K164&gt;0),1,0),IF((K164/FORMULACIÓN!L164)&lt;&gt;0,K164/FORMULACIÓN!L164,0)),"")</f>
        <v/>
      </c>
      <c r="AP164" s="117" t="str">
        <f>IFERROR(IF($H164=Lists!$S$6,IF(AND(FORMULACIÓN!M164&gt;L164,L164&gt;0),1,0),IF((L164/FORMULACIÓN!M164)&lt;&gt;0,L164/FORMULACIÓN!M164,0)),"")</f>
        <v/>
      </c>
      <c r="AQ164" s="117" t="str">
        <f>IFERROR(IF($H164=Lists!$S$6,IF(AND(FORMULACIÓN!N164&gt;M164,M164&gt;0),1,0),IF((M164/FORMULACIÓN!N164)&lt;&gt;0,M164/FORMULACIÓN!N164,0)),"")</f>
        <v/>
      </c>
      <c r="AR164" s="117" t="str">
        <f>IFERROR(IF($H164=Lists!$S$6,IF(AND(FORMULACIÓN!O164&gt;N164,N164&gt;0),1,0),IF((N164/FORMULACIÓN!O164)&lt;&gt;0,N164/FORMULACIÓN!O164,0)),"")</f>
        <v/>
      </c>
      <c r="AS164" s="110"/>
      <c r="AT164" s="118" t="str">
        <f ca="1">IF($H164=Lists!$S$6,TEXT(COUNTIF('SEGUIMIENTO Y EVALUACIÓN'!K164:N164,"&lt;"&amp;FORMULACIÓN!Q164),"##.###")&amp;" / "&amp;TEXT(COUNTIF('SEGUIMIENTO Y EVALUACIÓN'!K164:N164,"&gt;"&amp;0),"##.###"),IF($G164=Lists!$R$3,TEXT('SEGUIMIENTO Y EVALUACIÓN'!O164,"00,00%")&amp;" / "&amp;TEXT(FORMULACIÓN!P164,"00,00%"),IF('SEGUIMIENTO Y EVALUACIÓN'!O164=0,0,TEXT('SEGUIMIENTO Y EVALUACIÓN'!O164,"##.###")&amp;" / "&amp;TEXT(FORMULACIÓN!P164,"##.###"))))</f>
        <v xml:space="preserve"> / </v>
      </c>
      <c r="AU164" s="57">
        <f ca="1">IFERROR(IF((P164/FORMULACIÓN!Q164)&lt;&gt;0,IF($H164=Lists!$S$6,COUNTIF('SEGUIMIENTO Y EVALUACIÓN'!K164:N164,"&lt;"&amp;FORMULACIÓN!Q164),'SEGUIMIENTO Y EVALUACIÓN'!P164)/IF($H164=Lists!$S$6,COUNTIF('SEGUIMIENTO Y EVALUACIÓN'!K164:N164,"&gt;"&amp;0),FORMULACIÓN!P164),0),0)</f>
        <v>0</v>
      </c>
      <c r="AV164" s="93" t="str">
        <f t="shared" ca="1" si="24"/>
        <v/>
      </c>
      <c r="AW164" s="93" cm="1">
        <f t="array" ref="AW164">IF(INDEX(AO164:AU164,1,$AV$3)&gt;1,IF($AU$2=1,1,INDEX(AO164:AU164,1,$AV$3)),INDEX(AO164:AU164,1,$AV$3))</f>
        <v>1</v>
      </c>
      <c r="AX164"/>
      <c r="AY164" s="119" t="str">
        <f>IFERROR(IF((W164/FORMULACIÓN!X164)&lt;&gt;0,W164/FORMULACIÓN!X164,0),"")</f>
        <v/>
      </c>
      <c r="AZ164" s="119" t="str">
        <f>IFERROR(IF((AA164/FORMULACIÓN!AB164)&lt;&gt;0,AA164/FORMULACIÓN!AB164,0),"")</f>
        <v/>
      </c>
      <c r="BA164" s="119" t="str">
        <f>IFERROR(IF((AE164/FORMULACIÓN!AF164)&lt;&gt;0,(AE164/FORMULACIÓN!AF164),0),"")</f>
        <v/>
      </c>
      <c r="BB164" s="119" t="str">
        <f>IFERROR(IF((AI164/FORMULACIÓN!AJ164)&lt;&gt;0,AI164/FORMULACIÓN!AJ164,0),"")</f>
        <v/>
      </c>
      <c r="BC164" s="120" t="str">
        <f>IF('SEGUIMIENTO Y EVALUACIÓN'!AI164=0,0,TEXT('SEGUIMIENTO Y EVALUACIÓN'!AI164,"$ ##.###")&amp;" / "&amp;TEXT(FORMULACIÓN!AK164,"$ ##.###"))</f>
        <v xml:space="preserve"> / </v>
      </c>
      <c r="BD164" s="57">
        <f>IFERROR(IF((AJ164/FORMULACIÓN!AK164)&lt;&gt;0,AJ164/FORMULACIÓN!AK164,0),0)</f>
        <v>0</v>
      </c>
      <c r="CL164" s="7"/>
    </row>
    <row r="165" spans="1:90" s="1" customFormat="1" ht="99.95" customHeight="1">
      <c r="A165" s="45" t="str">
        <f>IF(FORMULACIÓN!A165="","",FORMULACIÓN!A165)</f>
        <v/>
      </c>
      <c r="B165" s="45" t="str">
        <f>IF(FORMULACIÓN!B165="","",FORMULACIÓN!B165)</f>
        <v/>
      </c>
      <c r="C165" s="45" t="str">
        <f>IF(FORMULACIÓN!E165="","",FORMULACIÓN!E165)</f>
        <v/>
      </c>
      <c r="D165" s="45" t="str">
        <f>IF(FORMULACIÓN!F165="","",FORMULACIÓN!F165)</f>
        <v/>
      </c>
      <c r="E165" s="45" t="str">
        <f>IF(FORMULACIÓN!G165="","",FORMULACIÓN!G165)</f>
        <v/>
      </c>
      <c r="F165" s="45" t="str">
        <f>IF(FORMULACIÓN!H165="","",FORMULACIÓN!H165)</f>
        <v/>
      </c>
      <c r="G165" s="45" t="str">
        <f>IF(FORMULACIÓN!I165="","",FORMULACIÓN!I165)</f>
        <v/>
      </c>
      <c r="H165" s="45" t="str">
        <f>IF(FORMULACIÓN!J165="","",FORMULACIÓN!J165)</f>
        <v/>
      </c>
      <c r="I165" s="188" t="str">
        <f ca="1">IF($G165=Lists!$R$3,"PDI: "&amp;TEXT(FORMULACIÓN!Q165,"00,00%")&amp;CHAR(10)&amp;CHAR(10)&amp;"T1: "&amp;TEXT(FORMULACIÓN!L165,"00,00%")&amp;CHAR(10)&amp;"T2: "&amp;TEXT(FORMULACIÓN!M165,"00,00%")&amp;CHAR(10)&amp;"T3: "&amp;TEXT(FORMULACIÓN!N165,"00,00%")&amp;CHAR(10)&amp;"Tn: "&amp;TEXT(FORMULACIÓN!O165,"00,00%"),IF(FORMULACIÓN!Q165=0,0,"PDI: "&amp;TEXT(FORMULACIÓN!Q165,"##.###")&amp;CHAR(10)&amp;CHAR(10)&amp;"T1: "&amp;TEXT(FORMULACIÓN!L165,"##.###")&amp;CHAR(10)&amp;"T2: "&amp;TEXT(FORMULACIÓN!M165,"##.###")&amp;CHAR(10)&amp;"T3: "&amp;TEXT(FORMULACIÓN!N165,"##.###")&amp;CHAR(10)&amp;"Tn: "&amp;TEXT(FORMULACIÓN!O165,"##.###")))</f>
        <v xml:space="preserve">PDI: 
T1: 
T2: 
T3: 
Tn: </v>
      </c>
      <c r="J165" s="122" t="str">
        <f>IF(FORMULACIÓN!K165&lt;&gt;"",FORMULACIÓN!K165,"")</f>
        <v/>
      </c>
      <c r="K165" s="58"/>
      <c r="L165" s="58"/>
      <c r="M165" s="58"/>
      <c r="N165" s="58"/>
      <c r="O165" s="47" t="str">
        <f ca="1">IFERROR(IF($H165=Lists!$S$2,SUM('SEGUIMIENTO Y EVALUACIÓN'!J165:N165),IF('SEGUIMIENTO Y EVALUACIÓN'!$H165=Lists!$S$3,SUM('SEGUIMIENTO Y EVALUACIÓN'!K165:N165),IF('SEGUIMIENTO Y EVALUACIÓN'!$H165=Lists!$S$4,AVERAGE('SEGUIMIENTO Y EVALUACIÓN'!K165:N165),IF('SEGUIMIENTO Y EVALUACIÓN'!$H165=Lists!$S$5,OFFSET(J165,0,COUNTA(K165:N165)),IF($H165=Lists!$S$6,COUNTIF(K165:N165,"&lt;"&amp;FORMULACIÓN!Q165)/COUNT('SEGUIMIENTO Y EVALUACIÓN'!K165:N165),""))))),"")</f>
        <v/>
      </c>
      <c r="P165" s="51" t="str">
        <f ca="1">IF($G165=Lists!$R$3,TEXT('SEGUIMIENTO Y EVALUACIÓN'!O165,"00,00%"),IF('SEGUIMIENTO Y EVALUACIÓN'!O165=0,0,TEXT('SEGUIMIENTO Y EVALUACIÓN'!O165,"##.###")))</f>
        <v/>
      </c>
      <c r="Q165" s="209" t="str">
        <f>IF(FORMULACIÓN!R165&lt;&gt;"",FORMULACIÓN!R165,"")</f>
        <v/>
      </c>
      <c r="R165" s="209" t="str">
        <f>IF(FORMULACIÓN!S165&lt;&gt;"",FORMULACIÓN!S165,"")</f>
        <v/>
      </c>
      <c r="S165" s="209" t="str">
        <f>IF(FORMULACIÓN!T165&lt;&gt;"",FORMULACIÓN!T165,"")</f>
        <v/>
      </c>
      <c r="T165" s="42"/>
      <c r="U165" s="42"/>
      <c r="V165" s="42"/>
      <c r="W165" s="43" t="str">
        <f t="shared" si="18"/>
        <v/>
      </c>
      <c r="X165" s="42"/>
      <c r="Y165" s="42"/>
      <c r="Z165" s="42"/>
      <c r="AA165" s="43" t="str">
        <f t="shared" si="19"/>
        <v/>
      </c>
      <c r="AB165" s="42"/>
      <c r="AC165" s="42"/>
      <c r="AD165" s="42"/>
      <c r="AE165" s="43" t="str">
        <f t="shared" si="20"/>
        <v/>
      </c>
      <c r="AF165" s="42"/>
      <c r="AG165" s="42"/>
      <c r="AH165" s="42"/>
      <c r="AI165" s="46" t="str">
        <f t="shared" si="21"/>
        <v/>
      </c>
      <c r="AJ165" s="46" t="str">
        <f>IF(SUM(AA165,AE165,W165,AI165)=0,"",SUM((AA165,AE165,W165,AI165)))</f>
        <v/>
      </c>
      <c r="AK165"/>
      <c r="AL165" s="1" t="str">
        <f t="shared" si="25"/>
        <v/>
      </c>
      <c r="AM165" s="56" t="str">
        <f t="shared" si="23"/>
        <v/>
      </c>
      <c r="AN165" s="112" t="str">
        <f ca="1">IF($G165=Lists!$R$3,"T1: "&amp;TEXT(FORMULACIÓN!L165,"00,00%")&amp;CHAR(10)&amp;"T2: "&amp;TEXT(FORMULACIÓN!M165,"00,00%")&amp;CHAR(10)&amp;"T3: "&amp;TEXT(FORMULACIÓN!N165,"00,00%")&amp;CHAR(10)&amp;"Tn: "&amp;TEXT(FORMULACIÓN!O165,"00,00%"),IF(FORMULACIÓN!Q165=0,0,"T1: "&amp;TEXT(FORMULACIÓN!L165,"##.###")&amp;CHAR(10)&amp;"T2: "&amp;TEXT(FORMULACIÓN!M165,"##.###")&amp;CHAR(10)&amp;"T3: "&amp;TEXT(FORMULACIÓN!N165,"##.###")&amp;CHAR(10)&amp;"Tn: "&amp;TEXT(FORMULACIÓN!O165,"##.###")))</f>
        <v xml:space="preserve">T1: 
T2: 
T3: 
Tn: </v>
      </c>
      <c r="AO165" s="117" t="str">
        <f>IFERROR(IF($H165=Lists!$S$6,IF(AND(FORMULACIÓN!L165&gt;K165,K165&gt;0),1,0),IF((K165/FORMULACIÓN!L165)&lt;&gt;0,K165/FORMULACIÓN!L165,0)),"")</f>
        <v/>
      </c>
      <c r="AP165" s="117" t="str">
        <f>IFERROR(IF($H165=Lists!$S$6,IF(AND(FORMULACIÓN!M165&gt;L165,L165&gt;0),1,0),IF((L165/FORMULACIÓN!M165)&lt;&gt;0,L165/FORMULACIÓN!M165,0)),"")</f>
        <v/>
      </c>
      <c r="AQ165" s="117" t="str">
        <f>IFERROR(IF($H165=Lists!$S$6,IF(AND(FORMULACIÓN!N165&gt;M165,M165&gt;0),1,0),IF((M165/FORMULACIÓN!N165)&lt;&gt;0,M165/FORMULACIÓN!N165,0)),"")</f>
        <v/>
      </c>
      <c r="AR165" s="117" t="str">
        <f>IFERROR(IF($H165=Lists!$S$6,IF(AND(FORMULACIÓN!O165&gt;N165,N165&gt;0),1,0),IF((N165/FORMULACIÓN!O165)&lt;&gt;0,N165/FORMULACIÓN!O165,0)),"")</f>
        <v/>
      </c>
      <c r="AS165" s="110"/>
      <c r="AT165" s="118" t="str">
        <f ca="1">IF($H165=Lists!$S$6,TEXT(COUNTIF('SEGUIMIENTO Y EVALUACIÓN'!K165:N165,"&lt;"&amp;FORMULACIÓN!Q165),"##.###")&amp;" / "&amp;TEXT(COUNTIF('SEGUIMIENTO Y EVALUACIÓN'!K165:N165,"&gt;"&amp;0),"##.###"),IF($G165=Lists!$R$3,TEXT('SEGUIMIENTO Y EVALUACIÓN'!O165,"00,00%")&amp;" / "&amp;TEXT(FORMULACIÓN!P165,"00,00%"),IF('SEGUIMIENTO Y EVALUACIÓN'!O165=0,0,TEXT('SEGUIMIENTO Y EVALUACIÓN'!O165,"##.###")&amp;" / "&amp;TEXT(FORMULACIÓN!P165,"##.###"))))</f>
        <v xml:space="preserve"> / </v>
      </c>
      <c r="AU165" s="57">
        <f ca="1">IFERROR(IF((P165/FORMULACIÓN!Q165)&lt;&gt;0,IF($H165=Lists!$S$6,COUNTIF('SEGUIMIENTO Y EVALUACIÓN'!K165:N165,"&lt;"&amp;FORMULACIÓN!Q165),'SEGUIMIENTO Y EVALUACIÓN'!P165)/IF($H165=Lists!$S$6,COUNTIF('SEGUIMIENTO Y EVALUACIÓN'!K165:N165,"&gt;"&amp;0),FORMULACIÓN!P165),0),0)</f>
        <v>0</v>
      </c>
      <c r="AV165" s="93" t="str">
        <f t="shared" ca="1" si="24"/>
        <v/>
      </c>
      <c r="AW165" s="93" cm="1">
        <f t="array" ref="AW165">IF(INDEX(AO165:AU165,1,$AV$3)&gt;1,IF($AU$2=1,1,INDEX(AO165:AU165,1,$AV$3)),INDEX(AO165:AU165,1,$AV$3))</f>
        <v>1</v>
      </c>
      <c r="AX165"/>
      <c r="AY165" s="119" t="str">
        <f>IFERROR(IF((W165/FORMULACIÓN!X165)&lt;&gt;0,W165/FORMULACIÓN!X165,0),"")</f>
        <v/>
      </c>
      <c r="AZ165" s="119" t="str">
        <f>IFERROR(IF((AA165/FORMULACIÓN!AB165)&lt;&gt;0,AA165/FORMULACIÓN!AB165,0),"")</f>
        <v/>
      </c>
      <c r="BA165" s="119" t="str">
        <f>IFERROR(IF((AE165/FORMULACIÓN!AF165)&lt;&gt;0,(AE165/FORMULACIÓN!AF165),0),"")</f>
        <v/>
      </c>
      <c r="BB165" s="119" t="str">
        <f>IFERROR(IF((AI165/FORMULACIÓN!AJ165)&lt;&gt;0,AI165/FORMULACIÓN!AJ165,0),"")</f>
        <v/>
      </c>
      <c r="BC165" s="120" t="str">
        <f>IF('SEGUIMIENTO Y EVALUACIÓN'!AI165=0,0,TEXT('SEGUIMIENTO Y EVALUACIÓN'!AI165,"$ ##.###")&amp;" / "&amp;TEXT(FORMULACIÓN!AK165,"$ ##.###"))</f>
        <v xml:space="preserve"> / </v>
      </c>
      <c r="BD165" s="57">
        <f>IFERROR(IF((AJ165/FORMULACIÓN!AK165)&lt;&gt;0,AJ165/FORMULACIÓN!AK165,0),0)</f>
        <v>0</v>
      </c>
      <c r="CL165" s="7"/>
    </row>
    <row r="166" spans="1:90" s="1" customFormat="1" ht="99.95" customHeight="1">
      <c r="A166" s="45" t="str">
        <f>IF(FORMULACIÓN!A166="","",FORMULACIÓN!A166)</f>
        <v/>
      </c>
      <c r="B166" s="45" t="str">
        <f>IF(FORMULACIÓN!B166="","",FORMULACIÓN!B166)</f>
        <v/>
      </c>
      <c r="C166" s="45" t="str">
        <f>IF(FORMULACIÓN!E166="","",FORMULACIÓN!E166)</f>
        <v/>
      </c>
      <c r="D166" s="45" t="str">
        <f>IF(FORMULACIÓN!F166="","",FORMULACIÓN!F166)</f>
        <v/>
      </c>
      <c r="E166" s="45" t="str">
        <f>IF(FORMULACIÓN!G166="","",FORMULACIÓN!G166)</f>
        <v/>
      </c>
      <c r="F166" s="45" t="str">
        <f>IF(FORMULACIÓN!H166="","",FORMULACIÓN!H166)</f>
        <v/>
      </c>
      <c r="G166" s="45" t="str">
        <f>IF(FORMULACIÓN!I166="","",FORMULACIÓN!I166)</f>
        <v/>
      </c>
      <c r="H166" s="45" t="str">
        <f>IF(FORMULACIÓN!J166="","",FORMULACIÓN!J166)</f>
        <v/>
      </c>
      <c r="I166" s="188" t="str">
        <f ca="1">IF($G166=Lists!$R$3,"PDI: "&amp;TEXT(FORMULACIÓN!Q166,"00,00%")&amp;CHAR(10)&amp;CHAR(10)&amp;"T1: "&amp;TEXT(FORMULACIÓN!L166,"00,00%")&amp;CHAR(10)&amp;"T2: "&amp;TEXT(FORMULACIÓN!M166,"00,00%")&amp;CHAR(10)&amp;"T3: "&amp;TEXT(FORMULACIÓN!N166,"00,00%")&amp;CHAR(10)&amp;"Tn: "&amp;TEXT(FORMULACIÓN!O166,"00,00%"),IF(FORMULACIÓN!Q166=0,0,"PDI: "&amp;TEXT(FORMULACIÓN!Q166,"##.###")&amp;CHAR(10)&amp;CHAR(10)&amp;"T1: "&amp;TEXT(FORMULACIÓN!L166,"##.###")&amp;CHAR(10)&amp;"T2: "&amp;TEXT(FORMULACIÓN!M166,"##.###")&amp;CHAR(10)&amp;"T3: "&amp;TEXT(FORMULACIÓN!N166,"##.###")&amp;CHAR(10)&amp;"Tn: "&amp;TEXT(FORMULACIÓN!O166,"##.###")))</f>
        <v xml:space="preserve">PDI: 
T1: 
T2: 
T3: 
Tn: </v>
      </c>
      <c r="J166" s="122" t="str">
        <f>IF(FORMULACIÓN!K166&lt;&gt;"",FORMULACIÓN!K166,"")</f>
        <v/>
      </c>
      <c r="K166" s="58"/>
      <c r="L166" s="58"/>
      <c r="M166" s="58"/>
      <c r="N166" s="58"/>
      <c r="O166" s="47" t="str">
        <f ca="1">IFERROR(IF($H166=Lists!$S$2,SUM('SEGUIMIENTO Y EVALUACIÓN'!J166:N166),IF('SEGUIMIENTO Y EVALUACIÓN'!$H166=Lists!$S$3,SUM('SEGUIMIENTO Y EVALUACIÓN'!K166:N166),IF('SEGUIMIENTO Y EVALUACIÓN'!$H166=Lists!$S$4,AVERAGE('SEGUIMIENTO Y EVALUACIÓN'!K166:N166),IF('SEGUIMIENTO Y EVALUACIÓN'!$H166=Lists!$S$5,OFFSET(J166,0,COUNTA(K166:N166)),IF($H166=Lists!$S$6,COUNTIF(K166:N166,"&lt;"&amp;FORMULACIÓN!Q166)/COUNT('SEGUIMIENTO Y EVALUACIÓN'!K166:N166),""))))),"")</f>
        <v/>
      </c>
      <c r="P166" s="51" t="str">
        <f ca="1">IF($G166=Lists!$R$3,TEXT('SEGUIMIENTO Y EVALUACIÓN'!O166,"00,00%"),IF('SEGUIMIENTO Y EVALUACIÓN'!O166=0,0,TEXT('SEGUIMIENTO Y EVALUACIÓN'!O166,"##.###")))</f>
        <v/>
      </c>
      <c r="Q166" s="209" t="str">
        <f>IF(FORMULACIÓN!R166&lt;&gt;"",FORMULACIÓN!R166,"")</f>
        <v/>
      </c>
      <c r="R166" s="209" t="str">
        <f>IF(FORMULACIÓN!S166&lt;&gt;"",FORMULACIÓN!S166,"")</f>
        <v/>
      </c>
      <c r="S166" s="209" t="str">
        <f>IF(FORMULACIÓN!T166&lt;&gt;"",FORMULACIÓN!T166,"")</f>
        <v/>
      </c>
      <c r="T166" s="42"/>
      <c r="U166" s="42"/>
      <c r="V166" s="42"/>
      <c r="W166" s="43" t="str">
        <f t="shared" si="18"/>
        <v/>
      </c>
      <c r="X166" s="42"/>
      <c r="Y166" s="42"/>
      <c r="Z166" s="42"/>
      <c r="AA166" s="43" t="str">
        <f t="shared" si="19"/>
        <v/>
      </c>
      <c r="AB166" s="42"/>
      <c r="AC166" s="42"/>
      <c r="AD166" s="42"/>
      <c r="AE166" s="43" t="str">
        <f t="shared" si="20"/>
        <v/>
      </c>
      <c r="AF166" s="42"/>
      <c r="AG166" s="42"/>
      <c r="AH166" s="42"/>
      <c r="AI166" s="46" t="str">
        <f t="shared" si="21"/>
        <v/>
      </c>
      <c r="AJ166" s="46" t="str">
        <f>IF(SUM(AA166,AE166,W166,AI166)=0,"",SUM((AA166,AE166,W166,AI166)))</f>
        <v/>
      </c>
      <c r="AK166"/>
      <c r="AL166" s="1" t="str">
        <f t="shared" si="25"/>
        <v/>
      </c>
      <c r="AM166" s="56" t="str">
        <f t="shared" si="23"/>
        <v/>
      </c>
      <c r="AN166" s="112" t="str">
        <f ca="1">IF($G166=Lists!$R$3,"T1: "&amp;TEXT(FORMULACIÓN!L166,"00,00%")&amp;CHAR(10)&amp;"T2: "&amp;TEXT(FORMULACIÓN!M166,"00,00%")&amp;CHAR(10)&amp;"T3: "&amp;TEXT(FORMULACIÓN!N166,"00,00%")&amp;CHAR(10)&amp;"Tn: "&amp;TEXT(FORMULACIÓN!O166,"00,00%"),IF(FORMULACIÓN!Q166=0,0,"T1: "&amp;TEXT(FORMULACIÓN!L166,"##.###")&amp;CHAR(10)&amp;"T2: "&amp;TEXT(FORMULACIÓN!M166,"##.###")&amp;CHAR(10)&amp;"T3: "&amp;TEXT(FORMULACIÓN!N166,"##.###")&amp;CHAR(10)&amp;"Tn: "&amp;TEXT(FORMULACIÓN!O166,"##.###")))</f>
        <v xml:space="preserve">T1: 
T2: 
T3: 
Tn: </v>
      </c>
      <c r="AO166" s="117" t="str">
        <f>IFERROR(IF($H166=Lists!$S$6,IF(AND(FORMULACIÓN!L166&gt;K166,K166&gt;0),1,0),IF((K166/FORMULACIÓN!L166)&lt;&gt;0,K166/FORMULACIÓN!L166,0)),"")</f>
        <v/>
      </c>
      <c r="AP166" s="117" t="str">
        <f>IFERROR(IF($H166=Lists!$S$6,IF(AND(FORMULACIÓN!M166&gt;L166,L166&gt;0),1,0),IF((L166/FORMULACIÓN!M166)&lt;&gt;0,L166/FORMULACIÓN!M166,0)),"")</f>
        <v/>
      </c>
      <c r="AQ166" s="117" t="str">
        <f>IFERROR(IF($H166=Lists!$S$6,IF(AND(FORMULACIÓN!N166&gt;M166,M166&gt;0),1,0),IF((M166/FORMULACIÓN!N166)&lt;&gt;0,M166/FORMULACIÓN!N166,0)),"")</f>
        <v/>
      </c>
      <c r="AR166" s="117" t="str">
        <f>IFERROR(IF($H166=Lists!$S$6,IF(AND(FORMULACIÓN!O166&gt;N166,N166&gt;0),1,0),IF((N166/FORMULACIÓN!O166)&lt;&gt;0,N166/FORMULACIÓN!O166,0)),"")</f>
        <v/>
      </c>
      <c r="AS166" s="110"/>
      <c r="AT166" s="118" t="str">
        <f ca="1">IF($H166=Lists!$S$6,TEXT(COUNTIF('SEGUIMIENTO Y EVALUACIÓN'!K166:N166,"&lt;"&amp;FORMULACIÓN!Q166),"##.###")&amp;" / "&amp;TEXT(COUNTIF('SEGUIMIENTO Y EVALUACIÓN'!K166:N166,"&gt;"&amp;0),"##.###"),IF($G166=Lists!$R$3,TEXT('SEGUIMIENTO Y EVALUACIÓN'!O166,"00,00%")&amp;" / "&amp;TEXT(FORMULACIÓN!P166,"00,00%"),IF('SEGUIMIENTO Y EVALUACIÓN'!O166=0,0,TEXT('SEGUIMIENTO Y EVALUACIÓN'!O166,"##.###")&amp;" / "&amp;TEXT(FORMULACIÓN!P166,"##.###"))))</f>
        <v xml:space="preserve"> / </v>
      </c>
      <c r="AU166" s="57">
        <f ca="1">IFERROR(IF((P166/FORMULACIÓN!Q166)&lt;&gt;0,IF($H166=Lists!$S$6,COUNTIF('SEGUIMIENTO Y EVALUACIÓN'!K166:N166,"&lt;"&amp;FORMULACIÓN!Q166),'SEGUIMIENTO Y EVALUACIÓN'!P166)/IF($H166=Lists!$S$6,COUNTIF('SEGUIMIENTO Y EVALUACIÓN'!K166:N166,"&gt;"&amp;0),FORMULACIÓN!P166),0),0)</f>
        <v>0</v>
      </c>
      <c r="AV166" s="93" t="str">
        <f t="shared" ca="1" si="24"/>
        <v/>
      </c>
      <c r="AW166" s="93" cm="1">
        <f t="array" ref="AW166">IF(INDEX(AO166:AU166,1,$AV$3)&gt;1,IF($AU$2=1,1,INDEX(AO166:AU166,1,$AV$3)),INDEX(AO166:AU166,1,$AV$3))</f>
        <v>1</v>
      </c>
      <c r="AX166"/>
      <c r="AY166" s="119" t="str">
        <f>IFERROR(IF((W166/FORMULACIÓN!X166)&lt;&gt;0,W166/FORMULACIÓN!X166,0),"")</f>
        <v/>
      </c>
      <c r="AZ166" s="119" t="str">
        <f>IFERROR(IF((AA166/FORMULACIÓN!AB166)&lt;&gt;0,AA166/FORMULACIÓN!AB166,0),"")</f>
        <v/>
      </c>
      <c r="BA166" s="119" t="str">
        <f>IFERROR(IF((AE166/FORMULACIÓN!AF166)&lt;&gt;0,(AE166/FORMULACIÓN!AF166),0),"")</f>
        <v/>
      </c>
      <c r="BB166" s="119" t="str">
        <f>IFERROR(IF((AI166/FORMULACIÓN!AJ166)&lt;&gt;0,AI166/FORMULACIÓN!AJ166,0),"")</f>
        <v/>
      </c>
      <c r="BC166" s="120" t="str">
        <f>IF('SEGUIMIENTO Y EVALUACIÓN'!AI166=0,0,TEXT('SEGUIMIENTO Y EVALUACIÓN'!AI166,"$ ##.###")&amp;" / "&amp;TEXT(FORMULACIÓN!AK166,"$ ##.###"))</f>
        <v xml:space="preserve"> / </v>
      </c>
      <c r="BD166" s="57">
        <f>IFERROR(IF((AJ166/FORMULACIÓN!AK166)&lt;&gt;0,AJ166/FORMULACIÓN!AK166,0),0)</f>
        <v>0</v>
      </c>
      <c r="CL166" s="7"/>
    </row>
    <row r="167" spans="1:90" s="1" customFormat="1" ht="99.95" customHeight="1">
      <c r="A167" s="45" t="str">
        <f>IF(FORMULACIÓN!A167="","",FORMULACIÓN!A167)</f>
        <v/>
      </c>
      <c r="B167" s="45" t="str">
        <f>IF(FORMULACIÓN!B167="","",FORMULACIÓN!B167)</f>
        <v/>
      </c>
      <c r="C167" s="45" t="str">
        <f>IF(FORMULACIÓN!E167="","",FORMULACIÓN!E167)</f>
        <v/>
      </c>
      <c r="D167" s="45" t="str">
        <f>IF(FORMULACIÓN!F167="","",FORMULACIÓN!F167)</f>
        <v/>
      </c>
      <c r="E167" s="45" t="str">
        <f>IF(FORMULACIÓN!G167="","",FORMULACIÓN!G167)</f>
        <v/>
      </c>
      <c r="F167" s="45" t="str">
        <f>IF(FORMULACIÓN!H167="","",FORMULACIÓN!H167)</f>
        <v/>
      </c>
      <c r="G167" s="45" t="str">
        <f>IF(FORMULACIÓN!I167="","",FORMULACIÓN!I167)</f>
        <v/>
      </c>
      <c r="H167" s="45" t="str">
        <f>IF(FORMULACIÓN!J167="","",FORMULACIÓN!J167)</f>
        <v/>
      </c>
      <c r="I167" s="188" t="str">
        <f ca="1">IF($G167=Lists!$R$3,"PDI: "&amp;TEXT(FORMULACIÓN!Q167,"00,00%")&amp;CHAR(10)&amp;CHAR(10)&amp;"T1: "&amp;TEXT(FORMULACIÓN!L167,"00,00%")&amp;CHAR(10)&amp;"T2: "&amp;TEXT(FORMULACIÓN!M167,"00,00%")&amp;CHAR(10)&amp;"T3: "&amp;TEXT(FORMULACIÓN!N167,"00,00%")&amp;CHAR(10)&amp;"Tn: "&amp;TEXT(FORMULACIÓN!O167,"00,00%"),IF(FORMULACIÓN!Q167=0,0,"PDI: "&amp;TEXT(FORMULACIÓN!Q167,"##.###")&amp;CHAR(10)&amp;CHAR(10)&amp;"T1: "&amp;TEXT(FORMULACIÓN!L167,"##.###")&amp;CHAR(10)&amp;"T2: "&amp;TEXT(FORMULACIÓN!M167,"##.###")&amp;CHAR(10)&amp;"T3: "&amp;TEXT(FORMULACIÓN!N167,"##.###")&amp;CHAR(10)&amp;"Tn: "&amp;TEXT(FORMULACIÓN!O167,"##.###")))</f>
        <v xml:space="preserve">PDI: 
T1: 
T2: 
T3: 
Tn: </v>
      </c>
      <c r="J167" s="122" t="str">
        <f>IF(FORMULACIÓN!K167&lt;&gt;"",FORMULACIÓN!K167,"")</f>
        <v/>
      </c>
      <c r="K167" s="58"/>
      <c r="L167" s="58"/>
      <c r="M167" s="58"/>
      <c r="N167" s="58"/>
      <c r="O167" s="47" t="str">
        <f ca="1">IFERROR(IF($H167=Lists!$S$2,SUM('SEGUIMIENTO Y EVALUACIÓN'!J167:N167),IF('SEGUIMIENTO Y EVALUACIÓN'!$H167=Lists!$S$3,SUM('SEGUIMIENTO Y EVALUACIÓN'!K167:N167),IF('SEGUIMIENTO Y EVALUACIÓN'!$H167=Lists!$S$4,AVERAGE('SEGUIMIENTO Y EVALUACIÓN'!K167:N167),IF('SEGUIMIENTO Y EVALUACIÓN'!$H167=Lists!$S$5,OFFSET(J167,0,COUNTA(K167:N167)),IF($H167=Lists!$S$6,COUNTIF(K167:N167,"&lt;"&amp;FORMULACIÓN!Q167)/COUNT('SEGUIMIENTO Y EVALUACIÓN'!K167:N167),""))))),"")</f>
        <v/>
      </c>
      <c r="P167" s="51" t="str">
        <f ca="1">IF($G167=Lists!$R$3,TEXT('SEGUIMIENTO Y EVALUACIÓN'!O167,"00,00%"),IF('SEGUIMIENTO Y EVALUACIÓN'!O167=0,0,TEXT('SEGUIMIENTO Y EVALUACIÓN'!O167,"##.###")))</f>
        <v/>
      </c>
      <c r="Q167" s="209" t="str">
        <f>IF(FORMULACIÓN!R167&lt;&gt;"",FORMULACIÓN!R167,"")</f>
        <v/>
      </c>
      <c r="R167" s="209" t="str">
        <f>IF(FORMULACIÓN!S167&lt;&gt;"",FORMULACIÓN!S167,"")</f>
        <v/>
      </c>
      <c r="S167" s="209" t="str">
        <f>IF(FORMULACIÓN!T167&lt;&gt;"",FORMULACIÓN!T167,"")</f>
        <v/>
      </c>
      <c r="T167" s="42"/>
      <c r="U167" s="42"/>
      <c r="V167" s="42"/>
      <c r="W167" s="43" t="str">
        <f t="shared" si="18"/>
        <v/>
      </c>
      <c r="X167" s="42"/>
      <c r="Y167" s="42"/>
      <c r="Z167" s="42"/>
      <c r="AA167" s="43" t="str">
        <f t="shared" si="19"/>
        <v/>
      </c>
      <c r="AB167" s="42"/>
      <c r="AC167" s="42"/>
      <c r="AD167" s="42"/>
      <c r="AE167" s="43" t="str">
        <f t="shared" si="20"/>
        <v/>
      </c>
      <c r="AF167" s="42"/>
      <c r="AG167" s="42"/>
      <c r="AH167" s="42"/>
      <c r="AI167" s="46" t="str">
        <f t="shared" si="21"/>
        <v/>
      </c>
      <c r="AJ167" s="46" t="str">
        <f>IF(SUM(AA167,AE167,W167,AI167)=0,"",SUM((AA167,AE167,W167,AI167)))</f>
        <v/>
      </c>
      <c r="AK167"/>
      <c r="AL167" s="1" t="str">
        <f t="shared" si="25"/>
        <v/>
      </c>
      <c r="AM167" s="56" t="str">
        <f t="shared" si="23"/>
        <v/>
      </c>
      <c r="AN167" s="112" t="str">
        <f ca="1">IF($G167=Lists!$R$3,"T1: "&amp;TEXT(FORMULACIÓN!L167,"00,00%")&amp;CHAR(10)&amp;"T2: "&amp;TEXT(FORMULACIÓN!M167,"00,00%")&amp;CHAR(10)&amp;"T3: "&amp;TEXT(FORMULACIÓN!N167,"00,00%")&amp;CHAR(10)&amp;"Tn: "&amp;TEXT(FORMULACIÓN!O167,"00,00%"),IF(FORMULACIÓN!Q167=0,0,"T1: "&amp;TEXT(FORMULACIÓN!L167,"##.###")&amp;CHAR(10)&amp;"T2: "&amp;TEXT(FORMULACIÓN!M167,"##.###")&amp;CHAR(10)&amp;"T3: "&amp;TEXT(FORMULACIÓN!N167,"##.###")&amp;CHAR(10)&amp;"Tn: "&amp;TEXT(FORMULACIÓN!O167,"##.###")))</f>
        <v xml:space="preserve">T1: 
T2: 
T3: 
Tn: </v>
      </c>
      <c r="AO167" s="117" t="str">
        <f>IFERROR(IF($H167=Lists!$S$6,IF(AND(FORMULACIÓN!L167&gt;K167,K167&gt;0),1,0),IF((K167/FORMULACIÓN!L167)&lt;&gt;0,K167/FORMULACIÓN!L167,0)),"")</f>
        <v/>
      </c>
      <c r="AP167" s="117" t="str">
        <f>IFERROR(IF($H167=Lists!$S$6,IF(AND(FORMULACIÓN!M167&gt;L167,L167&gt;0),1,0),IF((L167/FORMULACIÓN!M167)&lt;&gt;0,L167/FORMULACIÓN!M167,0)),"")</f>
        <v/>
      </c>
      <c r="AQ167" s="117" t="str">
        <f>IFERROR(IF($H167=Lists!$S$6,IF(AND(FORMULACIÓN!N167&gt;M167,M167&gt;0),1,0),IF((M167/FORMULACIÓN!N167)&lt;&gt;0,M167/FORMULACIÓN!N167,0)),"")</f>
        <v/>
      </c>
      <c r="AR167" s="117" t="str">
        <f>IFERROR(IF($H167=Lists!$S$6,IF(AND(FORMULACIÓN!O167&gt;N167,N167&gt;0),1,0),IF((N167/FORMULACIÓN!O167)&lt;&gt;0,N167/FORMULACIÓN!O167,0)),"")</f>
        <v/>
      </c>
      <c r="AS167" s="110"/>
      <c r="AT167" s="118" t="str">
        <f ca="1">IF($H167=Lists!$S$6,TEXT(COUNTIF('SEGUIMIENTO Y EVALUACIÓN'!K167:N167,"&lt;"&amp;FORMULACIÓN!Q167),"##.###")&amp;" / "&amp;TEXT(COUNTIF('SEGUIMIENTO Y EVALUACIÓN'!K167:N167,"&gt;"&amp;0),"##.###"),IF($G167=Lists!$R$3,TEXT('SEGUIMIENTO Y EVALUACIÓN'!O167,"00,00%")&amp;" / "&amp;TEXT(FORMULACIÓN!P167,"00,00%"),IF('SEGUIMIENTO Y EVALUACIÓN'!O167=0,0,TEXT('SEGUIMIENTO Y EVALUACIÓN'!O167,"##.###")&amp;" / "&amp;TEXT(FORMULACIÓN!P167,"##.###"))))</f>
        <v xml:space="preserve"> / </v>
      </c>
      <c r="AU167" s="57">
        <f ca="1">IFERROR(IF((P167/FORMULACIÓN!Q167)&lt;&gt;0,IF($H167=Lists!$S$6,COUNTIF('SEGUIMIENTO Y EVALUACIÓN'!K167:N167,"&lt;"&amp;FORMULACIÓN!Q167),'SEGUIMIENTO Y EVALUACIÓN'!P167)/IF($H167=Lists!$S$6,COUNTIF('SEGUIMIENTO Y EVALUACIÓN'!K167:N167,"&gt;"&amp;0),FORMULACIÓN!P167),0),0)</f>
        <v>0</v>
      </c>
      <c r="AV167" s="93" t="str">
        <f t="shared" ca="1" si="24"/>
        <v/>
      </c>
      <c r="AW167" s="93" cm="1">
        <f t="array" ref="AW167">IF(INDEX(AO167:AU167,1,$AV$3)&gt;1,IF($AU$2=1,1,INDEX(AO167:AU167,1,$AV$3)),INDEX(AO167:AU167,1,$AV$3))</f>
        <v>1</v>
      </c>
      <c r="AX167"/>
      <c r="AY167" s="119" t="str">
        <f>IFERROR(IF((W167/FORMULACIÓN!X167)&lt;&gt;0,W167/FORMULACIÓN!X167,0),"")</f>
        <v/>
      </c>
      <c r="AZ167" s="119" t="str">
        <f>IFERROR(IF((AA167/FORMULACIÓN!AB167)&lt;&gt;0,AA167/FORMULACIÓN!AB167,0),"")</f>
        <v/>
      </c>
      <c r="BA167" s="119" t="str">
        <f>IFERROR(IF((AE167/FORMULACIÓN!AF167)&lt;&gt;0,(AE167/FORMULACIÓN!AF167),0),"")</f>
        <v/>
      </c>
      <c r="BB167" s="119" t="str">
        <f>IFERROR(IF((AI167/FORMULACIÓN!AJ167)&lt;&gt;0,AI167/FORMULACIÓN!AJ167,0),"")</f>
        <v/>
      </c>
      <c r="BC167" s="120" t="str">
        <f>IF('SEGUIMIENTO Y EVALUACIÓN'!AI167=0,0,TEXT('SEGUIMIENTO Y EVALUACIÓN'!AI167,"$ ##.###")&amp;" / "&amp;TEXT(FORMULACIÓN!AK167,"$ ##.###"))</f>
        <v xml:space="preserve"> / </v>
      </c>
      <c r="BD167" s="57">
        <f>IFERROR(IF((AJ167/FORMULACIÓN!AK167)&lt;&gt;0,AJ167/FORMULACIÓN!AK167,0),0)</f>
        <v>0</v>
      </c>
      <c r="CL167" s="7"/>
    </row>
    <row r="168" spans="1:90" s="1" customFormat="1" ht="99.95" customHeight="1">
      <c r="A168" s="45" t="str">
        <f>IF(FORMULACIÓN!A168="","",FORMULACIÓN!A168)</f>
        <v/>
      </c>
      <c r="B168" s="45" t="str">
        <f>IF(FORMULACIÓN!B168="","",FORMULACIÓN!B168)</f>
        <v/>
      </c>
      <c r="C168" s="45" t="str">
        <f>IF(FORMULACIÓN!E168="","",FORMULACIÓN!E168)</f>
        <v/>
      </c>
      <c r="D168" s="45" t="str">
        <f>IF(FORMULACIÓN!F168="","",FORMULACIÓN!F168)</f>
        <v/>
      </c>
      <c r="E168" s="45" t="str">
        <f>IF(FORMULACIÓN!G168="","",FORMULACIÓN!G168)</f>
        <v/>
      </c>
      <c r="F168" s="45" t="str">
        <f>IF(FORMULACIÓN!H168="","",FORMULACIÓN!H168)</f>
        <v/>
      </c>
      <c r="G168" s="45" t="str">
        <f>IF(FORMULACIÓN!I168="","",FORMULACIÓN!I168)</f>
        <v/>
      </c>
      <c r="H168" s="45" t="str">
        <f>IF(FORMULACIÓN!J168="","",FORMULACIÓN!J168)</f>
        <v/>
      </c>
      <c r="I168" s="188" t="str">
        <f ca="1">IF($G168=Lists!$R$3,"PDI: "&amp;TEXT(FORMULACIÓN!Q168,"00,00%")&amp;CHAR(10)&amp;CHAR(10)&amp;"T1: "&amp;TEXT(FORMULACIÓN!L168,"00,00%")&amp;CHAR(10)&amp;"T2: "&amp;TEXT(FORMULACIÓN!M168,"00,00%")&amp;CHAR(10)&amp;"T3: "&amp;TEXT(FORMULACIÓN!N168,"00,00%")&amp;CHAR(10)&amp;"Tn: "&amp;TEXT(FORMULACIÓN!O168,"00,00%"),IF(FORMULACIÓN!Q168=0,0,"PDI: "&amp;TEXT(FORMULACIÓN!Q168,"##.###")&amp;CHAR(10)&amp;CHAR(10)&amp;"T1: "&amp;TEXT(FORMULACIÓN!L168,"##.###")&amp;CHAR(10)&amp;"T2: "&amp;TEXT(FORMULACIÓN!M168,"##.###")&amp;CHAR(10)&amp;"T3: "&amp;TEXT(FORMULACIÓN!N168,"##.###")&amp;CHAR(10)&amp;"Tn: "&amp;TEXT(FORMULACIÓN!O168,"##.###")))</f>
        <v xml:space="preserve">PDI: 
T1: 
T2: 
T3: 
Tn: </v>
      </c>
      <c r="J168" s="122" t="str">
        <f>IF(FORMULACIÓN!K168&lt;&gt;"",FORMULACIÓN!K168,"")</f>
        <v/>
      </c>
      <c r="K168" s="58"/>
      <c r="L168" s="58"/>
      <c r="M168" s="58"/>
      <c r="N168" s="58"/>
      <c r="O168" s="47" t="str">
        <f ca="1">IFERROR(IF($H168=Lists!$S$2,SUM('SEGUIMIENTO Y EVALUACIÓN'!J168:N168),IF('SEGUIMIENTO Y EVALUACIÓN'!$H168=Lists!$S$3,SUM('SEGUIMIENTO Y EVALUACIÓN'!K168:N168),IF('SEGUIMIENTO Y EVALUACIÓN'!$H168=Lists!$S$4,AVERAGE('SEGUIMIENTO Y EVALUACIÓN'!K168:N168),IF('SEGUIMIENTO Y EVALUACIÓN'!$H168=Lists!$S$5,OFFSET(J168,0,COUNTA(K168:N168)),IF($H168=Lists!$S$6,COUNTIF(K168:N168,"&lt;"&amp;FORMULACIÓN!Q168)/COUNT('SEGUIMIENTO Y EVALUACIÓN'!K168:N168),""))))),"")</f>
        <v/>
      </c>
      <c r="P168" s="51" t="str">
        <f ca="1">IF($G168=Lists!$R$3,TEXT('SEGUIMIENTO Y EVALUACIÓN'!O168,"00,00%"),IF('SEGUIMIENTO Y EVALUACIÓN'!O168=0,0,TEXT('SEGUIMIENTO Y EVALUACIÓN'!O168,"##.###")))</f>
        <v/>
      </c>
      <c r="Q168" s="209" t="str">
        <f>IF(FORMULACIÓN!R168&lt;&gt;"",FORMULACIÓN!R168,"")</f>
        <v/>
      </c>
      <c r="R168" s="209" t="str">
        <f>IF(FORMULACIÓN!S168&lt;&gt;"",FORMULACIÓN!S168,"")</f>
        <v/>
      </c>
      <c r="S168" s="209" t="str">
        <f>IF(FORMULACIÓN!T168&lt;&gt;"",FORMULACIÓN!T168,"")</f>
        <v/>
      </c>
      <c r="T168" s="42"/>
      <c r="U168" s="42"/>
      <c r="V168" s="42"/>
      <c r="W168" s="43" t="str">
        <f t="shared" si="18"/>
        <v/>
      </c>
      <c r="X168" s="42"/>
      <c r="Y168" s="42"/>
      <c r="Z168" s="42"/>
      <c r="AA168" s="43" t="str">
        <f t="shared" si="19"/>
        <v/>
      </c>
      <c r="AB168" s="42"/>
      <c r="AC168" s="42"/>
      <c r="AD168" s="42"/>
      <c r="AE168" s="43" t="str">
        <f t="shared" si="20"/>
        <v/>
      </c>
      <c r="AF168" s="42"/>
      <c r="AG168" s="42"/>
      <c r="AH168" s="42"/>
      <c r="AI168" s="46" t="str">
        <f t="shared" si="21"/>
        <v/>
      </c>
      <c r="AJ168" s="46" t="str">
        <f>IF(SUM(AA168,AE168,W168,AI168)=0,"",SUM((AA168,AE168,W168,AI168)))</f>
        <v/>
      </c>
      <c r="AK168"/>
      <c r="AL168" s="1" t="str">
        <f t="shared" si="25"/>
        <v/>
      </c>
      <c r="AM168" s="56" t="str">
        <f t="shared" si="23"/>
        <v/>
      </c>
      <c r="AN168" s="112" t="str">
        <f ca="1">IF($G168=Lists!$R$3,"T1: "&amp;TEXT(FORMULACIÓN!L168,"00,00%")&amp;CHAR(10)&amp;"T2: "&amp;TEXT(FORMULACIÓN!M168,"00,00%")&amp;CHAR(10)&amp;"T3: "&amp;TEXT(FORMULACIÓN!N168,"00,00%")&amp;CHAR(10)&amp;"Tn: "&amp;TEXT(FORMULACIÓN!O168,"00,00%"),IF(FORMULACIÓN!Q168=0,0,"T1: "&amp;TEXT(FORMULACIÓN!L168,"##.###")&amp;CHAR(10)&amp;"T2: "&amp;TEXT(FORMULACIÓN!M168,"##.###")&amp;CHAR(10)&amp;"T3: "&amp;TEXT(FORMULACIÓN!N168,"##.###")&amp;CHAR(10)&amp;"Tn: "&amp;TEXT(FORMULACIÓN!O168,"##.###")))</f>
        <v xml:space="preserve">T1: 
T2: 
T3: 
Tn: </v>
      </c>
      <c r="AO168" s="117" t="str">
        <f>IFERROR(IF($H168=Lists!$S$6,IF(AND(FORMULACIÓN!L168&gt;K168,K168&gt;0),1,0),IF((K168/FORMULACIÓN!L168)&lt;&gt;0,K168/FORMULACIÓN!L168,0)),"")</f>
        <v/>
      </c>
      <c r="AP168" s="117" t="str">
        <f>IFERROR(IF($H168=Lists!$S$6,IF(AND(FORMULACIÓN!M168&gt;L168,L168&gt;0),1,0),IF((L168/FORMULACIÓN!M168)&lt;&gt;0,L168/FORMULACIÓN!M168,0)),"")</f>
        <v/>
      </c>
      <c r="AQ168" s="117" t="str">
        <f>IFERROR(IF($H168=Lists!$S$6,IF(AND(FORMULACIÓN!N168&gt;M168,M168&gt;0),1,0),IF((M168/FORMULACIÓN!N168)&lt;&gt;0,M168/FORMULACIÓN!N168,0)),"")</f>
        <v/>
      </c>
      <c r="AR168" s="117" t="str">
        <f>IFERROR(IF($H168=Lists!$S$6,IF(AND(FORMULACIÓN!O168&gt;N168,N168&gt;0),1,0),IF((N168/FORMULACIÓN!O168)&lt;&gt;0,N168/FORMULACIÓN!O168,0)),"")</f>
        <v/>
      </c>
      <c r="AS168" s="110"/>
      <c r="AT168" s="118" t="str">
        <f ca="1">IF($H168=Lists!$S$6,TEXT(COUNTIF('SEGUIMIENTO Y EVALUACIÓN'!K168:N168,"&lt;"&amp;FORMULACIÓN!Q168),"##.###")&amp;" / "&amp;TEXT(COUNTIF('SEGUIMIENTO Y EVALUACIÓN'!K168:N168,"&gt;"&amp;0),"##.###"),IF($G168=Lists!$R$3,TEXT('SEGUIMIENTO Y EVALUACIÓN'!O168,"00,00%")&amp;" / "&amp;TEXT(FORMULACIÓN!P168,"00,00%"),IF('SEGUIMIENTO Y EVALUACIÓN'!O168=0,0,TEXT('SEGUIMIENTO Y EVALUACIÓN'!O168,"##.###")&amp;" / "&amp;TEXT(FORMULACIÓN!P168,"##.###"))))</f>
        <v xml:space="preserve"> / </v>
      </c>
      <c r="AU168" s="57">
        <f ca="1">IFERROR(IF((P168/FORMULACIÓN!Q168)&lt;&gt;0,IF($H168=Lists!$S$6,COUNTIF('SEGUIMIENTO Y EVALUACIÓN'!K168:N168,"&lt;"&amp;FORMULACIÓN!Q168),'SEGUIMIENTO Y EVALUACIÓN'!P168)/IF($H168=Lists!$S$6,COUNTIF('SEGUIMIENTO Y EVALUACIÓN'!K168:N168,"&gt;"&amp;0),FORMULACIÓN!P168),0),0)</f>
        <v>0</v>
      </c>
      <c r="AV168" s="93" t="str">
        <f t="shared" ca="1" si="24"/>
        <v/>
      </c>
      <c r="AW168" s="93" cm="1">
        <f t="array" ref="AW168">IF(INDEX(AO168:AU168,1,$AV$3)&gt;1,IF($AU$2=1,1,INDEX(AO168:AU168,1,$AV$3)),INDEX(AO168:AU168,1,$AV$3))</f>
        <v>1</v>
      </c>
      <c r="AX168"/>
      <c r="AY168" s="119" t="str">
        <f>IFERROR(IF((W168/FORMULACIÓN!X168)&lt;&gt;0,W168/FORMULACIÓN!X168,0),"")</f>
        <v/>
      </c>
      <c r="AZ168" s="119" t="str">
        <f>IFERROR(IF((AA168/FORMULACIÓN!AB168)&lt;&gt;0,AA168/FORMULACIÓN!AB168,0),"")</f>
        <v/>
      </c>
      <c r="BA168" s="119" t="str">
        <f>IFERROR(IF((AE168/FORMULACIÓN!AF168)&lt;&gt;0,(AE168/FORMULACIÓN!AF168),0),"")</f>
        <v/>
      </c>
      <c r="BB168" s="119" t="str">
        <f>IFERROR(IF((AI168/FORMULACIÓN!AJ168)&lt;&gt;0,AI168/FORMULACIÓN!AJ168,0),"")</f>
        <v/>
      </c>
      <c r="BC168" s="120" t="str">
        <f>IF('SEGUIMIENTO Y EVALUACIÓN'!AI168=0,0,TEXT('SEGUIMIENTO Y EVALUACIÓN'!AI168,"$ ##.###")&amp;" / "&amp;TEXT(FORMULACIÓN!AK168,"$ ##.###"))</f>
        <v xml:space="preserve"> / </v>
      </c>
      <c r="BD168" s="57">
        <f>IFERROR(IF((AJ168/FORMULACIÓN!AK168)&lt;&gt;0,AJ168/FORMULACIÓN!AK168,0),0)</f>
        <v>0</v>
      </c>
      <c r="CL168" s="7"/>
    </row>
    <row r="169" spans="1:90" s="1" customFormat="1" ht="99.95" customHeight="1">
      <c r="A169" s="45" t="str">
        <f>IF(FORMULACIÓN!A169="","",FORMULACIÓN!A169)</f>
        <v/>
      </c>
      <c r="B169" s="45" t="str">
        <f>IF(FORMULACIÓN!B169="","",FORMULACIÓN!B169)</f>
        <v/>
      </c>
      <c r="C169" s="45" t="str">
        <f>IF(FORMULACIÓN!E169="","",FORMULACIÓN!E169)</f>
        <v/>
      </c>
      <c r="D169" s="45" t="str">
        <f>IF(FORMULACIÓN!F169="","",FORMULACIÓN!F169)</f>
        <v/>
      </c>
      <c r="E169" s="45" t="str">
        <f>IF(FORMULACIÓN!G169="","",FORMULACIÓN!G169)</f>
        <v/>
      </c>
      <c r="F169" s="45" t="str">
        <f>IF(FORMULACIÓN!H169="","",FORMULACIÓN!H169)</f>
        <v/>
      </c>
      <c r="G169" s="45" t="str">
        <f>IF(FORMULACIÓN!I169="","",FORMULACIÓN!I169)</f>
        <v/>
      </c>
      <c r="H169" s="45" t="str">
        <f>IF(FORMULACIÓN!J169="","",FORMULACIÓN!J169)</f>
        <v/>
      </c>
      <c r="I169" s="188" t="str">
        <f ca="1">IF($G169=Lists!$R$3,"PDI: "&amp;TEXT(FORMULACIÓN!Q169,"00,00%")&amp;CHAR(10)&amp;CHAR(10)&amp;"T1: "&amp;TEXT(FORMULACIÓN!L169,"00,00%")&amp;CHAR(10)&amp;"T2: "&amp;TEXT(FORMULACIÓN!M169,"00,00%")&amp;CHAR(10)&amp;"T3: "&amp;TEXT(FORMULACIÓN!N169,"00,00%")&amp;CHAR(10)&amp;"Tn: "&amp;TEXT(FORMULACIÓN!O169,"00,00%"),IF(FORMULACIÓN!Q169=0,0,"PDI: "&amp;TEXT(FORMULACIÓN!Q169,"##.###")&amp;CHAR(10)&amp;CHAR(10)&amp;"T1: "&amp;TEXT(FORMULACIÓN!L169,"##.###")&amp;CHAR(10)&amp;"T2: "&amp;TEXT(FORMULACIÓN!M169,"##.###")&amp;CHAR(10)&amp;"T3: "&amp;TEXT(FORMULACIÓN!N169,"##.###")&amp;CHAR(10)&amp;"Tn: "&amp;TEXT(FORMULACIÓN!O169,"##.###")))</f>
        <v xml:space="preserve">PDI: 
T1: 
T2: 
T3: 
Tn: </v>
      </c>
      <c r="J169" s="122" t="str">
        <f>IF(FORMULACIÓN!K169&lt;&gt;"",FORMULACIÓN!K169,"")</f>
        <v/>
      </c>
      <c r="K169" s="58"/>
      <c r="L169" s="58"/>
      <c r="M169" s="58"/>
      <c r="N169" s="58"/>
      <c r="O169" s="47" t="str">
        <f ca="1">IFERROR(IF($H169=Lists!$S$2,SUM('SEGUIMIENTO Y EVALUACIÓN'!J169:N169),IF('SEGUIMIENTO Y EVALUACIÓN'!$H169=Lists!$S$3,SUM('SEGUIMIENTO Y EVALUACIÓN'!K169:N169),IF('SEGUIMIENTO Y EVALUACIÓN'!$H169=Lists!$S$4,AVERAGE('SEGUIMIENTO Y EVALUACIÓN'!K169:N169),IF('SEGUIMIENTO Y EVALUACIÓN'!$H169=Lists!$S$5,OFFSET(J169,0,COUNTA(K169:N169)),IF($H169=Lists!$S$6,COUNTIF(K169:N169,"&lt;"&amp;FORMULACIÓN!Q169)/COUNT('SEGUIMIENTO Y EVALUACIÓN'!K169:N169),""))))),"")</f>
        <v/>
      </c>
      <c r="P169" s="51" t="str">
        <f ca="1">IF($G169=Lists!$R$3,TEXT('SEGUIMIENTO Y EVALUACIÓN'!O169,"00,00%"),IF('SEGUIMIENTO Y EVALUACIÓN'!O169=0,0,TEXT('SEGUIMIENTO Y EVALUACIÓN'!O169,"##.###")))</f>
        <v/>
      </c>
      <c r="Q169" s="209" t="str">
        <f>IF(FORMULACIÓN!R169&lt;&gt;"",FORMULACIÓN!R169,"")</f>
        <v/>
      </c>
      <c r="R169" s="209" t="str">
        <f>IF(FORMULACIÓN!S169&lt;&gt;"",FORMULACIÓN!S169,"")</f>
        <v/>
      </c>
      <c r="S169" s="209" t="str">
        <f>IF(FORMULACIÓN!T169&lt;&gt;"",FORMULACIÓN!T169,"")</f>
        <v/>
      </c>
      <c r="T169" s="42"/>
      <c r="U169" s="42"/>
      <c r="V169" s="42"/>
      <c r="W169" s="43" t="str">
        <f t="shared" si="18"/>
        <v/>
      </c>
      <c r="X169" s="42"/>
      <c r="Y169" s="42"/>
      <c r="Z169" s="42"/>
      <c r="AA169" s="43" t="str">
        <f t="shared" si="19"/>
        <v/>
      </c>
      <c r="AB169" s="42"/>
      <c r="AC169" s="42"/>
      <c r="AD169" s="42"/>
      <c r="AE169" s="43" t="str">
        <f t="shared" si="20"/>
        <v/>
      </c>
      <c r="AF169" s="42"/>
      <c r="AG169" s="42"/>
      <c r="AH169" s="42"/>
      <c r="AI169" s="46" t="str">
        <f t="shared" si="21"/>
        <v/>
      </c>
      <c r="AJ169" s="46" t="str">
        <f>IF(SUM(AA169,AE169,W169,AI169)=0,"",SUM((AA169,AE169,W169,AI169)))</f>
        <v/>
      </c>
      <c r="AK169"/>
      <c r="AL169" s="1" t="str">
        <f t="shared" si="25"/>
        <v/>
      </c>
      <c r="AM169" s="56" t="str">
        <f t="shared" si="23"/>
        <v/>
      </c>
      <c r="AN169" s="112" t="str">
        <f ca="1">IF($G169=Lists!$R$3,"T1: "&amp;TEXT(FORMULACIÓN!L169,"00,00%")&amp;CHAR(10)&amp;"T2: "&amp;TEXT(FORMULACIÓN!M169,"00,00%")&amp;CHAR(10)&amp;"T3: "&amp;TEXT(FORMULACIÓN!N169,"00,00%")&amp;CHAR(10)&amp;"Tn: "&amp;TEXT(FORMULACIÓN!O169,"00,00%"),IF(FORMULACIÓN!Q169=0,0,"T1: "&amp;TEXT(FORMULACIÓN!L169,"##.###")&amp;CHAR(10)&amp;"T2: "&amp;TEXT(FORMULACIÓN!M169,"##.###")&amp;CHAR(10)&amp;"T3: "&amp;TEXT(FORMULACIÓN!N169,"##.###")&amp;CHAR(10)&amp;"Tn: "&amp;TEXT(FORMULACIÓN!O169,"##.###")))</f>
        <v xml:space="preserve">T1: 
T2: 
T3: 
Tn: </v>
      </c>
      <c r="AO169" s="117" t="str">
        <f>IFERROR(IF($H169=Lists!$S$6,IF(AND(FORMULACIÓN!L169&gt;K169,K169&gt;0),1,0),IF((K169/FORMULACIÓN!L169)&lt;&gt;0,K169/FORMULACIÓN!L169,0)),"")</f>
        <v/>
      </c>
      <c r="AP169" s="117" t="str">
        <f>IFERROR(IF($H169=Lists!$S$6,IF(AND(FORMULACIÓN!M169&gt;L169,L169&gt;0),1,0),IF((L169/FORMULACIÓN!M169)&lt;&gt;0,L169/FORMULACIÓN!M169,0)),"")</f>
        <v/>
      </c>
      <c r="AQ169" s="117" t="str">
        <f>IFERROR(IF($H169=Lists!$S$6,IF(AND(FORMULACIÓN!N169&gt;M169,M169&gt;0),1,0),IF((M169/FORMULACIÓN!N169)&lt;&gt;0,M169/FORMULACIÓN!N169,0)),"")</f>
        <v/>
      </c>
      <c r="AR169" s="117" t="str">
        <f>IFERROR(IF($H169=Lists!$S$6,IF(AND(FORMULACIÓN!O169&gt;N169,N169&gt;0),1,0),IF((N169/FORMULACIÓN!O169)&lt;&gt;0,N169/FORMULACIÓN!O169,0)),"")</f>
        <v/>
      </c>
      <c r="AS169" s="110"/>
      <c r="AT169" s="118" t="str">
        <f ca="1">IF($H169=Lists!$S$6,TEXT(COUNTIF('SEGUIMIENTO Y EVALUACIÓN'!K169:N169,"&lt;"&amp;FORMULACIÓN!Q169),"##.###")&amp;" / "&amp;TEXT(COUNTIF('SEGUIMIENTO Y EVALUACIÓN'!K169:N169,"&gt;"&amp;0),"##.###"),IF($G169=Lists!$R$3,TEXT('SEGUIMIENTO Y EVALUACIÓN'!O169,"00,00%")&amp;" / "&amp;TEXT(FORMULACIÓN!P169,"00,00%"),IF('SEGUIMIENTO Y EVALUACIÓN'!O169=0,0,TEXT('SEGUIMIENTO Y EVALUACIÓN'!O169,"##.###")&amp;" / "&amp;TEXT(FORMULACIÓN!P169,"##.###"))))</f>
        <v xml:space="preserve"> / </v>
      </c>
      <c r="AU169" s="57">
        <f ca="1">IFERROR(IF((P169/FORMULACIÓN!Q169)&lt;&gt;0,IF($H169=Lists!$S$6,COUNTIF('SEGUIMIENTO Y EVALUACIÓN'!K169:N169,"&lt;"&amp;FORMULACIÓN!Q169),'SEGUIMIENTO Y EVALUACIÓN'!P169)/IF($H169=Lists!$S$6,COUNTIF('SEGUIMIENTO Y EVALUACIÓN'!K169:N169,"&gt;"&amp;0),FORMULACIÓN!P169),0),0)</f>
        <v>0</v>
      </c>
      <c r="AV169" s="93" t="str">
        <f t="shared" ca="1" si="24"/>
        <v/>
      </c>
      <c r="AW169" s="93" cm="1">
        <f t="array" ref="AW169">IF(INDEX(AO169:AU169,1,$AV$3)&gt;1,IF($AU$2=1,1,INDEX(AO169:AU169,1,$AV$3)),INDEX(AO169:AU169,1,$AV$3))</f>
        <v>1</v>
      </c>
      <c r="AX169"/>
      <c r="AY169" s="119" t="str">
        <f>IFERROR(IF((W169/FORMULACIÓN!X169)&lt;&gt;0,W169/FORMULACIÓN!X169,0),"")</f>
        <v/>
      </c>
      <c r="AZ169" s="119" t="str">
        <f>IFERROR(IF((AA169/FORMULACIÓN!AB169)&lt;&gt;0,AA169/FORMULACIÓN!AB169,0),"")</f>
        <v/>
      </c>
      <c r="BA169" s="119" t="str">
        <f>IFERROR(IF((AE169/FORMULACIÓN!AF169)&lt;&gt;0,(AE169/FORMULACIÓN!AF169),0),"")</f>
        <v/>
      </c>
      <c r="BB169" s="119" t="str">
        <f>IFERROR(IF((AI169/FORMULACIÓN!AJ169)&lt;&gt;0,AI169/FORMULACIÓN!AJ169,0),"")</f>
        <v/>
      </c>
      <c r="BC169" s="120" t="str">
        <f>IF('SEGUIMIENTO Y EVALUACIÓN'!AI169=0,0,TEXT('SEGUIMIENTO Y EVALUACIÓN'!AI169,"$ ##.###")&amp;" / "&amp;TEXT(FORMULACIÓN!AK169,"$ ##.###"))</f>
        <v xml:space="preserve"> / </v>
      </c>
      <c r="BD169" s="57">
        <f>IFERROR(IF((AJ169/FORMULACIÓN!AK169)&lt;&gt;0,AJ169/FORMULACIÓN!AK169,0),0)</f>
        <v>0</v>
      </c>
      <c r="CL169" s="7"/>
    </row>
    <row r="170" spans="1:90" s="1" customFormat="1" ht="99.95" customHeight="1">
      <c r="A170" s="45" t="str">
        <f>IF(FORMULACIÓN!A170="","",FORMULACIÓN!A170)</f>
        <v/>
      </c>
      <c r="B170" s="45" t="str">
        <f>IF(FORMULACIÓN!B170="","",FORMULACIÓN!B170)</f>
        <v/>
      </c>
      <c r="C170" s="45" t="str">
        <f>IF(FORMULACIÓN!E170="","",FORMULACIÓN!E170)</f>
        <v/>
      </c>
      <c r="D170" s="45" t="str">
        <f>IF(FORMULACIÓN!F170="","",FORMULACIÓN!F170)</f>
        <v/>
      </c>
      <c r="E170" s="45" t="str">
        <f>IF(FORMULACIÓN!G170="","",FORMULACIÓN!G170)</f>
        <v/>
      </c>
      <c r="F170" s="45" t="str">
        <f>IF(FORMULACIÓN!H170="","",FORMULACIÓN!H170)</f>
        <v/>
      </c>
      <c r="G170" s="45" t="str">
        <f>IF(FORMULACIÓN!I170="","",FORMULACIÓN!I170)</f>
        <v/>
      </c>
      <c r="H170" s="45" t="str">
        <f>IF(FORMULACIÓN!J170="","",FORMULACIÓN!J170)</f>
        <v/>
      </c>
      <c r="I170" s="188" t="str">
        <f ca="1">IF($G170=Lists!$R$3,"PDI: "&amp;TEXT(FORMULACIÓN!Q170,"00,00%")&amp;CHAR(10)&amp;CHAR(10)&amp;"T1: "&amp;TEXT(FORMULACIÓN!L170,"00,00%")&amp;CHAR(10)&amp;"T2: "&amp;TEXT(FORMULACIÓN!M170,"00,00%")&amp;CHAR(10)&amp;"T3: "&amp;TEXT(FORMULACIÓN!N170,"00,00%")&amp;CHAR(10)&amp;"Tn: "&amp;TEXT(FORMULACIÓN!O170,"00,00%"),IF(FORMULACIÓN!Q170=0,0,"PDI: "&amp;TEXT(FORMULACIÓN!Q170,"##.###")&amp;CHAR(10)&amp;CHAR(10)&amp;"T1: "&amp;TEXT(FORMULACIÓN!L170,"##.###")&amp;CHAR(10)&amp;"T2: "&amp;TEXT(FORMULACIÓN!M170,"##.###")&amp;CHAR(10)&amp;"T3: "&amp;TEXT(FORMULACIÓN!N170,"##.###")&amp;CHAR(10)&amp;"Tn: "&amp;TEXT(FORMULACIÓN!O170,"##.###")))</f>
        <v xml:space="preserve">PDI: 
T1: 
T2: 
T3: 
Tn: </v>
      </c>
      <c r="J170" s="122" t="str">
        <f>IF(FORMULACIÓN!K170&lt;&gt;"",FORMULACIÓN!K170,"")</f>
        <v/>
      </c>
      <c r="K170" s="58"/>
      <c r="L170" s="58"/>
      <c r="M170" s="58"/>
      <c r="N170" s="58"/>
      <c r="O170" s="47" t="str">
        <f ca="1">IFERROR(IF($H170=Lists!$S$2,SUM('SEGUIMIENTO Y EVALUACIÓN'!J170:N170),IF('SEGUIMIENTO Y EVALUACIÓN'!$H170=Lists!$S$3,SUM('SEGUIMIENTO Y EVALUACIÓN'!K170:N170),IF('SEGUIMIENTO Y EVALUACIÓN'!$H170=Lists!$S$4,AVERAGE('SEGUIMIENTO Y EVALUACIÓN'!K170:N170),IF('SEGUIMIENTO Y EVALUACIÓN'!$H170=Lists!$S$5,OFFSET(J170,0,COUNTA(K170:N170)),IF($H170=Lists!$S$6,COUNTIF(K170:N170,"&lt;"&amp;FORMULACIÓN!Q170)/COUNT('SEGUIMIENTO Y EVALUACIÓN'!K170:N170),""))))),"")</f>
        <v/>
      </c>
      <c r="P170" s="51" t="str">
        <f ca="1">IF($G170=Lists!$R$3,TEXT('SEGUIMIENTO Y EVALUACIÓN'!O170,"00,00%"),IF('SEGUIMIENTO Y EVALUACIÓN'!O170=0,0,TEXT('SEGUIMIENTO Y EVALUACIÓN'!O170,"##.###")))</f>
        <v/>
      </c>
      <c r="Q170" s="209" t="str">
        <f>IF(FORMULACIÓN!R170&lt;&gt;"",FORMULACIÓN!R170,"")</f>
        <v/>
      </c>
      <c r="R170" s="209" t="str">
        <f>IF(FORMULACIÓN!S170&lt;&gt;"",FORMULACIÓN!S170,"")</f>
        <v/>
      </c>
      <c r="S170" s="209" t="str">
        <f>IF(FORMULACIÓN!T170&lt;&gt;"",FORMULACIÓN!T170,"")</f>
        <v/>
      </c>
      <c r="T170" s="42"/>
      <c r="U170" s="42"/>
      <c r="V170" s="42"/>
      <c r="W170" s="43" t="str">
        <f t="shared" si="18"/>
        <v/>
      </c>
      <c r="X170" s="42"/>
      <c r="Y170" s="42"/>
      <c r="Z170" s="42"/>
      <c r="AA170" s="43" t="str">
        <f t="shared" si="19"/>
        <v/>
      </c>
      <c r="AB170" s="42"/>
      <c r="AC170" s="42"/>
      <c r="AD170" s="42"/>
      <c r="AE170" s="43" t="str">
        <f t="shared" si="20"/>
        <v/>
      </c>
      <c r="AF170" s="42"/>
      <c r="AG170" s="42"/>
      <c r="AH170" s="42"/>
      <c r="AI170" s="46" t="str">
        <f t="shared" si="21"/>
        <v/>
      </c>
      <c r="AJ170" s="46" t="str">
        <f>IF(SUM(AA170,AE170,W170,AI170)=0,"",SUM((AA170,AE170,W170,AI170)))</f>
        <v/>
      </c>
      <c r="AK170"/>
      <c r="AL170" s="1" t="str">
        <f t="shared" si="25"/>
        <v/>
      </c>
      <c r="AM170" s="56" t="str">
        <f t="shared" si="23"/>
        <v/>
      </c>
      <c r="AN170" s="112" t="str">
        <f ca="1">IF($G170=Lists!$R$3,"T1: "&amp;TEXT(FORMULACIÓN!L170,"00,00%")&amp;CHAR(10)&amp;"T2: "&amp;TEXT(FORMULACIÓN!M170,"00,00%")&amp;CHAR(10)&amp;"T3: "&amp;TEXT(FORMULACIÓN!N170,"00,00%")&amp;CHAR(10)&amp;"Tn: "&amp;TEXT(FORMULACIÓN!O170,"00,00%"),IF(FORMULACIÓN!Q170=0,0,"T1: "&amp;TEXT(FORMULACIÓN!L170,"##.###")&amp;CHAR(10)&amp;"T2: "&amp;TEXT(FORMULACIÓN!M170,"##.###")&amp;CHAR(10)&amp;"T3: "&amp;TEXT(FORMULACIÓN!N170,"##.###")&amp;CHAR(10)&amp;"Tn: "&amp;TEXT(FORMULACIÓN!O170,"##.###")))</f>
        <v xml:space="preserve">T1: 
T2: 
T3: 
Tn: </v>
      </c>
      <c r="AO170" s="117" t="str">
        <f>IFERROR(IF($H170=Lists!$S$6,IF(AND(FORMULACIÓN!L170&gt;K170,K170&gt;0),1,0),IF((K170/FORMULACIÓN!L170)&lt;&gt;0,K170/FORMULACIÓN!L170,0)),"")</f>
        <v/>
      </c>
      <c r="AP170" s="117" t="str">
        <f>IFERROR(IF($H170=Lists!$S$6,IF(AND(FORMULACIÓN!M170&gt;L170,L170&gt;0),1,0),IF((L170/FORMULACIÓN!M170)&lt;&gt;0,L170/FORMULACIÓN!M170,0)),"")</f>
        <v/>
      </c>
      <c r="AQ170" s="117" t="str">
        <f>IFERROR(IF($H170=Lists!$S$6,IF(AND(FORMULACIÓN!N170&gt;M170,M170&gt;0),1,0),IF((M170/FORMULACIÓN!N170)&lt;&gt;0,M170/FORMULACIÓN!N170,0)),"")</f>
        <v/>
      </c>
      <c r="AR170" s="117" t="str">
        <f>IFERROR(IF($H170=Lists!$S$6,IF(AND(FORMULACIÓN!O170&gt;N170,N170&gt;0),1,0),IF((N170/FORMULACIÓN!O170)&lt;&gt;0,N170/FORMULACIÓN!O170,0)),"")</f>
        <v/>
      </c>
      <c r="AS170" s="110"/>
      <c r="AT170" s="118" t="str">
        <f ca="1">IF($H170=Lists!$S$6,TEXT(COUNTIF('SEGUIMIENTO Y EVALUACIÓN'!K170:N170,"&lt;"&amp;FORMULACIÓN!Q170),"##.###")&amp;" / "&amp;TEXT(COUNTIF('SEGUIMIENTO Y EVALUACIÓN'!K170:N170,"&gt;"&amp;0),"##.###"),IF($G170=Lists!$R$3,TEXT('SEGUIMIENTO Y EVALUACIÓN'!O170,"00,00%")&amp;" / "&amp;TEXT(FORMULACIÓN!P170,"00,00%"),IF('SEGUIMIENTO Y EVALUACIÓN'!O170=0,0,TEXT('SEGUIMIENTO Y EVALUACIÓN'!O170,"##.###")&amp;" / "&amp;TEXT(FORMULACIÓN!P170,"##.###"))))</f>
        <v xml:space="preserve"> / </v>
      </c>
      <c r="AU170" s="57">
        <f ca="1">IFERROR(IF((P170/FORMULACIÓN!Q170)&lt;&gt;0,IF($H170=Lists!$S$6,COUNTIF('SEGUIMIENTO Y EVALUACIÓN'!K170:N170,"&lt;"&amp;FORMULACIÓN!Q170),'SEGUIMIENTO Y EVALUACIÓN'!P170)/IF($H170=Lists!$S$6,COUNTIF('SEGUIMIENTO Y EVALUACIÓN'!K170:N170,"&gt;"&amp;0),FORMULACIÓN!P170),0),0)</f>
        <v>0</v>
      </c>
      <c r="AV170" s="93" t="str">
        <f t="shared" ca="1" si="24"/>
        <v/>
      </c>
      <c r="AW170" s="93" cm="1">
        <f t="array" ref="AW170">IF(INDEX(AO170:AU170,1,$AV$3)&gt;1,IF($AU$2=1,1,INDEX(AO170:AU170,1,$AV$3)),INDEX(AO170:AU170,1,$AV$3))</f>
        <v>1</v>
      </c>
      <c r="AX170"/>
      <c r="AY170" s="119" t="str">
        <f>IFERROR(IF((W170/FORMULACIÓN!X170)&lt;&gt;0,W170/FORMULACIÓN!X170,0),"")</f>
        <v/>
      </c>
      <c r="AZ170" s="119" t="str">
        <f>IFERROR(IF((AA170/FORMULACIÓN!AB170)&lt;&gt;0,AA170/FORMULACIÓN!AB170,0),"")</f>
        <v/>
      </c>
      <c r="BA170" s="119" t="str">
        <f>IFERROR(IF((AE170/FORMULACIÓN!AF170)&lt;&gt;0,(AE170/FORMULACIÓN!AF170),0),"")</f>
        <v/>
      </c>
      <c r="BB170" s="119" t="str">
        <f>IFERROR(IF((AI170/FORMULACIÓN!AJ170)&lt;&gt;0,AI170/FORMULACIÓN!AJ170,0),"")</f>
        <v/>
      </c>
      <c r="BC170" s="120" t="str">
        <f>IF('SEGUIMIENTO Y EVALUACIÓN'!AI170=0,0,TEXT('SEGUIMIENTO Y EVALUACIÓN'!AI170,"$ ##.###")&amp;" / "&amp;TEXT(FORMULACIÓN!AK170,"$ ##.###"))</f>
        <v xml:space="preserve"> / </v>
      </c>
      <c r="BD170" s="57">
        <f>IFERROR(IF((AJ170/FORMULACIÓN!AK170)&lt;&gt;0,AJ170/FORMULACIÓN!AK170,0),0)</f>
        <v>0</v>
      </c>
      <c r="CL170" s="7"/>
    </row>
    <row r="171" spans="1:90" s="1" customFormat="1" ht="99.95" customHeight="1">
      <c r="A171" s="45" t="str">
        <f>IF(FORMULACIÓN!A171="","",FORMULACIÓN!A171)</f>
        <v/>
      </c>
      <c r="B171" s="45" t="str">
        <f>IF(FORMULACIÓN!B171="","",FORMULACIÓN!B171)</f>
        <v/>
      </c>
      <c r="C171" s="45" t="str">
        <f>IF(FORMULACIÓN!E171="","",FORMULACIÓN!E171)</f>
        <v/>
      </c>
      <c r="D171" s="45" t="str">
        <f>IF(FORMULACIÓN!F171="","",FORMULACIÓN!F171)</f>
        <v/>
      </c>
      <c r="E171" s="45" t="str">
        <f>IF(FORMULACIÓN!G171="","",FORMULACIÓN!G171)</f>
        <v/>
      </c>
      <c r="F171" s="45" t="str">
        <f>IF(FORMULACIÓN!H171="","",FORMULACIÓN!H171)</f>
        <v/>
      </c>
      <c r="G171" s="45" t="str">
        <f>IF(FORMULACIÓN!I171="","",FORMULACIÓN!I171)</f>
        <v/>
      </c>
      <c r="H171" s="45" t="str">
        <f>IF(FORMULACIÓN!J171="","",FORMULACIÓN!J171)</f>
        <v/>
      </c>
      <c r="I171" s="188" t="str">
        <f ca="1">IF($G171=Lists!$R$3,"PDI: "&amp;TEXT(FORMULACIÓN!Q171,"00,00%")&amp;CHAR(10)&amp;CHAR(10)&amp;"T1: "&amp;TEXT(FORMULACIÓN!L171,"00,00%")&amp;CHAR(10)&amp;"T2: "&amp;TEXT(FORMULACIÓN!M171,"00,00%")&amp;CHAR(10)&amp;"T3: "&amp;TEXT(FORMULACIÓN!N171,"00,00%")&amp;CHAR(10)&amp;"Tn: "&amp;TEXT(FORMULACIÓN!O171,"00,00%"),IF(FORMULACIÓN!Q171=0,0,"PDI: "&amp;TEXT(FORMULACIÓN!Q171,"##.###")&amp;CHAR(10)&amp;CHAR(10)&amp;"T1: "&amp;TEXT(FORMULACIÓN!L171,"##.###")&amp;CHAR(10)&amp;"T2: "&amp;TEXT(FORMULACIÓN!M171,"##.###")&amp;CHAR(10)&amp;"T3: "&amp;TEXT(FORMULACIÓN!N171,"##.###")&amp;CHAR(10)&amp;"Tn: "&amp;TEXT(FORMULACIÓN!O171,"##.###")))</f>
        <v xml:space="preserve">PDI: 
T1: 
T2: 
T3: 
Tn: </v>
      </c>
      <c r="J171" s="122" t="str">
        <f>IF(FORMULACIÓN!K171&lt;&gt;"",FORMULACIÓN!K171,"")</f>
        <v/>
      </c>
      <c r="K171" s="58"/>
      <c r="L171" s="58"/>
      <c r="M171" s="58"/>
      <c r="N171" s="58"/>
      <c r="O171" s="47" t="str">
        <f ca="1">IFERROR(IF($H171=Lists!$S$2,SUM('SEGUIMIENTO Y EVALUACIÓN'!J171:N171),IF('SEGUIMIENTO Y EVALUACIÓN'!$H171=Lists!$S$3,SUM('SEGUIMIENTO Y EVALUACIÓN'!K171:N171),IF('SEGUIMIENTO Y EVALUACIÓN'!$H171=Lists!$S$4,AVERAGE('SEGUIMIENTO Y EVALUACIÓN'!K171:N171),IF('SEGUIMIENTO Y EVALUACIÓN'!$H171=Lists!$S$5,OFFSET(J171,0,COUNTA(K171:N171)),IF($H171=Lists!$S$6,COUNTIF(K171:N171,"&lt;"&amp;FORMULACIÓN!Q171)/COUNT('SEGUIMIENTO Y EVALUACIÓN'!K171:N171),""))))),"")</f>
        <v/>
      </c>
      <c r="P171" s="51" t="str">
        <f ca="1">IF($G171=Lists!$R$3,TEXT('SEGUIMIENTO Y EVALUACIÓN'!O171,"00,00%"),IF('SEGUIMIENTO Y EVALUACIÓN'!O171=0,0,TEXT('SEGUIMIENTO Y EVALUACIÓN'!O171,"##.###")))</f>
        <v/>
      </c>
      <c r="Q171" s="209" t="str">
        <f>IF(FORMULACIÓN!R171&lt;&gt;"",FORMULACIÓN!R171,"")</f>
        <v/>
      </c>
      <c r="R171" s="209" t="str">
        <f>IF(FORMULACIÓN!S171&lt;&gt;"",FORMULACIÓN!S171,"")</f>
        <v/>
      </c>
      <c r="S171" s="209" t="str">
        <f>IF(FORMULACIÓN!T171&lt;&gt;"",FORMULACIÓN!T171,"")</f>
        <v/>
      </c>
      <c r="T171" s="42"/>
      <c r="U171" s="42"/>
      <c r="V171" s="42"/>
      <c r="W171" s="43" t="str">
        <f t="shared" si="18"/>
        <v/>
      </c>
      <c r="X171" s="42"/>
      <c r="Y171" s="42"/>
      <c r="Z171" s="42"/>
      <c r="AA171" s="43" t="str">
        <f t="shared" si="19"/>
        <v/>
      </c>
      <c r="AB171" s="42"/>
      <c r="AC171" s="42"/>
      <c r="AD171" s="42"/>
      <c r="AE171" s="43" t="str">
        <f t="shared" si="20"/>
        <v/>
      </c>
      <c r="AF171" s="42"/>
      <c r="AG171" s="42"/>
      <c r="AH171" s="42"/>
      <c r="AI171" s="46" t="str">
        <f t="shared" si="21"/>
        <v/>
      </c>
      <c r="AJ171" s="46" t="str">
        <f>IF(SUM(AA171,AE171,W171,AI171)=0,"",SUM((AA171,AE171,W171,AI171)))</f>
        <v/>
      </c>
      <c r="AK171"/>
      <c r="AL171" s="1" t="str">
        <f t="shared" si="25"/>
        <v/>
      </c>
      <c r="AM171" s="56" t="str">
        <f t="shared" si="23"/>
        <v/>
      </c>
      <c r="AN171" s="112" t="str">
        <f ca="1">IF($G171=Lists!$R$3,"T1: "&amp;TEXT(FORMULACIÓN!L171,"00,00%")&amp;CHAR(10)&amp;"T2: "&amp;TEXT(FORMULACIÓN!M171,"00,00%")&amp;CHAR(10)&amp;"T3: "&amp;TEXT(FORMULACIÓN!N171,"00,00%")&amp;CHAR(10)&amp;"Tn: "&amp;TEXT(FORMULACIÓN!O171,"00,00%"),IF(FORMULACIÓN!Q171=0,0,"T1: "&amp;TEXT(FORMULACIÓN!L171,"##.###")&amp;CHAR(10)&amp;"T2: "&amp;TEXT(FORMULACIÓN!M171,"##.###")&amp;CHAR(10)&amp;"T3: "&amp;TEXT(FORMULACIÓN!N171,"##.###")&amp;CHAR(10)&amp;"Tn: "&amp;TEXT(FORMULACIÓN!O171,"##.###")))</f>
        <v xml:space="preserve">T1: 
T2: 
T3: 
Tn: </v>
      </c>
      <c r="AO171" s="117" t="str">
        <f>IFERROR(IF($H171=Lists!$S$6,IF(AND(FORMULACIÓN!L171&gt;K171,K171&gt;0),1,0),IF((K171/FORMULACIÓN!L171)&lt;&gt;0,K171/FORMULACIÓN!L171,0)),"")</f>
        <v/>
      </c>
      <c r="AP171" s="117" t="str">
        <f>IFERROR(IF($H171=Lists!$S$6,IF(AND(FORMULACIÓN!M171&gt;L171,L171&gt;0),1,0),IF((L171/FORMULACIÓN!M171)&lt;&gt;0,L171/FORMULACIÓN!M171,0)),"")</f>
        <v/>
      </c>
      <c r="AQ171" s="117" t="str">
        <f>IFERROR(IF($H171=Lists!$S$6,IF(AND(FORMULACIÓN!N171&gt;M171,M171&gt;0),1,0),IF((M171/FORMULACIÓN!N171)&lt;&gt;0,M171/FORMULACIÓN!N171,0)),"")</f>
        <v/>
      </c>
      <c r="AR171" s="117" t="str">
        <f>IFERROR(IF($H171=Lists!$S$6,IF(AND(FORMULACIÓN!O171&gt;N171,N171&gt;0),1,0),IF((N171/FORMULACIÓN!O171)&lt;&gt;0,N171/FORMULACIÓN!O171,0)),"")</f>
        <v/>
      </c>
      <c r="AS171" s="110"/>
      <c r="AT171" s="118" t="str">
        <f ca="1">IF($H171=Lists!$S$6,TEXT(COUNTIF('SEGUIMIENTO Y EVALUACIÓN'!K171:N171,"&lt;"&amp;FORMULACIÓN!Q171),"##.###")&amp;" / "&amp;TEXT(COUNTIF('SEGUIMIENTO Y EVALUACIÓN'!K171:N171,"&gt;"&amp;0),"##.###"),IF($G171=Lists!$R$3,TEXT('SEGUIMIENTO Y EVALUACIÓN'!O171,"00,00%")&amp;" / "&amp;TEXT(FORMULACIÓN!P171,"00,00%"),IF('SEGUIMIENTO Y EVALUACIÓN'!O171=0,0,TEXT('SEGUIMIENTO Y EVALUACIÓN'!O171,"##.###")&amp;" / "&amp;TEXT(FORMULACIÓN!P171,"##.###"))))</f>
        <v xml:space="preserve"> / </v>
      </c>
      <c r="AU171" s="57">
        <f ca="1">IFERROR(IF((P171/FORMULACIÓN!Q171)&lt;&gt;0,IF($H171=Lists!$S$6,COUNTIF('SEGUIMIENTO Y EVALUACIÓN'!K171:N171,"&lt;"&amp;FORMULACIÓN!Q171),'SEGUIMIENTO Y EVALUACIÓN'!P171)/IF($H171=Lists!$S$6,COUNTIF('SEGUIMIENTO Y EVALUACIÓN'!K171:N171,"&gt;"&amp;0),FORMULACIÓN!P171),0),0)</f>
        <v>0</v>
      </c>
      <c r="AV171" s="93" t="str">
        <f t="shared" ca="1" si="24"/>
        <v/>
      </c>
      <c r="AW171" s="93" cm="1">
        <f t="array" ref="AW171">IF(INDEX(AO171:AU171,1,$AV$3)&gt;1,IF($AU$2=1,1,INDEX(AO171:AU171,1,$AV$3)),INDEX(AO171:AU171,1,$AV$3))</f>
        <v>1</v>
      </c>
      <c r="AX171"/>
      <c r="AY171" s="119" t="str">
        <f>IFERROR(IF((W171/FORMULACIÓN!X171)&lt;&gt;0,W171/FORMULACIÓN!X171,0),"")</f>
        <v/>
      </c>
      <c r="AZ171" s="119" t="str">
        <f>IFERROR(IF((AA171/FORMULACIÓN!AB171)&lt;&gt;0,AA171/FORMULACIÓN!AB171,0),"")</f>
        <v/>
      </c>
      <c r="BA171" s="119" t="str">
        <f>IFERROR(IF((AE171/FORMULACIÓN!AF171)&lt;&gt;0,(AE171/FORMULACIÓN!AF171),0),"")</f>
        <v/>
      </c>
      <c r="BB171" s="119" t="str">
        <f>IFERROR(IF((AI171/FORMULACIÓN!AJ171)&lt;&gt;0,AI171/FORMULACIÓN!AJ171,0),"")</f>
        <v/>
      </c>
      <c r="BC171" s="120" t="str">
        <f>IF('SEGUIMIENTO Y EVALUACIÓN'!AI171=0,0,TEXT('SEGUIMIENTO Y EVALUACIÓN'!AI171,"$ ##.###")&amp;" / "&amp;TEXT(FORMULACIÓN!AK171,"$ ##.###"))</f>
        <v xml:space="preserve"> / </v>
      </c>
      <c r="BD171" s="57">
        <f>IFERROR(IF((AJ171/FORMULACIÓN!AK171)&lt;&gt;0,AJ171/FORMULACIÓN!AK171,0),0)</f>
        <v>0</v>
      </c>
      <c r="CL171" s="7"/>
    </row>
    <row r="172" spans="1:90" s="1" customFormat="1" ht="99.95" customHeight="1">
      <c r="A172" s="45" t="str">
        <f>IF(FORMULACIÓN!A172="","",FORMULACIÓN!A172)</f>
        <v/>
      </c>
      <c r="B172" s="45" t="str">
        <f>IF(FORMULACIÓN!B172="","",FORMULACIÓN!B172)</f>
        <v/>
      </c>
      <c r="C172" s="45" t="str">
        <f>IF(FORMULACIÓN!E172="","",FORMULACIÓN!E172)</f>
        <v/>
      </c>
      <c r="D172" s="45" t="str">
        <f>IF(FORMULACIÓN!F172="","",FORMULACIÓN!F172)</f>
        <v/>
      </c>
      <c r="E172" s="45" t="str">
        <f>IF(FORMULACIÓN!G172="","",FORMULACIÓN!G172)</f>
        <v/>
      </c>
      <c r="F172" s="45" t="str">
        <f>IF(FORMULACIÓN!H172="","",FORMULACIÓN!H172)</f>
        <v/>
      </c>
      <c r="G172" s="45" t="str">
        <f>IF(FORMULACIÓN!I172="","",FORMULACIÓN!I172)</f>
        <v/>
      </c>
      <c r="H172" s="45" t="str">
        <f>IF(FORMULACIÓN!J172="","",FORMULACIÓN!J172)</f>
        <v/>
      </c>
      <c r="I172" s="188" t="str">
        <f ca="1">IF($G172=Lists!$R$3,"PDI: "&amp;TEXT(FORMULACIÓN!Q172,"00,00%")&amp;CHAR(10)&amp;CHAR(10)&amp;"T1: "&amp;TEXT(FORMULACIÓN!L172,"00,00%")&amp;CHAR(10)&amp;"T2: "&amp;TEXT(FORMULACIÓN!M172,"00,00%")&amp;CHAR(10)&amp;"T3: "&amp;TEXT(FORMULACIÓN!N172,"00,00%")&amp;CHAR(10)&amp;"Tn: "&amp;TEXT(FORMULACIÓN!O172,"00,00%"),IF(FORMULACIÓN!Q172=0,0,"PDI: "&amp;TEXT(FORMULACIÓN!Q172,"##.###")&amp;CHAR(10)&amp;CHAR(10)&amp;"T1: "&amp;TEXT(FORMULACIÓN!L172,"##.###")&amp;CHAR(10)&amp;"T2: "&amp;TEXT(FORMULACIÓN!M172,"##.###")&amp;CHAR(10)&amp;"T3: "&amp;TEXT(FORMULACIÓN!N172,"##.###")&amp;CHAR(10)&amp;"Tn: "&amp;TEXT(FORMULACIÓN!O172,"##.###")))</f>
        <v xml:space="preserve">PDI: 
T1: 
T2: 
T3: 
Tn: </v>
      </c>
      <c r="J172" s="122" t="str">
        <f>IF(FORMULACIÓN!K172&lt;&gt;"",FORMULACIÓN!K172,"")</f>
        <v/>
      </c>
      <c r="K172" s="58"/>
      <c r="L172" s="58"/>
      <c r="M172" s="58"/>
      <c r="N172" s="58"/>
      <c r="O172" s="47" t="str">
        <f ca="1">IFERROR(IF($H172=Lists!$S$2,SUM('SEGUIMIENTO Y EVALUACIÓN'!J172:N172),IF('SEGUIMIENTO Y EVALUACIÓN'!$H172=Lists!$S$3,SUM('SEGUIMIENTO Y EVALUACIÓN'!K172:N172),IF('SEGUIMIENTO Y EVALUACIÓN'!$H172=Lists!$S$4,AVERAGE('SEGUIMIENTO Y EVALUACIÓN'!K172:N172),IF('SEGUIMIENTO Y EVALUACIÓN'!$H172=Lists!$S$5,OFFSET(J172,0,COUNTA(K172:N172)),IF($H172=Lists!$S$6,COUNTIF(K172:N172,"&lt;"&amp;FORMULACIÓN!Q172)/COUNT('SEGUIMIENTO Y EVALUACIÓN'!K172:N172),""))))),"")</f>
        <v/>
      </c>
      <c r="P172" s="51" t="str">
        <f ca="1">IF($G172=Lists!$R$3,TEXT('SEGUIMIENTO Y EVALUACIÓN'!O172,"00,00%"),IF('SEGUIMIENTO Y EVALUACIÓN'!O172=0,0,TEXT('SEGUIMIENTO Y EVALUACIÓN'!O172,"##.###")))</f>
        <v/>
      </c>
      <c r="Q172" s="209" t="str">
        <f>IF(FORMULACIÓN!R172&lt;&gt;"",FORMULACIÓN!R172,"")</f>
        <v/>
      </c>
      <c r="R172" s="209" t="str">
        <f>IF(FORMULACIÓN!S172&lt;&gt;"",FORMULACIÓN!S172,"")</f>
        <v/>
      </c>
      <c r="S172" s="209" t="str">
        <f>IF(FORMULACIÓN!T172&lt;&gt;"",FORMULACIÓN!T172,"")</f>
        <v/>
      </c>
      <c r="T172" s="42"/>
      <c r="U172" s="42"/>
      <c r="V172" s="42"/>
      <c r="W172" s="43" t="str">
        <f t="shared" si="18"/>
        <v/>
      </c>
      <c r="X172" s="42"/>
      <c r="Y172" s="42"/>
      <c r="Z172" s="42"/>
      <c r="AA172" s="43" t="str">
        <f t="shared" si="19"/>
        <v/>
      </c>
      <c r="AB172" s="42"/>
      <c r="AC172" s="42"/>
      <c r="AD172" s="42"/>
      <c r="AE172" s="43" t="str">
        <f t="shared" si="20"/>
        <v/>
      </c>
      <c r="AF172" s="42"/>
      <c r="AG172" s="42"/>
      <c r="AH172" s="42"/>
      <c r="AI172" s="46" t="str">
        <f t="shared" si="21"/>
        <v/>
      </c>
      <c r="AJ172" s="46" t="str">
        <f>IF(SUM(AA172,AE172,W172,AI172)=0,"",SUM((AA172,AE172,W172,AI172)))</f>
        <v/>
      </c>
      <c r="AK172"/>
      <c r="AL172" s="1" t="str">
        <f t="shared" si="25"/>
        <v/>
      </c>
      <c r="AM172" s="56" t="str">
        <f t="shared" ref="AM172:AM205" si="26">E172</f>
        <v/>
      </c>
      <c r="AN172" s="112" t="str">
        <f ca="1">IF($G172=Lists!$R$3,"T1: "&amp;TEXT(FORMULACIÓN!L172,"00,00%")&amp;CHAR(10)&amp;"T2: "&amp;TEXT(FORMULACIÓN!M172,"00,00%")&amp;CHAR(10)&amp;"T3: "&amp;TEXT(FORMULACIÓN!N172,"00,00%")&amp;CHAR(10)&amp;"Tn: "&amp;TEXT(FORMULACIÓN!O172,"00,00%"),IF(FORMULACIÓN!Q172=0,0,"T1: "&amp;TEXT(FORMULACIÓN!L172,"##.###")&amp;CHAR(10)&amp;"T2: "&amp;TEXT(FORMULACIÓN!M172,"##.###")&amp;CHAR(10)&amp;"T3: "&amp;TEXT(FORMULACIÓN!N172,"##.###")&amp;CHAR(10)&amp;"Tn: "&amp;TEXT(FORMULACIÓN!O172,"##.###")))</f>
        <v xml:space="preserve">T1: 
T2: 
T3: 
Tn: </v>
      </c>
      <c r="AO172" s="117" t="str">
        <f>IFERROR(IF($H172=Lists!$S$6,IF(AND(FORMULACIÓN!L172&gt;K172,K172&gt;0),1,0),IF((K172/FORMULACIÓN!L172)&lt;&gt;0,K172/FORMULACIÓN!L172,0)),"")</f>
        <v/>
      </c>
      <c r="AP172" s="117" t="str">
        <f>IFERROR(IF($H172=Lists!$S$6,IF(AND(FORMULACIÓN!M172&gt;L172,L172&gt;0),1,0),IF((L172/FORMULACIÓN!M172)&lt;&gt;0,L172/FORMULACIÓN!M172,0)),"")</f>
        <v/>
      </c>
      <c r="AQ172" s="117" t="str">
        <f>IFERROR(IF($H172=Lists!$S$6,IF(AND(FORMULACIÓN!N172&gt;M172,M172&gt;0),1,0),IF((M172/FORMULACIÓN!N172)&lt;&gt;0,M172/FORMULACIÓN!N172,0)),"")</f>
        <v/>
      </c>
      <c r="AR172" s="117" t="str">
        <f>IFERROR(IF($H172=Lists!$S$6,IF(AND(FORMULACIÓN!O172&gt;N172,N172&gt;0),1,0),IF((N172/FORMULACIÓN!O172)&lt;&gt;0,N172/FORMULACIÓN!O172,0)),"")</f>
        <v/>
      </c>
      <c r="AS172" s="110"/>
      <c r="AT172" s="118" t="str">
        <f ca="1">IF($H172=Lists!$S$6,TEXT(COUNTIF('SEGUIMIENTO Y EVALUACIÓN'!K172:N172,"&lt;"&amp;FORMULACIÓN!Q172),"##.###")&amp;" / "&amp;TEXT(COUNTIF('SEGUIMIENTO Y EVALUACIÓN'!K172:N172,"&gt;"&amp;0),"##.###"),IF($G172=Lists!$R$3,TEXT('SEGUIMIENTO Y EVALUACIÓN'!O172,"00,00%")&amp;" / "&amp;TEXT(FORMULACIÓN!P172,"00,00%"),IF('SEGUIMIENTO Y EVALUACIÓN'!O172=0,0,TEXT('SEGUIMIENTO Y EVALUACIÓN'!O172,"##.###")&amp;" / "&amp;TEXT(FORMULACIÓN!P172,"##.###"))))</f>
        <v xml:space="preserve"> / </v>
      </c>
      <c r="AU172" s="57">
        <f ca="1">IFERROR(IF((P172/FORMULACIÓN!Q172)&lt;&gt;0,IF($H172=Lists!$S$6,COUNTIF('SEGUIMIENTO Y EVALUACIÓN'!K172:N172,"&lt;"&amp;FORMULACIÓN!Q172),'SEGUIMIENTO Y EVALUACIÓN'!P172)/IF($H172=Lists!$S$6,COUNTIF('SEGUIMIENTO Y EVALUACIÓN'!K172:N172,"&gt;"&amp;0),FORMULACIÓN!P172),0),0)</f>
        <v>0</v>
      </c>
      <c r="AV172" s="93" t="str">
        <f t="shared" ca="1" si="24"/>
        <v/>
      </c>
      <c r="AW172" s="93" cm="1">
        <f t="array" ref="AW172">IF(INDEX(AO172:AU172,1,$AV$3)&gt;1,IF($AU$2=1,1,INDEX(AO172:AU172,1,$AV$3)),INDEX(AO172:AU172,1,$AV$3))</f>
        <v>1</v>
      </c>
      <c r="AX172"/>
      <c r="AY172" s="119" t="str">
        <f>IFERROR(IF((W172/FORMULACIÓN!X172)&lt;&gt;0,W172/FORMULACIÓN!X172,0),"")</f>
        <v/>
      </c>
      <c r="AZ172" s="119" t="str">
        <f>IFERROR(IF((AA172/FORMULACIÓN!AB172)&lt;&gt;0,AA172/FORMULACIÓN!AB172,0),"")</f>
        <v/>
      </c>
      <c r="BA172" s="119" t="str">
        <f>IFERROR(IF((AE172/FORMULACIÓN!AF172)&lt;&gt;0,(AE172/FORMULACIÓN!AF172),0),"")</f>
        <v/>
      </c>
      <c r="BB172" s="119" t="str">
        <f>IFERROR(IF((AI172/FORMULACIÓN!AJ172)&lt;&gt;0,AI172/FORMULACIÓN!AJ172,0),"")</f>
        <v/>
      </c>
      <c r="BC172" s="120" t="str">
        <f>IF('SEGUIMIENTO Y EVALUACIÓN'!AI172=0,0,TEXT('SEGUIMIENTO Y EVALUACIÓN'!AI172,"$ ##.###")&amp;" / "&amp;TEXT(FORMULACIÓN!AK172,"$ ##.###"))</f>
        <v xml:space="preserve"> / </v>
      </c>
      <c r="BD172" s="57">
        <f>IFERROR(IF((AJ172/FORMULACIÓN!AK172)&lt;&gt;0,AJ172/FORMULACIÓN!AK172,0),0)</f>
        <v>0</v>
      </c>
      <c r="CL172" s="7"/>
    </row>
    <row r="173" spans="1:90" s="1" customFormat="1" ht="99.95" customHeight="1">
      <c r="A173" s="45" t="str">
        <f>IF(FORMULACIÓN!A173="","",FORMULACIÓN!A173)</f>
        <v/>
      </c>
      <c r="B173" s="45" t="str">
        <f>IF(FORMULACIÓN!B173="","",FORMULACIÓN!B173)</f>
        <v/>
      </c>
      <c r="C173" s="45" t="str">
        <f>IF(FORMULACIÓN!E173="","",FORMULACIÓN!E173)</f>
        <v/>
      </c>
      <c r="D173" s="45" t="str">
        <f>IF(FORMULACIÓN!F173="","",FORMULACIÓN!F173)</f>
        <v/>
      </c>
      <c r="E173" s="45" t="str">
        <f>IF(FORMULACIÓN!G173="","",FORMULACIÓN!G173)</f>
        <v/>
      </c>
      <c r="F173" s="45" t="str">
        <f>IF(FORMULACIÓN!H173="","",FORMULACIÓN!H173)</f>
        <v/>
      </c>
      <c r="G173" s="45" t="str">
        <f>IF(FORMULACIÓN!I173="","",FORMULACIÓN!I173)</f>
        <v/>
      </c>
      <c r="H173" s="45" t="str">
        <f>IF(FORMULACIÓN!J173="","",FORMULACIÓN!J173)</f>
        <v/>
      </c>
      <c r="I173" s="188" t="str">
        <f ca="1">IF($G173=Lists!$R$3,"PDI: "&amp;TEXT(FORMULACIÓN!Q173,"00,00%")&amp;CHAR(10)&amp;CHAR(10)&amp;"T1: "&amp;TEXT(FORMULACIÓN!L173,"00,00%")&amp;CHAR(10)&amp;"T2: "&amp;TEXT(FORMULACIÓN!M173,"00,00%")&amp;CHAR(10)&amp;"T3: "&amp;TEXT(FORMULACIÓN!N173,"00,00%")&amp;CHAR(10)&amp;"Tn: "&amp;TEXT(FORMULACIÓN!O173,"00,00%"),IF(FORMULACIÓN!Q173=0,0,"PDI: "&amp;TEXT(FORMULACIÓN!Q173,"##.###")&amp;CHAR(10)&amp;CHAR(10)&amp;"T1: "&amp;TEXT(FORMULACIÓN!L173,"##.###")&amp;CHAR(10)&amp;"T2: "&amp;TEXT(FORMULACIÓN!M173,"##.###")&amp;CHAR(10)&amp;"T3: "&amp;TEXT(FORMULACIÓN!N173,"##.###")&amp;CHAR(10)&amp;"Tn: "&amp;TEXT(FORMULACIÓN!O173,"##.###")))</f>
        <v xml:space="preserve">PDI: 
T1: 
T2: 
T3: 
Tn: </v>
      </c>
      <c r="J173" s="122" t="str">
        <f>IF(FORMULACIÓN!K173&lt;&gt;"",FORMULACIÓN!K173,"")</f>
        <v/>
      </c>
      <c r="K173" s="58"/>
      <c r="L173" s="58"/>
      <c r="M173" s="58"/>
      <c r="N173" s="58"/>
      <c r="O173" s="47" t="str">
        <f ca="1">IFERROR(IF($H173=Lists!$S$2,SUM('SEGUIMIENTO Y EVALUACIÓN'!J173:N173),IF('SEGUIMIENTO Y EVALUACIÓN'!$H173=Lists!$S$3,SUM('SEGUIMIENTO Y EVALUACIÓN'!K173:N173),IF('SEGUIMIENTO Y EVALUACIÓN'!$H173=Lists!$S$4,AVERAGE('SEGUIMIENTO Y EVALUACIÓN'!K173:N173),IF('SEGUIMIENTO Y EVALUACIÓN'!$H173=Lists!$S$5,OFFSET(J173,0,COUNTA(K173:N173)),IF($H173=Lists!$S$6,COUNTIF(K173:N173,"&lt;"&amp;FORMULACIÓN!Q173)/COUNT('SEGUIMIENTO Y EVALUACIÓN'!K173:N173),""))))),"")</f>
        <v/>
      </c>
      <c r="P173" s="51" t="str">
        <f ca="1">IF($G173=Lists!$R$3,TEXT('SEGUIMIENTO Y EVALUACIÓN'!O173,"00,00%"),IF('SEGUIMIENTO Y EVALUACIÓN'!O173=0,0,TEXT('SEGUIMIENTO Y EVALUACIÓN'!O173,"##.###")))</f>
        <v/>
      </c>
      <c r="Q173" s="209" t="str">
        <f>IF(FORMULACIÓN!R173&lt;&gt;"",FORMULACIÓN!R173,"")</f>
        <v/>
      </c>
      <c r="R173" s="209" t="str">
        <f>IF(FORMULACIÓN!S173&lt;&gt;"",FORMULACIÓN!S173,"")</f>
        <v/>
      </c>
      <c r="S173" s="209" t="str">
        <f>IF(FORMULACIÓN!T173&lt;&gt;"",FORMULACIÓN!T173,"")</f>
        <v/>
      </c>
      <c r="T173" s="42"/>
      <c r="U173" s="42"/>
      <c r="V173" s="42"/>
      <c r="W173" s="43" t="str">
        <f t="shared" si="18"/>
        <v/>
      </c>
      <c r="X173" s="42"/>
      <c r="Y173" s="42"/>
      <c r="Z173" s="42"/>
      <c r="AA173" s="43" t="str">
        <f t="shared" si="19"/>
        <v/>
      </c>
      <c r="AB173" s="42"/>
      <c r="AC173" s="42"/>
      <c r="AD173" s="42"/>
      <c r="AE173" s="43" t="str">
        <f t="shared" si="20"/>
        <v/>
      </c>
      <c r="AF173" s="42"/>
      <c r="AG173" s="42"/>
      <c r="AH173" s="42"/>
      <c r="AI173" s="46" t="str">
        <f t="shared" si="21"/>
        <v/>
      </c>
      <c r="AJ173" s="46" t="str">
        <f>IF(SUM(AA173,AE173,W173,AI173)=0,"",SUM((AA173,AE173,W173,AI173)))</f>
        <v/>
      </c>
      <c r="AK173"/>
      <c r="AL173" s="1" t="str">
        <f t="shared" si="25"/>
        <v/>
      </c>
      <c r="AM173" s="56" t="str">
        <f t="shared" si="26"/>
        <v/>
      </c>
      <c r="AN173" s="112" t="str">
        <f ca="1">IF($G173=Lists!$R$3,"T1: "&amp;TEXT(FORMULACIÓN!L173,"00,00%")&amp;CHAR(10)&amp;"T2: "&amp;TEXT(FORMULACIÓN!M173,"00,00%")&amp;CHAR(10)&amp;"T3: "&amp;TEXT(FORMULACIÓN!N173,"00,00%")&amp;CHAR(10)&amp;"Tn: "&amp;TEXT(FORMULACIÓN!O173,"00,00%"),IF(FORMULACIÓN!Q173=0,0,"T1: "&amp;TEXT(FORMULACIÓN!L173,"##.###")&amp;CHAR(10)&amp;"T2: "&amp;TEXT(FORMULACIÓN!M173,"##.###")&amp;CHAR(10)&amp;"T3: "&amp;TEXT(FORMULACIÓN!N173,"##.###")&amp;CHAR(10)&amp;"Tn: "&amp;TEXT(FORMULACIÓN!O173,"##.###")))</f>
        <v xml:space="preserve">T1: 
T2: 
T3: 
Tn: </v>
      </c>
      <c r="AO173" s="117" t="str">
        <f>IFERROR(IF($H173=Lists!$S$6,IF(AND(FORMULACIÓN!L173&gt;K173,K173&gt;0),1,0),IF((K173/FORMULACIÓN!L173)&lt;&gt;0,K173/FORMULACIÓN!L173,0)),"")</f>
        <v/>
      </c>
      <c r="AP173" s="117" t="str">
        <f>IFERROR(IF($H173=Lists!$S$6,IF(AND(FORMULACIÓN!M173&gt;L173,L173&gt;0),1,0),IF((L173/FORMULACIÓN!M173)&lt;&gt;0,L173/FORMULACIÓN!M173,0)),"")</f>
        <v/>
      </c>
      <c r="AQ173" s="117" t="str">
        <f>IFERROR(IF($H173=Lists!$S$6,IF(AND(FORMULACIÓN!N173&gt;M173,M173&gt;0),1,0),IF((M173/FORMULACIÓN!N173)&lt;&gt;0,M173/FORMULACIÓN!N173,0)),"")</f>
        <v/>
      </c>
      <c r="AR173" s="117" t="str">
        <f>IFERROR(IF($H173=Lists!$S$6,IF(AND(FORMULACIÓN!O173&gt;N173,N173&gt;0),1,0),IF((N173/FORMULACIÓN!O173)&lt;&gt;0,N173/FORMULACIÓN!O173,0)),"")</f>
        <v/>
      </c>
      <c r="AS173" s="110"/>
      <c r="AT173" s="118" t="str">
        <f ca="1">IF($H173=Lists!$S$6,TEXT(COUNTIF('SEGUIMIENTO Y EVALUACIÓN'!K173:N173,"&lt;"&amp;FORMULACIÓN!Q173),"##.###")&amp;" / "&amp;TEXT(COUNTIF('SEGUIMIENTO Y EVALUACIÓN'!K173:N173,"&gt;"&amp;0),"##.###"),IF($G173=Lists!$R$3,TEXT('SEGUIMIENTO Y EVALUACIÓN'!O173,"00,00%")&amp;" / "&amp;TEXT(FORMULACIÓN!P173,"00,00%"),IF('SEGUIMIENTO Y EVALUACIÓN'!O173=0,0,TEXT('SEGUIMIENTO Y EVALUACIÓN'!O173,"##.###")&amp;" / "&amp;TEXT(FORMULACIÓN!P173,"##.###"))))</f>
        <v xml:space="preserve"> / </v>
      </c>
      <c r="AU173" s="57">
        <f ca="1">IFERROR(IF((P173/FORMULACIÓN!Q173)&lt;&gt;0,IF($H173=Lists!$S$6,COUNTIF('SEGUIMIENTO Y EVALUACIÓN'!K173:N173,"&lt;"&amp;FORMULACIÓN!Q173),'SEGUIMIENTO Y EVALUACIÓN'!P173)/IF($H173=Lists!$S$6,COUNTIF('SEGUIMIENTO Y EVALUACIÓN'!K173:N173,"&gt;"&amp;0),FORMULACIÓN!P173),0),0)</f>
        <v>0</v>
      </c>
      <c r="AV173" s="93" t="str">
        <f t="shared" ca="1" si="24"/>
        <v/>
      </c>
      <c r="AW173" s="93" cm="1">
        <f t="array" ref="AW173">IF(INDEX(AO173:AU173,1,$AV$3)&gt;1,IF($AU$2=1,1,INDEX(AO173:AU173,1,$AV$3)),INDEX(AO173:AU173,1,$AV$3))</f>
        <v>1</v>
      </c>
      <c r="AX173"/>
      <c r="AY173" s="119" t="str">
        <f>IFERROR(IF((W173/FORMULACIÓN!X173)&lt;&gt;0,W173/FORMULACIÓN!X173,0),"")</f>
        <v/>
      </c>
      <c r="AZ173" s="119" t="str">
        <f>IFERROR(IF((AA173/FORMULACIÓN!AB173)&lt;&gt;0,AA173/FORMULACIÓN!AB173,0),"")</f>
        <v/>
      </c>
      <c r="BA173" s="119" t="str">
        <f>IFERROR(IF((AE173/FORMULACIÓN!AF173)&lt;&gt;0,(AE173/FORMULACIÓN!AF173),0),"")</f>
        <v/>
      </c>
      <c r="BB173" s="119" t="str">
        <f>IFERROR(IF((AI173/FORMULACIÓN!AJ173)&lt;&gt;0,AI173/FORMULACIÓN!AJ173,0),"")</f>
        <v/>
      </c>
      <c r="BC173" s="120" t="str">
        <f>IF('SEGUIMIENTO Y EVALUACIÓN'!AI173=0,0,TEXT('SEGUIMIENTO Y EVALUACIÓN'!AI173,"$ ##.###")&amp;" / "&amp;TEXT(FORMULACIÓN!AK173,"$ ##.###"))</f>
        <v xml:space="preserve"> / </v>
      </c>
      <c r="BD173" s="57">
        <f>IFERROR(IF((AJ173/FORMULACIÓN!AK173)&lt;&gt;0,AJ173/FORMULACIÓN!AK173,0),0)</f>
        <v>0</v>
      </c>
      <c r="CL173" s="7"/>
    </row>
    <row r="174" spans="1:90" s="1" customFormat="1" ht="99.95" customHeight="1">
      <c r="A174" s="45" t="str">
        <f>IF(FORMULACIÓN!A174="","",FORMULACIÓN!A174)</f>
        <v/>
      </c>
      <c r="B174" s="45" t="str">
        <f>IF(FORMULACIÓN!B174="","",FORMULACIÓN!B174)</f>
        <v/>
      </c>
      <c r="C174" s="45" t="str">
        <f>IF(FORMULACIÓN!E174="","",FORMULACIÓN!E174)</f>
        <v/>
      </c>
      <c r="D174" s="45" t="str">
        <f>IF(FORMULACIÓN!F174="","",FORMULACIÓN!F174)</f>
        <v/>
      </c>
      <c r="E174" s="45" t="str">
        <f>IF(FORMULACIÓN!G174="","",FORMULACIÓN!G174)</f>
        <v/>
      </c>
      <c r="F174" s="45" t="str">
        <f>IF(FORMULACIÓN!H174="","",FORMULACIÓN!H174)</f>
        <v/>
      </c>
      <c r="G174" s="45" t="str">
        <f>IF(FORMULACIÓN!I174="","",FORMULACIÓN!I174)</f>
        <v/>
      </c>
      <c r="H174" s="45" t="str">
        <f>IF(FORMULACIÓN!J174="","",FORMULACIÓN!J174)</f>
        <v/>
      </c>
      <c r="I174" s="188" t="str">
        <f ca="1">IF($G174=Lists!$R$3,"PDI: "&amp;TEXT(FORMULACIÓN!Q174,"00,00%")&amp;CHAR(10)&amp;CHAR(10)&amp;"T1: "&amp;TEXT(FORMULACIÓN!L174,"00,00%")&amp;CHAR(10)&amp;"T2: "&amp;TEXT(FORMULACIÓN!M174,"00,00%")&amp;CHAR(10)&amp;"T3: "&amp;TEXT(FORMULACIÓN!N174,"00,00%")&amp;CHAR(10)&amp;"Tn: "&amp;TEXT(FORMULACIÓN!O174,"00,00%"),IF(FORMULACIÓN!Q174=0,0,"PDI: "&amp;TEXT(FORMULACIÓN!Q174,"##.###")&amp;CHAR(10)&amp;CHAR(10)&amp;"T1: "&amp;TEXT(FORMULACIÓN!L174,"##.###")&amp;CHAR(10)&amp;"T2: "&amp;TEXT(FORMULACIÓN!M174,"##.###")&amp;CHAR(10)&amp;"T3: "&amp;TEXT(FORMULACIÓN!N174,"##.###")&amp;CHAR(10)&amp;"Tn: "&amp;TEXT(FORMULACIÓN!O174,"##.###")))</f>
        <v xml:space="preserve">PDI: 
T1: 
T2: 
T3: 
Tn: </v>
      </c>
      <c r="J174" s="122" t="str">
        <f>IF(FORMULACIÓN!K174&lt;&gt;"",FORMULACIÓN!K174,"")</f>
        <v/>
      </c>
      <c r="K174" s="58"/>
      <c r="L174" s="58"/>
      <c r="M174" s="58"/>
      <c r="N174" s="58"/>
      <c r="O174" s="47" t="str">
        <f ca="1">IFERROR(IF($H174=Lists!$S$2,SUM('SEGUIMIENTO Y EVALUACIÓN'!J174:N174),IF('SEGUIMIENTO Y EVALUACIÓN'!$H174=Lists!$S$3,SUM('SEGUIMIENTO Y EVALUACIÓN'!K174:N174),IF('SEGUIMIENTO Y EVALUACIÓN'!$H174=Lists!$S$4,AVERAGE('SEGUIMIENTO Y EVALUACIÓN'!K174:N174),IF('SEGUIMIENTO Y EVALUACIÓN'!$H174=Lists!$S$5,OFFSET(J174,0,COUNTA(K174:N174)),IF($H174=Lists!$S$6,COUNTIF(K174:N174,"&lt;"&amp;FORMULACIÓN!Q174)/COUNT('SEGUIMIENTO Y EVALUACIÓN'!K174:N174),""))))),"")</f>
        <v/>
      </c>
      <c r="P174" s="51" t="str">
        <f ca="1">IF($G174=Lists!$R$3,TEXT('SEGUIMIENTO Y EVALUACIÓN'!O174,"00,00%"),IF('SEGUIMIENTO Y EVALUACIÓN'!O174=0,0,TEXT('SEGUIMIENTO Y EVALUACIÓN'!O174,"##.###")))</f>
        <v/>
      </c>
      <c r="Q174" s="209" t="str">
        <f>IF(FORMULACIÓN!R174&lt;&gt;"",FORMULACIÓN!R174,"")</f>
        <v/>
      </c>
      <c r="R174" s="209" t="str">
        <f>IF(FORMULACIÓN!S174&lt;&gt;"",FORMULACIÓN!S174,"")</f>
        <v/>
      </c>
      <c r="S174" s="209" t="str">
        <f>IF(FORMULACIÓN!T174&lt;&gt;"",FORMULACIÓN!T174,"")</f>
        <v/>
      </c>
      <c r="T174" s="42"/>
      <c r="U174" s="42"/>
      <c r="V174" s="42"/>
      <c r="W174" s="43" t="str">
        <f t="shared" si="18"/>
        <v/>
      </c>
      <c r="X174" s="42"/>
      <c r="Y174" s="42"/>
      <c r="Z174" s="42"/>
      <c r="AA174" s="43" t="str">
        <f t="shared" si="19"/>
        <v/>
      </c>
      <c r="AB174" s="42"/>
      <c r="AC174" s="42"/>
      <c r="AD174" s="42"/>
      <c r="AE174" s="43" t="str">
        <f t="shared" si="20"/>
        <v/>
      </c>
      <c r="AF174" s="42"/>
      <c r="AG174" s="42"/>
      <c r="AH174" s="42"/>
      <c r="AI174" s="46" t="str">
        <f t="shared" si="21"/>
        <v/>
      </c>
      <c r="AJ174" s="46" t="str">
        <f>IF(SUM(AA174,AE174,W174,AI174)=0,"",SUM((AA174,AE174,W174,AI174)))</f>
        <v/>
      </c>
      <c r="AK174"/>
      <c r="AL174" s="1" t="str">
        <f t="shared" si="25"/>
        <v/>
      </c>
      <c r="AM174" s="56" t="str">
        <f t="shared" si="26"/>
        <v/>
      </c>
      <c r="AN174" s="112" t="str">
        <f ca="1">IF($G174=Lists!$R$3,"T1: "&amp;TEXT(FORMULACIÓN!L174,"00,00%")&amp;CHAR(10)&amp;"T2: "&amp;TEXT(FORMULACIÓN!M174,"00,00%")&amp;CHAR(10)&amp;"T3: "&amp;TEXT(FORMULACIÓN!N174,"00,00%")&amp;CHAR(10)&amp;"Tn: "&amp;TEXT(FORMULACIÓN!O174,"00,00%"),IF(FORMULACIÓN!Q174=0,0,"T1: "&amp;TEXT(FORMULACIÓN!L174,"##.###")&amp;CHAR(10)&amp;"T2: "&amp;TEXT(FORMULACIÓN!M174,"##.###")&amp;CHAR(10)&amp;"T3: "&amp;TEXT(FORMULACIÓN!N174,"##.###")&amp;CHAR(10)&amp;"Tn: "&amp;TEXT(FORMULACIÓN!O174,"##.###")))</f>
        <v xml:space="preserve">T1: 
T2: 
T3: 
Tn: </v>
      </c>
      <c r="AO174" s="117" t="str">
        <f>IFERROR(IF($H174=Lists!$S$6,IF(AND(FORMULACIÓN!L174&gt;K174,K174&gt;0),1,0),IF((K174/FORMULACIÓN!L174)&lt;&gt;0,K174/FORMULACIÓN!L174,0)),"")</f>
        <v/>
      </c>
      <c r="AP174" s="117" t="str">
        <f>IFERROR(IF($H174=Lists!$S$6,IF(AND(FORMULACIÓN!M174&gt;L174,L174&gt;0),1,0),IF((L174/FORMULACIÓN!M174)&lt;&gt;0,L174/FORMULACIÓN!M174,0)),"")</f>
        <v/>
      </c>
      <c r="AQ174" s="117" t="str">
        <f>IFERROR(IF($H174=Lists!$S$6,IF(AND(FORMULACIÓN!N174&gt;M174,M174&gt;0),1,0),IF((M174/FORMULACIÓN!N174)&lt;&gt;0,M174/FORMULACIÓN!N174,0)),"")</f>
        <v/>
      </c>
      <c r="AR174" s="117" t="str">
        <f>IFERROR(IF($H174=Lists!$S$6,IF(AND(FORMULACIÓN!O174&gt;N174,N174&gt;0),1,0),IF((N174/FORMULACIÓN!O174)&lt;&gt;0,N174/FORMULACIÓN!O174,0)),"")</f>
        <v/>
      </c>
      <c r="AS174" s="110"/>
      <c r="AT174" s="118" t="str">
        <f ca="1">IF($H174=Lists!$S$6,TEXT(COUNTIF('SEGUIMIENTO Y EVALUACIÓN'!K174:N174,"&lt;"&amp;FORMULACIÓN!Q174),"##.###")&amp;" / "&amp;TEXT(COUNTIF('SEGUIMIENTO Y EVALUACIÓN'!K174:N174,"&gt;"&amp;0),"##.###"),IF($G174=Lists!$R$3,TEXT('SEGUIMIENTO Y EVALUACIÓN'!O174,"00,00%")&amp;" / "&amp;TEXT(FORMULACIÓN!P174,"00,00%"),IF('SEGUIMIENTO Y EVALUACIÓN'!O174=0,0,TEXT('SEGUIMIENTO Y EVALUACIÓN'!O174,"##.###")&amp;" / "&amp;TEXT(FORMULACIÓN!P174,"##.###"))))</f>
        <v xml:space="preserve"> / </v>
      </c>
      <c r="AU174" s="57">
        <f ca="1">IFERROR(IF((P174/FORMULACIÓN!Q174)&lt;&gt;0,IF($H174=Lists!$S$6,COUNTIF('SEGUIMIENTO Y EVALUACIÓN'!K174:N174,"&lt;"&amp;FORMULACIÓN!Q174),'SEGUIMIENTO Y EVALUACIÓN'!P174)/IF($H174=Lists!$S$6,COUNTIF('SEGUIMIENTO Y EVALUACIÓN'!K174:N174,"&gt;"&amp;0),FORMULACIÓN!P174),0),0)</f>
        <v>0</v>
      </c>
      <c r="AV174" s="93" t="str">
        <f t="shared" ca="1" si="24"/>
        <v/>
      </c>
      <c r="AW174" s="93" cm="1">
        <f t="array" ref="AW174">IF(INDEX(AO174:AU174,1,$AV$3)&gt;1,IF($AU$2=1,1,INDEX(AO174:AU174,1,$AV$3)),INDEX(AO174:AU174,1,$AV$3))</f>
        <v>1</v>
      </c>
      <c r="AX174"/>
      <c r="AY174" s="119" t="str">
        <f>IFERROR(IF((W174/FORMULACIÓN!X174)&lt;&gt;0,W174/FORMULACIÓN!X174,0),"")</f>
        <v/>
      </c>
      <c r="AZ174" s="119" t="str">
        <f>IFERROR(IF((AA174/FORMULACIÓN!AB174)&lt;&gt;0,AA174/FORMULACIÓN!AB174,0),"")</f>
        <v/>
      </c>
      <c r="BA174" s="119" t="str">
        <f>IFERROR(IF((AE174/FORMULACIÓN!AF174)&lt;&gt;0,(AE174/FORMULACIÓN!AF174),0),"")</f>
        <v/>
      </c>
      <c r="BB174" s="119" t="str">
        <f>IFERROR(IF((AI174/FORMULACIÓN!AJ174)&lt;&gt;0,AI174/FORMULACIÓN!AJ174,0),"")</f>
        <v/>
      </c>
      <c r="BC174" s="120" t="str">
        <f>IF('SEGUIMIENTO Y EVALUACIÓN'!AI174=0,0,TEXT('SEGUIMIENTO Y EVALUACIÓN'!AI174,"$ ##.###")&amp;" / "&amp;TEXT(FORMULACIÓN!AK174,"$ ##.###"))</f>
        <v xml:space="preserve"> / </v>
      </c>
      <c r="BD174" s="57">
        <f>IFERROR(IF((AJ174/FORMULACIÓN!AK174)&lt;&gt;0,AJ174/FORMULACIÓN!AK174,0),0)</f>
        <v>0</v>
      </c>
      <c r="CL174" s="7"/>
    </row>
    <row r="175" spans="1:90" s="1" customFormat="1" ht="99.95" customHeight="1">
      <c r="A175" s="45" t="str">
        <f>IF(FORMULACIÓN!A175="","",FORMULACIÓN!A175)</f>
        <v/>
      </c>
      <c r="B175" s="45" t="str">
        <f>IF(FORMULACIÓN!B175="","",FORMULACIÓN!B175)</f>
        <v/>
      </c>
      <c r="C175" s="45" t="str">
        <f>IF(FORMULACIÓN!E175="","",FORMULACIÓN!E175)</f>
        <v/>
      </c>
      <c r="D175" s="45" t="str">
        <f>IF(FORMULACIÓN!F175="","",FORMULACIÓN!F175)</f>
        <v/>
      </c>
      <c r="E175" s="45" t="str">
        <f>IF(FORMULACIÓN!G175="","",FORMULACIÓN!G175)</f>
        <v/>
      </c>
      <c r="F175" s="45" t="str">
        <f>IF(FORMULACIÓN!H175="","",FORMULACIÓN!H175)</f>
        <v/>
      </c>
      <c r="G175" s="45" t="str">
        <f>IF(FORMULACIÓN!I175="","",FORMULACIÓN!I175)</f>
        <v/>
      </c>
      <c r="H175" s="45" t="str">
        <f>IF(FORMULACIÓN!J175="","",FORMULACIÓN!J175)</f>
        <v/>
      </c>
      <c r="I175" s="188" t="str">
        <f ca="1">IF($G175=Lists!$R$3,"PDI: "&amp;TEXT(FORMULACIÓN!Q175,"00,00%")&amp;CHAR(10)&amp;CHAR(10)&amp;"T1: "&amp;TEXT(FORMULACIÓN!L175,"00,00%")&amp;CHAR(10)&amp;"T2: "&amp;TEXT(FORMULACIÓN!M175,"00,00%")&amp;CHAR(10)&amp;"T3: "&amp;TEXT(FORMULACIÓN!N175,"00,00%")&amp;CHAR(10)&amp;"Tn: "&amp;TEXT(FORMULACIÓN!O175,"00,00%"),IF(FORMULACIÓN!Q175=0,0,"PDI: "&amp;TEXT(FORMULACIÓN!Q175,"##.###")&amp;CHAR(10)&amp;CHAR(10)&amp;"T1: "&amp;TEXT(FORMULACIÓN!L175,"##.###")&amp;CHAR(10)&amp;"T2: "&amp;TEXT(FORMULACIÓN!M175,"##.###")&amp;CHAR(10)&amp;"T3: "&amp;TEXT(FORMULACIÓN!N175,"##.###")&amp;CHAR(10)&amp;"Tn: "&amp;TEXT(FORMULACIÓN!O175,"##.###")))</f>
        <v xml:space="preserve">PDI: 
T1: 
T2: 
T3: 
Tn: </v>
      </c>
      <c r="J175" s="122" t="str">
        <f>IF(FORMULACIÓN!K175&lt;&gt;"",FORMULACIÓN!K175,"")</f>
        <v/>
      </c>
      <c r="K175" s="58"/>
      <c r="L175" s="58"/>
      <c r="M175" s="58"/>
      <c r="N175" s="58"/>
      <c r="O175" s="47" t="str">
        <f ca="1">IFERROR(IF($H175=Lists!$S$2,SUM('SEGUIMIENTO Y EVALUACIÓN'!J175:N175),IF('SEGUIMIENTO Y EVALUACIÓN'!$H175=Lists!$S$3,SUM('SEGUIMIENTO Y EVALUACIÓN'!K175:N175),IF('SEGUIMIENTO Y EVALUACIÓN'!$H175=Lists!$S$4,AVERAGE('SEGUIMIENTO Y EVALUACIÓN'!K175:N175),IF('SEGUIMIENTO Y EVALUACIÓN'!$H175=Lists!$S$5,OFFSET(J175,0,COUNTA(K175:N175)),IF($H175=Lists!$S$6,COUNTIF(K175:N175,"&lt;"&amp;FORMULACIÓN!Q175)/COUNT('SEGUIMIENTO Y EVALUACIÓN'!K175:N175),""))))),"")</f>
        <v/>
      </c>
      <c r="P175" s="51" t="str">
        <f ca="1">IF($G175=Lists!$R$3,TEXT('SEGUIMIENTO Y EVALUACIÓN'!O175,"00,00%"),IF('SEGUIMIENTO Y EVALUACIÓN'!O175=0,0,TEXT('SEGUIMIENTO Y EVALUACIÓN'!O175,"##.###")))</f>
        <v/>
      </c>
      <c r="Q175" s="209" t="str">
        <f>IF(FORMULACIÓN!R175&lt;&gt;"",FORMULACIÓN!R175,"")</f>
        <v/>
      </c>
      <c r="R175" s="209" t="str">
        <f>IF(FORMULACIÓN!S175&lt;&gt;"",FORMULACIÓN!S175,"")</f>
        <v/>
      </c>
      <c r="S175" s="209" t="str">
        <f>IF(FORMULACIÓN!T175&lt;&gt;"",FORMULACIÓN!T175,"")</f>
        <v/>
      </c>
      <c r="T175" s="42"/>
      <c r="U175" s="42"/>
      <c r="V175" s="42"/>
      <c r="W175" s="43" t="str">
        <f t="shared" si="18"/>
        <v/>
      </c>
      <c r="X175" s="42"/>
      <c r="Y175" s="42"/>
      <c r="Z175" s="42"/>
      <c r="AA175" s="43" t="str">
        <f t="shared" si="19"/>
        <v/>
      </c>
      <c r="AB175" s="42"/>
      <c r="AC175" s="42"/>
      <c r="AD175" s="42"/>
      <c r="AE175" s="43" t="str">
        <f t="shared" si="20"/>
        <v/>
      </c>
      <c r="AF175" s="42"/>
      <c r="AG175" s="42"/>
      <c r="AH175" s="42"/>
      <c r="AI175" s="46" t="str">
        <f t="shared" si="21"/>
        <v/>
      </c>
      <c r="AJ175" s="46" t="str">
        <f>IF(SUM(AA175,AE175,W175,AI175)=0,"",SUM((AA175,AE175,W175,AI175)))</f>
        <v/>
      </c>
      <c r="AK175"/>
      <c r="AL175" s="1" t="str">
        <f t="shared" si="25"/>
        <v/>
      </c>
      <c r="AM175" s="56" t="str">
        <f t="shared" si="26"/>
        <v/>
      </c>
      <c r="AN175" s="112" t="str">
        <f ca="1">IF($G175=Lists!$R$3,"T1: "&amp;TEXT(FORMULACIÓN!L175,"00,00%")&amp;CHAR(10)&amp;"T2: "&amp;TEXT(FORMULACIÓN!M175,"00,00%")&amp;CHAR(10)&amp;"T3: "&amp;TEXT(FORMULACIÓN!N175,"00,00%")&amp;CHAR(10)&amp;"Tn: "&amp;TEXT(FORMULACIÓN!O175,"00,00%"),IF(FORMULACIÓN!Q175=0,0,"T1: "&amp;TEXT(FORMULACIÓN!L175,"##.###")&amp;CHAR(10)&amp;"T2: "&amp;TEXT(FORMULACIÓN!M175,"##.###")&amp;CHAR(10)&amp;"T3: "&amp;TEXT(FORMULACIÓN!N175,"##.###")&amp;CHAR(10)&amp;"Tn: "&amp;TEXT(FORMULACIÓN!O175,"##.###")))</f>
        <v xml:space="preserve">T1: 
T2: 
T3: 
Tn: </v>
      </c>
      <c r="AO175" s="117" t="str">
        <f>IFERROR(IF($H175=Lists!$S$6,IF(AND(FORMULACIÓN!L175&gt;K175,K175&gt;0),1,0),IF((K175/FORMULACIÓN!L175)&lt;&gt;0,K175/FORMULACIÓN!L175,0)),"")</f>
        <v/>
      </c>
      <c r="AP175" s="117" t="str">
        <f>IFERROR(IF($H175=Lists!$S$6,IF(AND(FORMULACIÓN!M175&gt;L175,L175&gt;0),1,0),IF((L175/FORMULACIÓN!M175)&lt;&gt;0,L175/FORMULACIÓN!M175,0)),"")</f>
        <v/>
      </c>
      <c r="AQ175" s="117" t="str">
        <f>IFERROR(IF($H175=Lists!$S$6,IF(AND(FORMULACIÓN!N175&gt;M175,M175&gt;0),1,0),IF((M175/FORMULACIÓN!N175)&lt;&gt;0,M175/FORMULACIÓN!N175,0)),"")</f>
        <v/>
      </c>
      <c r="AR175" s="117" t="str">
        <f>IFERROR(IF($H175=Lists!$S$6,IF(AND(FORMULACIÓN!O175&gt;N175,N175&gt;0),1,0),IF((N175/FORMULACIÓN!O175)&lt;&gt;0,N175/FORMULACIÓN!O175,0)),"")</f>
        <v/>
      </c>
      <c r="AS175" s="110"/>
      <c r="AT175" s="118" t="str">
        <f ca="1">IF($H175=Lists!$S$6,TEXT(COUNTIF('SEGUIMIENTO Y EVALUACIÓN'!K175:N175,"&lt;"&amp;FORMULACIÓN!Q175),"##.###")&amp;" / "&amp;TEXT(COUNTIF('SEGUIMIENTO Y EVALUACIÓN'!K175:N175,"&gt;"&amp;0),"##.###"),IF($G175=Lists!$R$3,TEXT('SEGUIMIENTO Y EVALUACIÓN'!O175,"00,00%")&amp;" / "&amp;TEXT(FORMULACIÓN!P175,"00,00%"),IF('SEGUIMIENTO Y EVALUACIÓN'!O175=0,0,TEXT('SEGUIMIENTO Y EVALUACIÓN'!O175,"##.###")&amp;" / "&amp;TEXT(FORMULACIÓN!P175,"##.###"))))</f>
        <v xml:space="preserve"> / </v>
      </c>
      <c r="AU175" s="57">
        <f ca="1">IFERROR(IF((P175/FORMULACIÓN!Q175)&lt;&gt;0,IF($H175=Lists!$S$6,COUNTIF('SEGUIMIENTO Y EVALUACIÓN'!K175:N175,"&lt;"&amp;FORMULACIÓN!Q175),'SEGUIMIENTO Y EVALUACIÓN'!P175)/IF($H175=Lists!$S$6,COUNTIF('SEGUIMIENTO Y EVALUACIÓN'!K175:N175,"&gt;"&amp;0),FORMULACIÓN!P175),0),0)</f>
        <v>0</v>
      </c>
      <c r="AV175" s="93" t="str">
        <f t="shared" ca="1" si="24"/>
        <v/>
      </c>
      <c r="AW175" s="93" cm="1">
        <f t="array" ref="AW175">IF(INDEX(AO175:AU175,1,$AV$3)&gt;1,IF($AU$2=1,1,INDEX(AO175:AU175,1,$AV$3)),INDEX(AO175:AU175,1,$AV$3))</f>
        <v>1</v>
      </c>
      <c r="AX175"/>
      <c r="AY175" s="119" t="str">
        <f>IFERROR(IF((W175/FORMULACIÓN!X175)&lt;&gt;0,W175/FORMULACIÓN!X175,0),"")</f>
        <v/>
      </c>
      <c r="AZ175" s="119" t="str">
        <f>IFERROR(IF((AA175/FORMULACIÓN!AB175)&lt;&gt;0,AA175/FORMULACIÓN!AB175,0),"")</f>
        <v/>
      </c>
      <c r="BA175" s="119" t="str">
        <f>IFERROR(IF((AE175/FORMULACIÓN!AF175)&lt;&gt;0,(AE175/FORMULACIÓN!AF175),0),"")</f>
        <v/>
      </c>
      <c r="BB175" s="119" t="str">
        <f>IFERROR(IF((AI175/FORMULACIÓN!AJ175)&lt;&gt;0,AI175/FORMULACIÓN!AJ175,0),"")</f>
        <v/>
      </c>
      <c r="BC175" s="120" t="str">
        <f>IF('SEGUIMIENTO Y EVALUACIÓN'!AI175=0,0,TEXT('SEGUIMIENTO Y EVALUACIÓN'!AI175,"$ ##.###")&amp;" / "&amp;TEXT(FORMULACIÓN!AK175,"$ ##.###"))</f>
        <v xml:space="preserve"> / </v>
      </c>
      <c r="BD175" s="57">
        <f>IFERROR(IF((AJ175/FORMULACIÓN!AK175)&lt;&gt;0,AJ175/FORMULACIÓN!AK175,0),0)</f>
        <v>0</v>
      </c>
      <c r="CL175" s="7"/>
    </row>
    <row r="176" spans="1:90" s="1" customFormat="1" ht="99.95" customHeight="1">
      <c r="A176" s="45" t="str">
        <f>IF(FORMULACIÓN!A176="","",FORMULACIÓN!A176)</f>
        <v/>
      </c>
      <c r="B176" s="45" t="str">
        <f>IF(FORMULACIÓN!B176="","",FORMULACIÓN!B176)</f>
        <v/>
      </c>
      <c r="C176" s="45" t="str">
        <f>IF(FORMULACIÓN!E176="","",FORMULACIÓN!E176)</f>
        <v/>
      </c>
      <c r="D176" s="45" t="str">
        <f>IF(FORMULACIÓN!F176="","",FORMULACIÓN!F176)</f>
        <v/>
      </c>
      <c r="E176" s="45" t="str">
        <f>IF(FORMULACIÓN!G176="","",FORMULACIÓN!G176)</f>
        <v/>
      </c>
      <c r="F176" s="45" t="str">
        <f>IF(FORMULACIÓN!H176="","",FORMULACIÓN!H176)</f>
        <v/>
      </c>
      <c r="G176" s="45" t="str">
        <f>IF(FORMULACIÓN!I176="","",FORMULACIÓN!I176)</f>
        <v/>
      </c>
      <c r="H176" s="45" t="str">
        <f>IF(FORMULACIÓN!J176="","",FORMULACIÓN!J176)</f>
        <v/>
      </c>
      <c r="I176" s="188" t="str">
        <f ca="1">IF($G176=Lists!$R$3,"PDI: "&amp;TEXT(FORMULACIÓN!Q176,"00,00%")&amp;CHAR(10)&amp;CHAR(10)&amp;"T1: "&amp;TEXT(FORMULACIÓN!L176,"00,00%")&amp;CHAR(10)&amp;"T2: "&amp;TEXT(FORMULACIÓN!M176,"00,00%")&amp;CHAR(10)&amp;"T3: "&amp;TEXT(FORMULACIÓN!N176,"00,00%")&amp;CHAR(10)&amp;"Tn: "&amp;TEXT(FORMULACIÓN!O176,"00,00%"),IF(FORMULACIÓN!Q176=0,0,"PDI: "&amp;TEXT(FORMULACIÓN!Q176,"##.###")&amp;CHAR(10)&amp;CHAR(10)&amp;"T1: "&amp;TEXT(FORMULACIÓN!L176,"##.###")&amp;CHAR(10)&amp;"T2: "&amp;TEXT(FORMULACIÓN!M176,"##.###")&amp;CHAR(10)&amp;"T3: "&amp;TEXT(FORMULACIÓN!N176,"##.###")&amp;CHAR(10)&amp;"Tn: "&amp;TEXT(FORMULACIÓN!O176,"##.###")))</f>
        <v xml:space="preserve">PDI: 
T1: 
T2: 
T3: 
Tn: </v>
      </c>
      <c r="J176" s="122" t="str">
        <f>IF(FORMULACIÓN!K176&lt;&gt;"",FORMULACIÓN!K176,"")</f>
        <v/>
      </c>
      <c r="K176" s="58"/>
      <c r="L176" s="58"/>
      <c r="M176" s="58"/>
      <c r="N176" s="58"/>
      <c r="O176" s="47" t="str">
        <f ca="1">IFERROR(IF($H176=Lists!$S$2,SUM('SEGUIMIENTO Y EVALUACIÓN'!J176:N176),IF('SEGUIMIENTO Y EVALUACIÓN'!$H176=Lists!$S$3,SUM('SEGUIMIENTO Y EVALUACIÓN'!K176:N176),IF('SEGUIMIENTO Y EVALUACIÓN'!$H176=Lists!$S$4,AVERAGE('SEGUIMIENTO Y EVALUACIÓN'!K176:N176),IF('SEGUIMIENTO Y EVALUACIÓN'!$H176=Lists!$S$5,OFFSET(J176,0,COUNTA(K176:N176)),IF($H176=Lists!$S$6,COUNTIF(K176:N176,"&lt;"&amp;FORMULACIÓN!Q176)/COUNT('SEGUIMIENTO Y EVALUACIÓN'!K176:N176),""))))),"")</f>
        <v/>
      </c>
      <c r="P176" s="51" t="str">
        <f ca="1">IF($G176=Lists!$R$3,TEXT('SEGUIMIENTO Y EVALUACIÓN'!O176,"00,00%"),IF('SEGUIMIENTO Y EVALUACIÓN'!O176=0,0,TEXT('SEGUIMIENTO Y EVALUACIÓN'!O176,"##.###")))</f>
        <v/>
      </c>
      <c r="Q176" s="209" t="str">
        <f>IF(FORMULACIÓN!R176&lt;&gt;"",FORMULACIÓN!R176,"")</f>
        <v/>
      </c>
      <c r="R176" s="209" t="str">
        <f>IF(FORMULACIÓN!S176&lt;&gt;"",FORMULACIÓN!S176,"")</f>
        <v/>
      </c>
      <c r="S176" s="209" t="str">
        <f>IF(FORMULACIÓN!T176&lt;&gt;"",FORMULACIÓN!T176,"")</f>
        <v/>
      </c>
      <c r="T176" s="42"/>
      <c r="U176" s="42"/>
      <c r="V176" s="42"/>
      <c r="W176" s="43" t="str">
        <f t="shared" si="18"/>
        <v/>
      </c>
      <c r="X176" s="42"/>
      <c r="Y176" s="42"/>
      <c r="Z176" s="42"/>
      <c r="AA176" s="43" t="str">
        <f t="shared" si="19"/>
        <v/>
      </c>
      <c r="AB176" s="42"/>
      <c r="AC176" s="42"/>
      <c r="AD176" s="42"/>
      <c r="AE176" s="43" t="str">
        <f t="shared" si="20"/>
        <v/>
      </c>
      <c r="AF176" s="42"/>
      <c r="AG176" s="42"/>
      <c r="AH176" s="42"/>
      <c r="AI176" s="46" t="str">
        <f t="shared" si="21"/>
        <v/>
      </c>
      <c r="AJ176" s="46" t="str">
        <f>IF(SUM(AA176,AE176,W176,AI176)=0,"",SUM((AA176,AE176,W176,AI176)))</f>
        <v/>
      </c>
      <c r="AK176"/>
      <c r="AL176" s="1" t="str">
        <f t="shared" si="25"/>
        <v/>
      </c>
      <c r="AM176" s="56" t="str">
        <f t="shared" si="26"/>
        <v/>
      </c>
      <c r="AN176" s="112" t="str">
        <f ca="1">IF($G176=Lists!$R$3,"T1: "&amp;TEXT(FORMULACIÓN!L176,"00,00%")&amp;CHAR(10)&amp;"T2: "&amp;TEXT(FORMULACIÓN!M176,"00,00%")&amp;CHAR(10)&amp;"T3: "&amp;TEXT(FORMULACIÓN!N176,"00,00%")&amp;CHAR(10)&amp;"Tn: "&amp;TEXT(FORMULACIÓN!O176,"00,00%"),IF(FORMULACIÓN!Q176=0,0,"T1: "&amp;TEXT(FORMULACIÓN!L176,"##.###")&amp;CHAR(10)&amp;"T2: "&amp;TEXT(FORMULACIÓN!M176,"##.###")&amp;CHAR(10)&amp;"T3: "&amp;TEXT(FORMULACIÓN!N176,"##.###")&amp;CHAR(10)&amp;"Tn: "&amp;TEXT(FORMULACIÓN!O176,"##.###")))</f>
        <v xml:space="preserve">T1: 
T2: 
T3: 
Tn: </v>
      </c>
      <c r="AO176" s="117" t="str">
        <f>IFERROR(IF($H176=Lists!$S$6,IF(AND(FORMULACIÓN!L176&gt;K176,K176&gt;0),1,0),IF((K176/FORMULACIÓN!L176)&lt;&gt;0,K176/FORMULACIÓN!L176,0)),"")</f>
        <v/>
      </c>
      <c r="AP176" s="117" t="str">
        <f>IFERROR(IF($H176=Lists!$S$6,IF(AND(FORMULACIÓN!M176&gt;L176,L176&gt;0),1,0),IF((L176/FORMULACIÓN!M176)&lt;&gt;0,L176/FORMULACIÓN!M176,0)),"")</f>
        <v/>
      </c>
      <c r="AQ176" s="117" t="str">
        <f>IFERROR(IF($H176=Lists!$S$6,IF(AND(FORMULACIÓN!N176&gt;M176,M176&gt;0),1,0),IF((M176/FORMULACIÓN!N176)&lt;&gt;0,M176/FORMULACIÓN!N176,0)),"")</f>
        <v/>
      </c>
      <c r="AR176" s="117" t="str">
        <f>IFERROR(IF($H176=Lists!$S$6,IF(AND(FORMULACIÓN!O176&gt;N176,N176&gt;0),1,0),IF((N176/FORMULACIÓN!O176)&lt;&gt;0,N176/FORMULACIÓN!O176,0)),"")</f>
        <v/>
      </c>
      <c r="AS176" s="110"/>
      <c r="AT176" s="118" t="str">
        <f ca="1">IF($H176=Lists!$S$6,TEXT(COUNTIF('SEGUIMIENTO Y EVALUACIÓN'!K176:N176,"&lt;"&amp;FORMULACIÓN!Q176),"##.###")&amp;" / "&amp;TEXT(COUNTIF('SEGUIMIENTO Y EVALUACIÓN'!K176:N176,"&gt;"&amp;0),"##.###"),IF($G176=Lists!$R$3,TEXT('SEGUIMIENTO Y EVALUACIÓN'!O176,"00,00%")&amp;" / "&amp;TEXT(FORMULACIÓN!P176,"00,00%"),IF('SEGUIMIENTO Y EVALUACIÓN'!O176=0,0,TEXT('SEGUIMIENTO Y EVALUACIÓN'!O176,"##.###")&amp;" / "&amp;TEXT(FORMULACIÓN!P176,"##.###"))))</f>
        <v xml:space="preserve"> / </v>
      </c>
      <c r="AU176" s="57">
        <f ca="1">IFERROR(IF((P176/FORMULACIÓN!Q176)&lt;&gt;0,IF($H176=Lists!$S$6,COUNTIF('SEGUIMIENTO Y EVALUACIÓN'!K176:N176,"&lt;"&amp;FORMULACIÓN!Q176),'SEGUIMIENTO Y EVALUACIÓN'!P176)/IF($H176=Lists!$S$6,COUNTIF('SEGUIMIENTO Y EVALUACIÓN'!K176:N176,"&gt;"&amp;0),FORMULACIÓN!P176),0),0)</f>
        <v>0</v>
      </c>
      <c r="AV176" s="93" t="str">
        <f t="shared" ca="1" si="24"/>
        <v/>
      </c>
      <c r="AW176" s="93" cm="1">
        <f t="array" ref="AW176">IF(INDEX(AO176:AU176,1,$AV$3)&gt;1,IF($AU$2=1,1,INDEX(AO176:AU176,1,$AV$3)),INDEX(AO176:AU176,1,$AV$3))</f>
        <v>1</v>
      </c>
      <c r="AX176"/>
      <c r="AY176" s="119" t="str">
        <f>IFERROR(IF((W176/FORMULACIÓN!X176)&lt;&gt;0,W176/FORMULACIÓN!X176,0),"")</f>
        <v/>
      </c>
      <c r="AZ176" s="119" t="str">
        <f>IFERROR(IF((AA176/FORMULACIÓN!AB176)&lt;&gt;0,AA176/FORMULACIÓN!AB176,0),"")</f>
        <v/>
      </c>
      <c r="BA176" s="119" t="str">
        <f>IFERROR(IF((AE176/FORMULACIÓN!AF176)&lt;&gt;0,(AE176/FORMULACIÓN!AF176),0),"")</f>
        <v/>
      </c>
      <c r="BB176" s="119" t="str">
        <f>IFERROR(IF((AI176/FORMULACIÓN!AJ176)&lt;&gt;0,AI176/FORMULACIÓN!AJ176,0),"")</f>
        <v/>
      </c>
      <c r="BC176" s="120" t="str">
        <f>IF('SEGUIMIENTO Y EVALUACIÓN'!AI176=0,0,TEXT('SEGUIMIENTO Y EVALUACIÓN'!AI176,"$ ##.###")&amp;" / "&amp;TEXT(FORMULACIÓN!AK176,"$ ##.###"))</f>
        <v xml:space="preserve"> / </v>
      </c>
      <c r="BD176" s="57">
        <f>IFERROR(IF((AJ176/FORMULACIÓN!AK176)&lt;&gt;0,AJ176/FORMULACIÓN!AK176,0),0)</f>
        <v>0</v>
      </c>
      <c r="CL176" s="7"/>
    </row>
    <row r="177" spans="1:90" s="1" customFormat="1" ht="99.95" customHeight="1">
      <c r="A177" s="45" t="str">
        <f>IF(FORMULACIÓN!A177="","",FORMULACIÓN!A177)</f>
        <v/>
      </c>
      <c r="B177" s="45" t="str">
        <f>IF(FORMULACIÓN!B177="","",FORMULACIÓN!B177)</f>
        <v/>
      </c>
      <c r="C177" s="45" t="str">
        <f>IF(FORMULACIÓN!E177="","",FORMULACIÓN!E177)</f>
        <v/>
      </c>
      <c r="D177" s="45" t="str">
        <f>IF(FORMULACIÓN!F177="","",FORMULACIÓN!F177)</f>
        <v/>
      </c>
      <c r="E177" s="45" t="str">
        <f>IF(FORMULACIÓN!G177="","",FORMULACIÓN!G177)</f>
        <v/>
      </c>
      <c r="F177" s="45" t="str">
        <f>IF(FORMULACIÓN!H177="","",FORMULACIÓN!H177)</f>
        <v/>
      </c>
      <c r="G177" s="45" t="str">
        <f>IF(FORMULACIÓN!I177="","",FORMULACIÓN!I177)</f>
        <v/>
      </c>
      <c r="H177" s="45" t="str">
        <f>IF(FORMULACIÓN!J177="","",FORMULACIÓN!J177)</f>
        <v/>
      </c>
      <c r="I177" s="188" t="str">
        <f ca="1">IF($G177=Lists!$R$3,"PDI: "&amp;TEXT(FORMULACIÓN!Q177,"00,00%")&amp;CHAR(10)&amp;CHAR(10)&amp;"T1: "&amp;TEXT(FORMULACIÓN!L177,"00,00%")&amp;CHAR(10)&amp;"T2: "&amp;TEXT(FORMULACIÓN!M177,"00,00%")&amp;CHAR(10)&amp;"T3: "&amp;TEXT(FORMULACIÓN!N177,"00,00%")&amp;CHAR(10)&amp;"Tn: "&amp;TEXT(FORMULACIÓN!O177,"00,00%"),IF(FORMULACIÓN!Q177=0,0,"PDI: "&amp;TEXT(FORMULACIÓN!Q177,"##.###")&amp;CHAR(10)&amp;CHAR(10)&amp;"T1: "&amp;TEXT(FORMULACIÓN!L177,"##.###")&amp;CHAR(10)&amp;"T2: "&amp;TEXT(FORMULACIÓN!M177,"##.###")&amp;CHAR(10)&amp;"T3: "&amp;TEXT(FORMULACIÓN!N177,"##.###")&amp;CHAR(10)&amp;"Tn: "&amp;TEXT(FORMULACIÓN!O177,"##.###")))</f>
        <v xml:space="preserve">PDI: 
T1: 
T2: 
T3: 
Tn: </v>
      </c>
      <c r="J177" s="122" t="str">
        <f>IF(FORMULACIÓN!K177&lt;&gt;"",FORMULACIÓN!K177,"")</f>
        <v/>
      </c>
      <c r="K177" s="58"/>
      <c r="L177" s="58"/>
      <c r="M177" s="58"/>
      <c r="N177" s="58"/>
      <c r="O177" s="47" t="str">
        <f ca="1">IFERROR(IF($H177=Lists!$S$2,SUM('SEGUIMIENTO Y EVALUACIÓN'!J177:N177),IF('SEGUIMIENTO Y EVALUACIÓN'!$H177=Lists!$S$3,SUM('SEGUIMIENTO Y EVALUACIÓN'!K177:N177),IF('SEGUIMIENTO Y EVALUACIÓN'!$H177=Lists!$S$4,AVERAGE('SEGUIMIENTO Y EVALUACIÓN'!K177:N177),IF('SEGUIMIENTO Y EVALUACIÓN'!$H177=Lists!$S$5,OFFSET(J177,0,COUNTA(K177:N177)),IF($H177=Lists!$S$6,COUNTIF(K177:N177,"&lt;"&amp;FORMULACIÓN!Q177)/COUNT('SEGUIMIENTO Y EVALUACIÓN'!K177:N177),""))))),"")</f>
        <v/>
      </c>
      <c r="P177" s="51" t="str">
        <f ca="1">IF($G177=Lists!$R$3,TEXT('SEGUIMIENTO Y EVALUACIÓN'!O177,"00,00%"),IF('SEGUIMIENTO Y EVALUACIÓN'!O177=0,0,TEXT('SEGUIMIENTO Y EVALUACIÓN'!O177,"##.###")))</f>
        <v/>
      </c>
      <c r="Q177" s="209" t="str">
        <f>IF(FORMULACIÓN!R177&lt;&gt;"",FORMULACIÓN!R177,"")</f>
        <v/>
      </c>
      <c r="R177" s="209" t="str">
        <f>IF(FORMULACIÓN!S177&lt;&gt;"",FORMULACIÓN!S177,"")</f>
        <v/>
      </c>
      <c r="S177" s="209" t="str">
        <f>IF(FORMULACIÓN!T177&lt;&gt;"",FORMULACIÓN!T177,"")</f>
        <v/>
      </c>
      <c r="T177" s="42"/>
      <c r="U177" s="42"/>
      <c r="V177" s="42"/>
      <c r="W177" s="43" t="str">
        <f t="shared" si="18"/>
        <v/>
      </c>
      <c r="X177" s="42"/>
      <c r="Y177" s="42"/>
      <c r="Z177" s="42"/>
      <c r="AA177" s="43" t="str">
        <f t="shared" si="19"/>
        <v/>
      </c>
      <c r="AB177" s="42"/>
      <c r="AC177" s="42"/>
      <c r="AD177" s="42"/>
      <c r="AE177" s="43" t="str">
        <f t="shared" si="20"/>
        <v/>
      </c>
      <c r="AF177" s="42"/>
      <c r="AG177" s="42"/>
      <c r="AH177" s="42"/>
      <c r="AI177" s="46" t="str">
        <f t="shared" si="21"/>
        <v/>
      </c>
      <c r="AJ177" s="46" t="str">
        <f>IF(SUM(AA177,AE177,W177,AI177)=0,"",SUM((AA177,AE177,W177,AI177)))</f>
        <v/>
      </c>
      <c r="AK177"/>
      <c r="AL177" s="1" t="str">
        <f t="shared" si="25"/>
        <v/>
      </c>
      <c r="AM177" s="56" t="str">
        <f t="shared" si="26"/>
        <v/>
      </c>
      <c r="AN177" s="112" t="str">
        <f ca="1">IF($G177=Lists!$R$3,"T1: "&amp;TEXT(FORMULACIÓN!L177,"00,00%")&amp;CHAR(10)&amp;"T2: "&amp;TEXT(FORMULACIÓN!M177,"00,00%")&amp;CHAR(10)&amp;"T3: "&amp;TEXT(FORMULACIÓN!N177,"00,00%")&amp;CHAR(10)&amp;"Tn: "&amp;TEXT(FORMULACIÓN!O177,"00,00%"),IF(FORMULACIÓN!Q177=0,0,"T1: "&amp;TEXT(FORMULACIÓN!L177,"##.###")&amp;CHAR(10)&amp;"T2: "&amp;TEXT(FORMULACIÓN!M177,"##.###")&amp;CHAR(10)&amp;"T3: "&amp;TEXT(FORMULACIÓN!N177,"##.###")&amp;CHAR(10)&amp;"Tn: "&amp;TEXT(FORMULACIÓN!O177,"##.###")))</f>
        <v xml:space="preserve">T1: 
T2: 
T3: 
Tn: </v>
      </c>
      <c r="AO177" s="117" t="str">
        <f>IFERROR(IF($H177=Lists!$S$6,IF(AND(FORMULACIÓN!L177&gt;K177,K177&gt;0),1,0),IF((K177/FORMULACIÓN!L177)&lt;&gt;0,K177/FORMULACIÓN!L177,0)),"")</f>
        <v/>
      </c>
      <c r="AP177" s="117" t="str">
        <f>IFERROR(IF($H177=Lists!$S$6,IF(AND(FORMULACIÓN!M177&gt;L177,L177&gt;0),1,0),IF((L177/FORMULACIÓN!M177)&lt;&gt;0,L177/FORMULACIÓN!M177,0)),"")</f>
        <v/>
      </c>
      <c r="AQ177" s="117" t="str">
        <f>IFERROR(IF($H177=Lists!$S$6,IF(AND(FORMULACIÓN!N177&gt;M177,M177&gt;0),1,0),IF((M177/FORMULACIÓN!N177)&lt;&gt;0,M177/FORMULACIÓN!N177,0)),"")</f>
        <v/>
      </c>
      <c r="AR177" s="117" t="str">
        <f>IFERROR(IF($H177=Lists!$S$6,IF(AND(FORMULACIÓN!O177&gt;N177,N177&gt;0),1,0),IF((N177/FORMULACIÓN!O177)&lt;&gt;0,N177/FORMULACIÓN!O177,0)),"")</f>
        <v/>
      </c>
      <c r="AS177" s="110"/>
      <c r="AT177" s="118" t="str">
        <f ca="1">IF($H177=Lists!$S$6,TEXT(COUNTIF('SEGUIMIENTO Y EVALUACIÓN'!K177:N177,"&lt;"&amp;FORMULACIÓN!Q177),"##.###")&amp;" / "&amp;TEXT(COUNTIF('SEGUIMIENTO Y EVALUACIÓN'!K177:N177,"&gt;"&amp;0),"##.###"),IF($G177=Lists!$R$3,TEXT('SEGUIMIENTO Y EVALUACIÓN'!O177,"00,00%")&amp;" / "&amp;TEXT(FORMULACIÓN!P177,"00,00%"),IF('SEGUIMIENTO Y EVALUACIÓN'!O177=0,0,TEXT('SEGUIMIENTO Y EVALUACIÓN'!O177,"##.###")&amp;" / "&amp;TEXT(FORMULACIÓN!P177,"##.###"))))</f>
        <v xml:space="preserve"> / </v>
      </c>
      <c r="AU177" s="57">
        <f ca="1">IFERROR(IF((P177/FORMULACIÓN!Q177)&lt;&gt;0,IF($H177=Lists!$S$6,COUNTIF('SEGUIMIENTO Y EVALUACIÓN'!K177:N177,"&lt;"&amp;FORMULACIÓN!Q177),'SEGUIMIENTO Y EVALUACIÓN'!P177)/IF($H177=Lists!$S$6,COUNTIF('SEGUIMIENTO Y EVALUACIÓN'!K177:N177,"&gt;"&amp;0),FORMULACIÓN!P177),0),0)</f>
        <v>0</v>
      </c>
      <c r="AV177" s="93" t="str">
        <f t="shared" ca="1" si="24"/>
        <v/>
      </c>
      <c r="AW177" s="93" cm="1">
        <f t="array" ref="AW177">IF(INDEX(AO177:AU177,1,$AV$3)&gt;1,IF($AU$2=1,1,INDEX(AO177:AU177,1,$AV$3)),INDEX(AO177:AU177,1,$AV$3))</f>
        <v>1</v>
      </c>
      <c r="AX177"/>
      <c r="AY177" s="119" t="str">
        <f>IFERROR(IF((W177/FORMULACIÓN!X177)&lt;&gt;0,W177/FORMULACIÓN!X177,0),"")</f>
        <v/>
      </c>
      <c r="AZ177" s="119" t="str">
        <f>IFERROR(IF((AA177/FORMULACIÓN!AB177)&lt;&gt;0,AA177/FORMULACIÓN!AB177,0),"")</f>
        <v/>
      </c>
      <c r="BA177" s="119" t="str">
        <f>IFERROR(IF((AE177/FORMULACIÓN!AF177)&lt;&gt;0,(AE177/FORMULACIÓN!AF177),0),"")</f>
        <v/>
      </c>
      <c r="BB177" s="119" t="str">
        <f>IFERROR(IF((AI177/FORMULACIÓN!AJ177)&lt;&gt;0,AI177/FORMULACIÓN!AJ177,0),"")</f>
        <v/>
      </c>
      <c r="BC177" s="120" t="str">
        <f>IF('SEGUIMIENTO Y EVALUACIÓN'!AI177=0,0,TEXT('SEGUIMIENTO Y EVALUACIÓN'!AI177,"$ ##.###")&amp;" / "&amp;TEXT(FORMULACIÓN!AK177,"$ ##.###"))</f>
        <v xml:space="preserve"> / </v>
      </c>
      <c r="BD177" s="57">
        <f>IFERROR(IF((AJ177/FORMULACIÓN!AK177)&lt;&gt;0,AJ177/FORMULACIÓN!AK177,0),0)</f>
        <v>0</v>
      </c>
      <c r="CL177" s="7"/>
    </row>
    <row r="178" spans="1:90" s="1" customFormat="1" ht="99.95" customHeight="1">
      <c r="A178" s="45" t="str">
        <f>IF(FORMULACIÓN!A178="","",FORMULACIÓN!A178)</f>
        <v/>
      </c>
      <c r="B178" s="45" t="str">
        <f>IF(FORMULACIÓN!B178="","",FORMULACIÓN!B178)</f>
        <v/>
      </c>
      <c r="C178" s="45" t="str">
        <f>IF(FORMULACIÓN!E178="","",FORMULACIÓN!E178)</f>
        <v/>
      </c>
      <c r="D178" s="45" t="str">
        <f>IF(FORMULACIÓN!F178="","",FORMULACIÓN!F178)</f>
        <v/>
      </c>
      <c r="E178" s="45" t="str">
        <f>IF(FORMULACIÓN!G178="","",FORMULACIÓN!G178)</f>
        <v/>
      </c>
      <c r="F178" s="45" t="str">
        <f>IF(FORMULACIÓN!H178="","",FORMULACIÓN!H178)</f>
        <v/>
      </c>
      <c r="G178" s="45" t="str">
        <f>IF(FORMULACIÓN!I178="","",FORMULACIÓN!I178)</f>
        <v/>
      </c>
      <c r="H178" s="45" t="str">
        <f>IF(FORMULACIÓN!J178="","",FORMULACIÓN!J178)</f>
        <v/>
      </c>
      <c r="I178" s="188" t="str">
        <f ca="1">IF($G178=Lists!$R$3,"PDI: "&amp;TEXT(FORMULACIÓN!Q178,"00,00%")&amp;CHAR(10)&amp;CHAR(10)&amp;"T1: "&amp;TEXT(FORMULACIÓN!L178,"00,00%")&amp;CHAR(10)&amp;"T2: "&amp;TEXT(FORMULACIÓN!M178,"00,00%")&amp;CHAR(10)&amp;"T3: "&amp;TEXT(FORMULACIÓN!N178,"00,00%")&amp;CHAR(10)&amp;"Tn: "&amp;TEXT(FORMULACIÓN!O178,"00,00%"),IF(FORMULACIÓN!Q178=0,0,"PDI: "&amp;TEXT(FORMULACIÓN!Q178,"##.###")&amp;CHAR(10)&amp;CHAR(10)&amp;"T1: "&amp;TEXT(FORMULACIÓN!L178,"##.###")&amp;CHAR(10)&amp;"T2: "&amp;TEXT(FORMULACIÓN!M178,"##.###")&amp;CHAR(10)&amp;"T3: "&amp;TEXT(FORMULACIÓN!N178,"##.###")&amp;CHAR(10)&amp;"Tn: "&amp;TEXT(FORMULACIÓN!O178,"##.###")))</f>
        <v xml:space="preserve">PDI: 
T1: 
T2: 
T3: 
Tn: </v>
      </c>
      <c r="J178" s="122" t="str">
        <f>IF(FORMULACIÓN!K178&lt;&gt;"",FORMULACIÓN!K178,"")</f>
        <v/>
      </c>
      <c r="K178" s="58"/>
      <c r="L178" s="58"/>
      <c r="M178" s="58"/>
      <c r="N178" s="58"/>
      <c r="O178" s="47" t="str">
        <f ca="1">IFERROR(IF($H178=Lists!$S$2,SUM('SEGUIMIENTO Y EVALUACIÓN'!J178:N178),IF('SEGUIMIENTO Y EVALUACIÓN'!$H178=Lists!$S$3,SUM('SEGUIMIENTO Y EVALUACIÓN'!K178:N178),IF('SEGUIMIENTO Y EVALUACIÓN'!$H178=Lists!$S$4,AVERAGE('SEGUIMIENTO Y EVALUACIÓN'!K178:N178),IF('SEGUIMIENTO Y EVALUACIÓN'!$H178=Lists!$S$5,OFFSET(J178,0,COUNTA(K178:N178)),IF($H178=Lists!$S$6,COUNTIF(K178:N178,"&lt;"&amp;FORMULACIÓN!Q178)/COUNT('SEGUIMIENTO Y EVALUACIÓN'!K178:N178),""))))),"")</f>
        <v/>
      </c>
      <c r="P178" s="51" t="str">
        <f ca="1">IF($G178=Lists!$R$3,TEXT('SEGUIMIENTO Y EVALUACIÓN'!O178,"00,00%"),IF('SEGUIMIENTO Y EVALUACIÓN'!O178=0,0,TEXT('SEGUIMIENTO Y EVALUACIÓN'!O178,"##.###")))</f>
        <v/>
      </c>
      <c r="Q178" s="209" t="str">
        <f>IF(FORMULACIÓN!R178&lt;&gt;"",FORMULACIÓN!R178,"")</f>
        <v/>
      </c>
      <c r="R178" s="209" t="str">
        <f>IF(FORMULACIÓN!S178&lt;&gt;"",FORMULACIÓN!S178,"")</f>
        <v/>
      </c>
      <c r="S178" s="209" t="str">
        <f>IF(FORMULACIÓN!T178&lt;&gt;"",FORMULACIÓN!T178,"")</f>
        <v/>
      </c>
      <c r="T178" s="42"/>
      <c r="U178" s="42"/>
      <c r="V178" s="42"/>
      <c r="W178" s="43" t="str">
        <f t="shared" si="18"/>
        <v/>
      </c>
      <c r="X178" s="42"/>
      <c r="Y178" s="42"/>
      <c r="Z178" s="42"/>
      <c r="AA178" s="43" t="str">
        <f t="shared" si="19"/>
        <v/>
      </c>
      <c r="AB178" s="42"/>
      <c r="AC178" s="42"/>
      <c r="AD178" s="42"/>
      <c r="AE178" s="43" t="str">
        <f t="shared" si="20"/>
        <v/>
      </c>
      <c r="AF178" s="42"/>
      <c r="AG178" s="42"/>
      <c r="AH178" s="42"/>
      <c r="AI178" s="46" t="str">
        <f t="shared" si="21"/>
        <v/>
      </c>
      <c r="AJ178" s="46" t="str">
        <f>IF(SUM(AA178,AE178,W178,AI178)=0,"",SUM((AA178,AE178,W178,AI178)))</f>
        <v/>
      </c>
      <c r="AK178"/>
      <c r="AL178" s="1" t="str">
        <f t="shared" si="25"/>
        <v/>
      </c>
      <c r="AM178" s="56" t="str">
        <f t="shared" si="26"/>
        <v/>
      </c>
      <c r="AN178" s="112" t="str">
        <f ca="1">IF($G178=Lists!$R$3,"T1: "&amp;TEXT(FORMULACIÓN!L178,"00,00%")&amp;CHAR(10)&amp;"T2: "&amp;TEXT(FORMULACIÓN!M178,"00,00%")&amp;CHAR(10)&amp;"T3: "&amp;TEXT(FORMULACIÓN!N178,"00,00%")&amp;CHAR(10)&amp;"Tn: "&amp;TEXT(FORMULACIÓN!O178,"00,00%"),IF(FORMULACIÓN!Q178=0,0,"T1: "&amp;TEXT(FORMULACIÓN!L178,"##.###")&amp;CHAR(10)&amp;"T2: "&amp;TEXT(FORMULACIÓN!M178,"##.###")&amp;CHAR(10)&amp;"T3: "&amp;TEXT(FORMULACIÓN!N178,"##.###")&amp;CHAR(10)&amp;"Tn: "&amp;TEXT(FORMULACIÓN!O178,"##.###")))</f>
        <v xml:space="preserve">T1: 
T2: 
T3: 
Tn: </v>
      </c>
      <c r="AO178" s="117" t="str">
        <f>IFERROR(IF($H178=Lists!$S$6,IF(AND(FORMULACIÓN!L178&gt;K178,K178&gt;0),1,0),IF((K178/FORMULACIÓN!L178)&lt;&gt;0,K178/FORMULACIÓN!L178,0)),"")</f>
        <v/>
      </c>
      <c r="AP178" s="117" t="str">
        <f>IFERROR(IF($H178=Lists!$S$6,IF(AND(FORMULACIÓN!M178&gt;L178,L178&gt;0),1,0),IF((L178/FORMULACIÓN!M178)&lt;&gt;0,L178/FORMULACIÓN!M178,0)),"")</f>
        <v/>
      </c>
      <c r="AQ178" s="117" t="str">
        <f>IFERROR(IF($H178=Lists!$S$6,IF(AND(FORMULACIÓN!N178&gt;M178,M178&gt;0),1,0),IF((M178/FORMULACIÓN!N178)&lt;&gt;0,M178/FORMULACIÓN!N178,0)),"")</f>
        <v/>
      </c>
      <c r="AR178" s="117" t="str">
        <f>IFERROR(IF($H178=Lists!$S$6,IF(AND(FORMULACIÓN!O178&gt;N178,N178&gt;0),1,0),IF((N178/FORMULACIÓN!O178)&lt;&gt;0,N178/FORMULACIÓN!O178,0)),"")</f>
        <v/>
      </c>
      <c r="AS178" s="110"/>
      <c r="AT178" s="118" t="str">
        <f ca="1">IF($H178=Lists!$S$6,TEXT(COUNTIF('SEGUIMIENTO Y EVALUACIÓN'!K178:N178,"&lt;"&amp;FORMULACIÓN!Q178),"##.###")&amp;" / "&amp;TEXT(COUNTIF('SEGUIMIENTO Y EVALUACIÓN'!K178:N178,"&gt;"&amp;0),"##.###"),IF($G178=Lists!$R$3,TEXT('SEGUIMIENTO Y EVALUACIÓN'!O178,"00,00%")&amp;" / "&amp;TEXT(FORMULACIÓN!P178,"00,00%"),IF('SEGUIMIENTO Y EVALUACIÓN'!O178=0,0,TEXT('SEGUIMIENTO Y EVALUACIÓN'!O178,"##.###")&amp;" / "&amp;TEXT(FORMULACIÓN!P178,"##.###"))))</f>
        <v xml:space="preserve"> / </v>
      </c>
      <c r="AU178" s="57">
        <f ca="1">IFERROR(IF((P178/FORMULACIÓN!Q178)&lt;&gt;0,IF($H178=Lists!$S$6,COUNTIF('SEGUIMIENTO Y EVALUACIÓN'!K178:N178,"&lt;"&amp;FORMULACIÓN!Q178),'SEGUIMIENTO Y EVALUACIÓN'!P178)/IF($H178=Lists!$S$6,COUNTIF('SEGUIMIENTO Y EVALUACIÓN'!K178:N178,"&gt;"&amp;0),FORMULACIÓN!P178),0),0)</f>
        <v>0</v>
      </c>
      <c r="AV178" s="93" t="str">
        <f t="shared" ca="1" si="24"/>
        <v/>
      </c>
      <c r="AW178" s="93" cm="1">
        <f t="array" ref="AW178">IF(INDEX(AO178:AU178,1,$AV$3)&gt;1,IF($AU$2=1,1,INDEX(AO178:AU178,1,$AV$3)),INDEX(AO178:AU178,1,$AV$3))</f>
        <v>1</v>
      </c>
      <c r="AX178"/>
      <c r="AY178" s="119" t="str">
        <f>IFERROR(IF((W178/FORMULACIÓN!X178)&lt;&gt;0,W178/FORMULACIÓN!X178,0),"")</f>
        <v/>
      </c>
      <c r="AZ178" s="119" t="str">
        <f>IFERROR(IF((AA178/FORMULACIÓN!AB178)&lt;&gt;0,AA178/FORMULACIÓN!AB178,0),"")</f>
        <v/>
      </c>
      <c r="BA178" s="119" t="str">
        <f>IFERROR(IF((AE178/FORMULACIÓN!AF178)&lt;&gt;0,(AE178/FORMULACIÓN!AF178),0),"")</f>
        <v/>
      </c>
      <c r="BB178" s="119" t="str">
        <f>IFERROR(IF((AI178/FORMULACIÓN!AJ178)&lt;&gt;0,AI178/FORMULACIÓN!AJ178,0),"")</f>
        <v/>
      </c>
      <c r="BC178" s="120" t="str">
        <f>IF('SEGUIMIENTO Y EVALUACIÓN'!AI178=0,0,TEXT('SEGUIMIENTO Y EVALUACIÓN'!AI178,"$ ##.###")&amp;" / "&amp;TEXT(FORMULACIÓN!AK178,"$ ##.###"))</f>
        <v xml:space="preserve"> / </v>
      </c>
      <c r="BD178" s="57">
        <f>IFERROR(IF((AJ178/FORMULACIÓN!AK178)&lt;&gt;0,AJ178/FORMULACIÓN!AK178,0),0)</f>
        <v>0</v>
      </c>
      <c r="CL178" s="7"/>
    </row>
    <row r="179" spans="1:90" s="1" customFormat="1" ht="99.95" customHeight="1">
      <c r="A179" s="45" t="str">
        <f>IF(FORMULACIÓN!A179="","",FORMULACIÓN!A179)</f>
        <v/>
      </c>
      <c r="B179" s="45" t="str">
        <f>IF(FORMULACIÓN!B179="","",FORMULACIÓN!B179)</f>
        <v/>
      </c>
      <c r="C179" s="45" t="str">
        <f>IF(FORMULACIÓN!E179="","",FORMULACIÓN!E179)</f>
        <v/>
      </c>
      <c r="D179" s="45" t="str">
        <f>IF(FORMULACIÓN!F179="","",FORMULACIÓN!F179)</f>
        <v/>
      </c>
      <c r="E179" s="45" t="str">
        <f>IF(FORMULACIÓN!G179="","",FORMULACIÓN!G179)</f>
        <v/>
      </c>
      <c r="F179" s="45" t="str">
        <f>IF(FORMULACIÓN!H179="","",FORMULACIÓN!H179)</f>
        <v/>
      </c>
      <c r="G179" s="45" t="str">
        <f>IF(FORMULACIÓN!I179="","",FORMULACIÓN!I179)</f>
        <v/>
      </c>
      <c r="H179" s="45" t="str">
        <f>IF(FORMULACIÓN!J179="","",FORMULACIÓN!J179)</f>
        <v/>
      </c>
      <c r="I179" s="188" t="str">
        <f ca="1">IF($G179=Lists!$R$3,"PDI: "&amp;TEXT(FORMULACIÓN!Q179,"00,00%")&amp;CHAR(10)&amp;CHAR(10)&amp;"T1: "&amp;TEXT(FORMULACIÓN!L179,"00,00%")&amp;CHAR(10)&amp;"T2: "&amp;TEXT(FORMULACIÓN!M179,"00,00%")&amp;CHAR(10)&amp;"T3: "&amp;TEXT(FORMULACIÓN!N179,"00,00%")&amp;CHAR(10)&amp;"Tn: "&amp;TEXT(FORMULACIÓN!O179,"00,00%"),IF(FORMULACIÓN!Q179=0,0,"PDI: "&amp;TEXT(FORMULACIÓN!Q179,"##.###")&amp;CHAR(10)&amp;CHAR(10)&amp;"T1: "&amp;TEXT(FORMULACIÓN!L179,"##.###")&amp;CHAR(10)&amp;"T2: "&amp;TEXT(FORMULACIÓN!M179,"##.###")&amp;CHAR(10)&amp;"T3: "&amp;TEXT(FORMULACIÓN!N179,"##.###")&amp;CHAR(10)&amp;"Tn: "&amp;TEXT(FORMULACIÓN!O179,"##.###")))</f>
        <v xml:space="preserve">PDI: 
T1: 
T2: 
T3: 
Tn: </v>
      </c>
      <c r="J179" s="122" t="str">
        <f>IF(FORMULACIÓN!K179&lt;&gt;"",FORMULACIÓN!K179,"")</f>
        <v/>
      </c>
      <c r="K179" s="58"/>
      <c r="L179" s="58"/>
      <c r="M179" s="58"/>
      <c r="N179" s="58"/>
      <c r="O179" s="47" t="str">
        <f ca="1">IFERROR(IF($H179=Lists!$S$2,SUM('SEGUIMIENTO Y EVALUACIÓN'!J179:N179),IF('SEGUIMIENTO Y EVALUACIÓN'!$H179=Lists!$S$3,SUM('SEGUIMIENTO Y EVALUACIÓN'!K179:N179),IF('SEGUIMIENTO Y EVALUACIÓN'!$H179=Lists!$S$4,AVERAGE('SEGUIMIENTO Y EVALUACIÓN'!K179:N179),IF('SEGUIMIENTO Y EVALUACIÓN'!$H179=Lists!$S$5,OFFSET(J179,0,COUNTA(K179:N179)),IF($H179=Lists!$S$6,COUNTIF(K179:N179,"&lt;"&amp;FORMULACIÓN!Q179)/COUNT('SEGUIMIENTO Y EVALUACIÓN'!K179:N179),""))))),"")</f>
        <v/>
      </c>
      <c r="P179" s="51" t="str">
        <f ca="1">IF($G179=Lists!$R$3,TEXT('SEGUIMIENTO Y EVALUACIÓN'!O179,"00,00%"),IF('SEGUIMIENTO Y EVALUACIÓN'!O179=0,0,TEXT('SEGUIMIENTO Y EVALUACIÓN'!O179,"##.###")))</f>
        <v/>
      </c>
      <c r="Q179" s="209" t="str">
        <f>IF(FORMULACIÓN!R179&lt;&gt;"",FORMULACIÓN!R179,"")</f>
        <v/>
      </c>
      <c r="R179" s="209" t="str">
        <f>IF(FORMULACIÓN!S179&lt;&gt;"",FORMULACIÓN!S179,"")</f>
        <v/>
      </c>
      <c r="S179" s="209" t="str">
        <f>IF(FORMULACIÓN!T179&lt;&gt;"",FORMULACIÓN!T179,"")</f>
        <v/>
      </c>
      <c r="T179" s="42"/>
      <c r="U179" s="42"/>
      <c r="V179" s="42"/>
      <c r="W179" s="43" t="str">
        <f t="shared" si="18"/>
        <v/>
      </c>
      <c r="X179" s="42"/>
      <c r="Y179" s="42"/>
      <c r="Z179" s="42"/>
      <c r="AA179" s="43" t="str">
        <f t="shared" si="19"/>
        <v/>
      </c>
      <c r="AB179" s="42"/>
      <c r="AC179" s="42"/>
      <c r="AD179" s="42"/>
      <c r="AE179" s="43" t="str">
        <f t="shared" si="20"/>
        <v/>
      </c>
      <c r="AF179" s="42"/>
      <c r="AG179" s="42"/>
      <c r="AH179" s="42"/>
      <c r="AI179" s="46" t="str">
        <f t="shared" si="21"/>
        <v/>
      </c>
      <c r="AJ179" s="46" t="str">
        <f>IF(SUM(AA179,AE179,W179,AI179)=0,"",SUM((AA179,AE179,W179,AI179)))</f>
        <v/>
      </c>
      <c r="AK179"/>
      <c r="AL179" s="1" t="str">
        <f t="shared" si="25"/>
        <v/>
      </c>
      <c r="AM179" s="56" t="str">
        <f t="shared" si="26"/>
        <v/>
      </c>
      <c r="AN179" s="112" t="str">
        <f ca="1">IF($G179=Lists!$R$3,"T1: "&amp;TEXT(FORMULACIÓN!L179,"00,00%")&amp;CHAR(10)&amp;"T2: "&amp;TEXT(FORMULACIÓN!M179,"00,00%")&amp;CHAR(10)&amp;"T3: "&amp;TEXT(FORMULACIÓN!N179,"00,00%")&amp;CHAR(10)&amp;"Tn: "&amp;TEXT(FORMULACIÓN!O179,"00,00%"),IF(FORMULACIÓN!Q179=0,0,"T1: "&amp;TEXT(FORMULACIÓN!L179,"##.###")&amp;CHAR(10)&amp;"T2: "&amp;TEXT(FORMULACIÓN!M179,"##.###")&amp;CHAR(10)&amp;"T3: "&amp;TEXT(FORMULACIÓN!N179,"##.###")&amp;CHAR(10)&amp;"Tn: "&amp;TEXT(FORMULACIÓN!O179,"##.###")))</f>
        <v xml:space="preserve">T1: 
T2: 
T3: 
Tn: </v>
      </c>
      <c r="AO179" s="117" t="str">
        <f>IFERROR(IF($H179=Lists!$S$6,IF(AND(FORMULACIÓN!L179&gt;K179,K179&gt;0),1,0),IF((K179/FORMULACIÓN!L179)&lt;&gt;0,K179/FORMULACIÓN!L179,0)),"")</f>
        <v/>
      </c>
      <c r="AP179" s="117" t="str">
        <f>IFERROR(IF($H179=Lists!$S$6,IF(AND(FORMULACIÓN!M179&gt;L179,L179&gt;0),1,0),IF((L179/FORMULACIÓN!M179)&lt;&gt;0,L179/FORMULACIÓN!M179,0)),"")</f>
        <v/>
      </c>
      <c r="AQ179" s="117" t="str">
        <f>IFERROR(IF($H179=Lists!$S$6,IF(AND(FORMULACIÓN!N179&gt;M179,M179&gt;0),1,0),IF((M179/FORMULACIÓN!N179)&lt;&gt;0,M179/FORMULACIÓN!N179,0)),"")</f>
        <v/>
      </c>
      <c r="AR179" s="117" t="str">
        <f>IFERROR(IF($H179=Lists!$S$6,IF(AND(FORMULACIÓN!O179&gt;N179,N179&gt;0),1,0),IF((N179/FORMULACIÓN!O179)&lt;&gt;0,N179/FORMULACIÓN!O179,0)),"")</f>
        <v/>
      </c>
      <c r="AS179" s="110"/>
      <c r="AT179" s="118" t="str">
        <f ca="1">IF($H179=Lists!$S$6,TEXT(COUNTIF('SEGUIMIENTO Y EVALUACIÓN'!K179:N179,"&lt;"&amp;FORMULACIÓN!Q179),"##.###")&amp;" / "&amp;TEXT(COUNTIF('SEGUIMIENTO Y EVALUACIÓN'!K179:N179,"&gt;"&amp;0),"##.###"),IF($G179=Lists!$R$3,TEXT('SEGUIMIENTO Y EVALUACIÓN'!O179,"00,00%")&amp;" / "&amp;TEXT(FORMULACIÓN!P179,"00,00%"),IF('SEGUIMIENTO Y EVALUACIÓN'!O179=0,0,TEXT('SEGUIMIENTO Y EVALUACIÓN'!O179,"##.###")&amp;" / "&amp;TEXT(FORMULACIÓN!P179,"##.###"))))</f>
        <v xml:space="preserve"> / </v>
      </c>
      <c r="AU179" s="57">
        <f ca="1">IFERROR(IF((P179/FORMULACIÓN!Q179)&lt;&gt;0,IF($H179=Lists!$S$6,COUNTIF('SEGUIMIENTO Y EVALUACIÓN'!K179:N179,"&lt;"&amp;FORMULACIÓN!Q179),'SEGUIMIENTO Y EVALUACIÓN'!P179)/IF($H179=Lists!$S$6,COUNTIF('SEGUIMIENTO Y EVALUACIÓN'!K179:N179,"&gt;"&amp;0),FORMULACIÓN!P179),0),0)</f>
        <v>0</v>
      </c>
      <c r="AV179" s="93" t="str">
        <f t="shared" ca="1" si="24"/>
        <v/>
      </c>
      <c r="AW179" s="93" cm="1">
        <f t="array" ref="AW179">IF(INDEX(AO179:AU179,1,$AV$3)&gt;1,IF($AU$2=1,1,INDEX(AO179:AU179,1,$AV$3)),INDEX(AO179:AU179,1,$AV$3))</f>
        <v>1</v>
      </c>
      <c r="AX179"/>
      <c r="AY179" s="119" t="str">
        <f>IFERROR(IF((W179/FORMULACIÓN!X179)&lt;&gt;0,W179/FORMULACIÓN!X179,0),"")</f>
        <v/>
      </c>
      <c r="AZ179" s="119" t="str">
        <f>IFERROR(IF((AA179/FORMULACIÓN!AB179)&lt;&gt;0,AA179/FORMULACIÓN!AB179,0),"")</f>
        <v/>
      </c>
      <c r="BA179" s="119" t="str">
        <f>IFERROR(IF((AE179/FORMULACIÓN!AF179)&lt;&gt;0,(AE179/FORMULACIÓN!AF179),0),"")</f>
        <v/>
      </c>
      <c r="BB179" s="119" t="str">
        <f>IFERROR(IF((AI179/FORMULACIÓN!AJ179)&lt;&gt;0,AI179/FORMULACIÓN!AJ179,0),"")</f>
        <v/>
      </c>
      <c r="BC179" s="120" t="str">
        <f>IF('SEGUIMIENTO Y EVALUACIÓN'!AI179=0,0,TEXT('SEGUIMIENTO Y EVALUACIÓN'!AI179,"$ ##.###")&amp;" / "&amp;TEXT(FORMULACIÓN!AK179,"$ ##.###"))</f>
        <v xml:space="preserve"> / </v>
      </c>
      <c r="BD179" s="57">
        <f>IFERROR(IF((AJ179/FORMULACIÓN!AK179)&lt;&gt;0,AJ179/FORMULACIÓN!AK179,0),0)</f>
        <v>0</v>
      </c>
      <c r="CL179" s="7"/>
    </row>
    <row r="180" spans="1:90" s="1" customFormat="1" ht="99.95" customHeight="1">
      <c r="A180" s="45" t="str">
        <f>IF(FORMULACIÓN!A180="","",FORMULACIÓN!A180)</f>
        <v/>
      </c>
      <c r="B180" s="45" t="str">
        <f>IF(FORMULACIÓN!B180="","",FORMULACIÓN!B180)</f>
        <v/>
      </c>
      <c r="C180" s="45" t="str">
        <f>IF(FORMULACIÓN!E180="","",FORMULACIÓN!E180)</f>
        <v/>
      </c>
      <c r="D180" s="45" t="str">
        <f>IF(FORMULACIÓN!F180="","",FORMULACIÓN!F180)</f>
        <v/>
      </c>
      <c r="E180" s="45" t="str">
        <f>IF(FORMULACIÓN!G180="","",FORMULACIÓN!G180)</f>
        <v/>
      </c>
      <c r="F180" s="45" t="str">
        <f>IF(FORMULACIÓN!H180="","",FORMULACIÓN!H180)</f>
        <v/>
      </c>
      <c r="G180" s="45" t="str">
        <f>IF(FORMULACIÓN!I180="","",FORMULACIÓN!I180)</f>
        <v/>
      </c>
      <c r="H180" s="45" t="str">
        <f>IF(FORMULACIÓN!J180="","",FORMULACIÓN!J180)</f>
        <v/>
      </c>
      <c r="I180" s="188" t="str">
        <f ca="1">IF($G180=Lists!$R$3,"PDI: "&amp;TEXT(FORMULACIÓN!Q180,"00,00%")&amp;CHAR(10)&amp;CHAR(10)&amp;"T1: "&amp;TEXT(FORMULACIÓN!L180,"00,00%")&amp;CHAR(10)&amp;"T2: "&amp;TEXT(FORMULACIÓN!M180,"00,00%")&amp;CHAR(10)&amp;"T3: "&amp;TEXT(FORMULACIÓN!N180,"00,00%")&amp;CHAR(10)&amp;"Tn: "&amp;TEXT(FORMULACIÓN!O180,"00,00%"),IF(FORMULACIÓN!Q180=0,0,"PDI: "&amp;TEXT(FORMULACIÓN!Q180,"##.###")&amp;CHAR(10)&amp;CHAR(10)&amp;"T1: "&amp;TEXT(FORMULACIÓN!L180,"##.###")&amp;CHAR(10)&amp;"T2: "&amp;TEXT(FORMULACIÓN!M180,"##.###")&amp;CHAR(10)&amp;"T3: "&amp;TEXT(FORMULACIÓN!N180,"##.###")&amp;CHAR(10)&amp;"Tn: "&amp;TEXT(FORMULACIÓN!O180,"##.###")))</f>
        <v xml:space="preserve">PDI: 
T1: 
T2: 
T3: 
Tn: </v>
      </c>
      <c r="J180" s="122" t="str">
        <f>IF(FORMULACIÓN!K180&lt;&gt;"",FORMULACIÓN!K180,"")</f>
        <v/>
      </c>
      <c r="K180" s="58"/>
      <c r="L180" s="58"/>
      <c r="M180" s="58"/>
      <c r="N180" s="58"/>
      <c r="O180" s="47" t="str">
        <f ca="1">IFERROR(IF($H180=Lists!$S$2,SUM('SEGUIMIENTO Y EVALUACIÓN'!J180:N180),IF('SEGUIMIENTO Y EVALUACIÓN'!$H180=Lists!$S$3,SUM('SEGUIMIENTO Y EVALUACIÓN'!K180:N180),IF('SEGUIMIENTO Y EVALUACIÓN'!$H180=Lists!$S$4,AVERAGE('SEGUIMIENTO Y EVALUACIÓN'!K180:N180),IF('SEGUIMIENTO Y EVALUACIÓN'!$H180=Lists!$S$5,OFFSET(J180,0,COUNTA(K180:N180)),IF($H180=Lists!$S$6,COUNTIF(K180:N180,"&lt;"&amp;FORMULACIÓN!Q180)/COUNT('SEGUIMIENTO Y EVALUACIÓN'!K180:N180),""))))),"")</f>
        <v/>
      </c>
      <c r="P180" s="51" t="str">
        <f ca="1">IF($G180=Lists!$R$3,TEXT('SEGUIMIENTO Y EVALUACIÓN'!O180,"00,00%"),IF('SEGUIMIENTO Y EVALUACIÓN'!O180=0,0,TEXT('SEGUIMIENTO Y EVALUACIÓN'!O180,"##.###")))</f>
        <v/>
      </c>
      <c r="Q180" s="209" t="str">
        <f>IF(FORMULACIÓN!R180&lt;&gt;"",FORMULACIÓN!R180,"")</f>
        <v/>
      </c>
      <c r="R180" s="209" t="str">
        <f>IF(FORMULACIÓN!S180&lt;&gt;"",FORMULACIÓN!S180,"")</f>
        <v/>
      </c>
      <c r="S180" s="209" t="str">
        <f>IF(FORMULACIÓN!T180&lt;&gt;"",FORMULACIÓN!T180,"")</f>
        <v/>
      </c>
      <c r="T180" s="42"/>
      <c r="U180" s="42"/>
      <c r="V180" s="42"/>
      <c r="W180" s="43" t="str">
        <f t="shared" si="18"/>
        <v/>
      </c>
      <c r="X180" s="42"/>
      <c r="Y180" s="42"/>
      <c r="Z180" s="42"/>
      <c r="AA180" s="43" t="str">
        <f t="shared" si="19"/>
        <v/>
      </c>
      <c r="AB180" s="42"/>
      <c r="AC180" s="42"/>
      <c r="AD180" s="42"/>
      <c r="AE180" s="43" t="str">
        <f t="shared" si="20"/>
        <v/>
      </c>
      <c r="AF180" s="42"/>
      <c r="AG180" s="42"/>
      <c r="AH180" s="42"/>
      <c r="AI180" s="46" t="str">
        <f t="shared" si="21"/>
        <v/>
      </c>
      <c r="AJ180" s="46" t="str">
        <f>IF(SUM(AA180,AE180,W180,AI180)=0,"",SUM((AA180,AE180,W180,AI180)))</f>
        <v/>
      </c>
      <c r="AK180"/>
      <c r="AL180" s="1" t="str">
        <f t="shared" si="25"/>
        <v/>
      </c>
      <c r="AM180" s="56" t="str">
        <f t="shared" si="26"/>
        <v/>
      </c>
      <c r="AN180" s="112" t="str">
        <f ca="1">IF($G180=Lists!$R$3,"T1: "&amp;TEXT(FORMULACIÓN!L180,"00,00%")&amp;CHAR(10)&amp;"T2: "&amp;TEXT(FORMULACIÓN!M180,"00,00%")&amp;CHAR(10)&amp;"T3: "&amp;TEXT(FORMULACIÓN!N180,"00,00%")&amp;CHAR(10)&amp;"Tn: "&amp;TEXT(FORMULACIÓN!O180,"00,00%"),IF(FORMULACIÓN!Q180=0,0,"T1: "&amp;TEXT(FORMULACIÓN!L180,"##.###")&amp;CHAR(10)&amp;"T2: "&amp;TEXT(FORMULACIÓN!M180,"##.###")&amp;CHAR(10)&amp;"T3: "&amp;TEXT(FORMULACIÓN!N180,"##.###")&amp;CHAR(10)&amp;"Tn: "&amp;TEXT(FORMULACIÓN!O180,"##.###")))</f>
        <v xml:space="preserve">T1: 
T2: 
T3: 
Tn: </v>
      </c>
      <c r="AO180" s="117" t="str">
        <f>IFERROR(IF($H180=Lists!$S$6,IF(AND(FORMULACIÓN!L180&gt;K180,K180&gt;0),1,0),IF((K180/FORMULACIÓN!L180)&lt;&gt;0,K180/FORMULACIÓN!L180,0)),"")</f>
        <v/>
      </c>
      <c r="AP180" s="117" t="str">
        <f>IFERROR(IF($H180=Lists!$S$6,IF(AND(FORMULACIÓN!M180&gt;L180,L180&gt;0),1,0),IF((L180/FORMULACIÓN!M180)&lt;&gt;0,L180/FORMULACIÓN!M180,0)),"")</f>
        <v/>
      </c>
      <c r="AQ180" s="117" t="str">
        <f>IFERROR(IF($H180=Lists!$S$6,IF(AND(FORMULACIÓN!N180&gt;M180,M180&gt;0),1,0),IF((M180/FORMULACIÓN!N180)&lt;&gt;0,M180/FORMULACIÓN!N180,0)),"")</f>
        <v/>
      </c>
      <c r="AR180" s="117" t="str">
        <f>IFERROR(IF($H180=Lists!$S$6,IF(AND(FORMULACIÓN!O180&gt;N180,N180&gt;0),1,0),IF((N180/FORMULACIÓN!O180)&lt;&gt;0,N180/FORMULACIÓN!O180,0)),"")</f>
        <v/>
      </c>
      <c r="AS180" s="110"/>
      <c r="AT180" s="118" t="str">
        <f ca="1">IF($H180=Lists!$S$6,TEXT(COUNTIF('SEGUIMIENTO Y EVALUACIÓN'!K180:N180,"&lt;"&amp;FORMULACIÓN!Q180),"##.###")&amp;" / "&amp;TEXT(COUNTIF('SEGUIMIENTO Y EVALUACIÓN'!K180:N180,"&gt;"&amp;0),"##.###"),IF($G180=Lists!$R$3,TEXT('SEGUIMIENTO Y EVALUACIÓN'!O180,"00,00%")&amp;" / "&amp;TEXT(FORMULACIÓN!P180,"00,00%"),IF('SEGUIMIENTO Y EVALUACIÓN'!O180=0,0,TEXT('SEGUIMIENTO Y EVALUACIÓN'!O180,"##.###")&amp;" / "&amp;TEXT(FORMULACIÓN!P180,"##.###"))))</f>
        <v xml:space="preserve"> / </v>
      </c>
      <c r="AU180" s="57">
        <f ca="1">IFERROR(IF((P180/FORMULACIÓN!Q180)&lt;&gt;0,IF($H180=Lists!$S$6,COUNTIF('SEGUIMIENTO Y EVALUACIÓN'!K180:N180,"&lt;"&amp;FORMULACIÓN!Q180),'SEGUIMIENTO Y EVALUACIÓN'!P180)/IF($H180=Lists!$S$6,COUNTIF('SEGUIMIENTO Y EVALUACIÓN'!K180:N180,"&gt;"&amp;0),FORMULACIÓN!P180),0),0)</f>
        <v>0</v>
      </c>
      <c r="AV180" s="93" t="str">
        <f t="shared" ca="1" si="24"/>
        <v/>
      </c>
      <c r="AW180" s="93" cm="1">
        <f t="array" ref="AW180">IF(INDEX(AO180:AU180,1,$AV$3)&gt;1,IF($AU$2=1,1,INDEX(AO180:AU180,1,$AV$3)),INDEX(AO180:AU180,1,$AV$3))</f>
        <v>1</v>
      </c>
      <c r="AX180"/>
      <c r="AY180" s="119" t="str">
        <f>IFERROR(IF((W180/FORMULACIÓN!X180)&lt;&gt;0,W180/FORMULACIÓN!X180,0),"")</f>
        <v/>
      </c>
      <c r="AZ180" s="119" t="str">
        <f>IFERROR(IF((AA180/FORMULACIÓN!AB180)&lt;&gt;0,AA180/FORMULACIÓN!AB180,0),"")</f>
        <v/>
      </c>
      <c r="BA180" s="119" t="str">
        <f>IFERROR(IF((AE180/FORMULACIÓN!AF180)&lt;&gt;0,(AE180/FORMULACIÓN!AF180),0),"")</f>
        <v/>
      </c>
      <c r="BB180" s="119" t="str">
        <f>IFERROR(IF((AI180/FORMULACIÓN!AJ180)&lt;&gt;0,AI180/FORMULACIÓN!AJ180,0),"")</f>
        <v/>
      </c>
      <c r="BC180" s="120" t="str">
        <f>IF('SEGUIMIENTO Y EVALUACIÓN'!AI180=0,0,TEXT('SEGUIMIENTO Y EVALUACIÓN'!AI180,"$ ##.###")&amp;" / "&amp;TEXT(FORMULACIÓN!AK180,"$ ##.###"))</f>
        <v xml:space="preserve"> / </v>
      </c>
      <c r="BD180" s="57">
        <f>IFERROR(IF((AJ180/FORMULACIÓN!AK180)&lt;&gt;0,AJ180/FORMULACIÓN!AK180,0),0)</f>
        <v>0</v>
      </c>
      <c r="CL180" s="7"/>
    </row>
    <row r="181" spans="1:90" s="1" customFormat="1" ht="99.95" customHeight="1">
      <c r="A181" s="45" t="str">
        <f>IF(FORMULACIÓN!A181="","",FORMULACIÓN!A181)</f>
        <v/>
      </c>
      <c r="B181" s="45" t="str">
        <f>IF(FORMULACIÓN!B181="","",FORMULACIÓN!B181)</f>
        <v/>
      </c>
      <c r="C181" s="45" t="str">
        <f>IF(FORMULACIÓN!E181="","",FORMULACIÓN!E181)</f>
        <v/>
      </c>
      <c r="D181" s="45" t="str">
        <f>IF(FORMULACIÓN!F181="","",FORMULACIÓN!F181)</f>
        <v/>
      </c>
      <c r="E181" s="45" t="str">
        <f>IF(FORMULACIÓN!G181="","",FORMULACIÓN!G181)</f>
        <v/>
      </c>
      <c r="F181" s="45" t="str">
        <f>IF(FORMULACIÓN!H181="","",FORMULACIÓN!H181)</f>
        <v/>
      </c>
      <c r="G181" s="45" t="str">
        <f>IF(FORMULACIÓN!I181="","",FORMULACIÓN!I181)</f>
        <v/>
      </c>
      <c r="H181" s="45" t="str">
        <f>IF(FORMULACIÓN!J181="","",FORMULACIÓN!J181)</f>
        <v/>
      </c>
      <c r="I181" s="188" t="str">
        <f ca="1">IF($G181=Lists!$R$3,"PDI: "&amp;TEXT(FORMULACIÓN!Q181,"00,00%")&amp;CHAR(10)&amp;CHAR(10)&amp;"T1: "&amp;TEXT(FORMULACIÓN!L181,"00,00%")&amp;CHAR(10)&amp;"T2: "&amp;TEXT(FORMULACIÓN!M181,"00,00%")&amp;CHAR(10)&amp;"T3: "&amp;TEXT(FORMULACIÓN!N181,"00,00%")&amp;CHAR(10)&amp;"Tn: "&amp;TEXT(FORMULACIÓN!O181,"00,00%"),IF(FORMULACIÓN!Q181=0,0,"PDI: "&amp;TEXT(FORMULACIÓN!Q181,"##.###")&amp;CHAR(10)&amp;CHAR(10)&amp;"T1: "&amp;TEXT(FORMULACIÓN!L181,"##.###")&amp;CHAR(10)&amp;"T2: "&amp;TEXT(FORMULACIÓN!M181,"##.###")&amp;CHAR(10)&amp;"T3: "&amp;TEXT(FORMULACIÓN!N181,"##.###")&amp;CHAR(10)&amp;"Tn: "&amp;TEXT(FORMULACIÓN!O181,"##.###")))</f>
        <v xml:space="preserve">PDI: 
T1: 
T2: 
T3: 
Tn: </v>
      </c>
      <c r="J181" s="122" t="str">
        <f>IF(FORMULACIÓN!K181&lt;&gt;"",FORMULACIÓN!K181,"")</f>
        <v/>
      </c>
      <c r="K181" s="58"/>
      <c r="L181" s="58"/>
      <c r="M181" s="58"/>
      <c r="N181" s="58"/>
      <c r="O181" s="47" t="str">
        <f ca="1">IFERROR(IF($H181=Lists!$S$2,SUM('SEGUIMIENTO Y EVALUACIÓN'!J181:N181),IF('SEGUIMIENTO Y EVALUACIÓN'!$H181=Lists!$S$3,SUM('SEGUIMIENTO Y EVALUACIÓN'!K181:N181),IF('SEGUIMIENTO Y EVALUACIÓN'!$H181=Lists!$S$4,AVERAGE('SEGUIMIENTO Y EVALUACIÓN'!K181:N181),IF('SEGUIMIENTO Y EVALUACIÓN'!$H181=Lists!$S$5,OFFSET(J181,0,COUNTA(K181:N181)),IF($H181=Lists!$S$6,COUNTIF(K181:N181,"&lt;"&amp;FORMULACIÓN!Q181)/COUNT('SEGUIMIENTO Y EVALUACIÓN'!K181:N181),""))))),"")</f>
        <v/>
      </c>
      <c r="P181" s="51" t="str">
        <f ca="1">IF($G181=Lists!$R$3,TEXT('SEGUIMIENTO Y EVALUACIÓN'!O181,"00,00%"),IF('SEGUIMIENTO Y EVALUACIÓN'!O181=0,0,TEXT('SEGUIMIENTO Y EVALUACIÓN'!O181,"##.###")))</f>
        <v/>
      </c>
      <c r="Q181" s="209" t="str">
        <f>IF(FORMULACIÓN!R181&lt;&gt;"",FORMULACIÓN!R181,"")</f>
        <v/>
      </c>
      <c r="R181" s="209" t="str">
        <f>IF(FORMULACIÓN!S181&lt;&gt;"",FORMULACIÓN!S181,"")</f>
        <v/>
      </c>
      <c r="S181" s="209" t="str">
        <f>IF(FORMULACIÓN!T181&lt;&gt;"",FORMULACIÓN!T181,"")</f>
        <v/>
      </c>
      <c r="T181" s="42"/>
      <c r="U181" s="42"/>
      <c r="V181" s="42"/>
      <c r="W181" s="43" t="str">
        <f t="shared" si="18"/>
        <v/>
      </c>
      <c r="X181" s="42"/>
      <c r="Y181" s="42"/>
      <c r="Z181" s="42"/>
      <c r="AA181" s="43" t="str">
        <f t="shared" si="19"/>
        <v/>
      </c>
      <c r="AB181" s="42"/>
      <c r="AC181" s="42"/>
      <c r="AD181" s="42"/>
      <c r="AE181" s="43" t="str">
        <f t="shared" si="20"/>
        <v/>
      </c>
      <c r="AF181" s="42"/>
      <c r="AG181" s="42"/>
      <c r="AH181" s="42"/>
      <c r="AI181" s="46" t="str">
        <f t="shared" si="21"/>
        <v/>
      </c>
      <c r="AJ181" s="46" t="str">
        <f>IF(SUM(AA181,AE181,W181,AI181)=0,"",SUM((AA181,AE181,W181,AI181)))</f>
        <v/>
      </c>
      <c r="AK181"/>
      <c r="AL181" s="1" t="str">
        <f t="shared" si="25"/>
        <v/>
      </c>
      <c r="AM181" s="56" t="str">
        <f t="shared" si="26"/>
        <v/>
      </c>
      <c r="AN181" s="112" t="str">
        <f ca="1">IF($G181=Lists!$R$3,"T1: "&amp;TEXT(FORMULACIÓN!L181,"00,00%")&amp;CHAR(10)&amp;"T2: "&amp;TEXT(FORMULACIÓN!M181,"00,00%")&amp;CHAR(10)&amp;"T3: "&amp;TEXT(FORMULACIÓN!N181,"00,00%")&amp;CHAR(10)&amp;"Tn: "&amp;TEXT(FORMULACIÓN!O181,"00,00%"),IF(FORMULACIÓN!Q181=0,0,"T1: "&amp;TEXT(FORMULACIÓN!L181,"##.###")&amp;CHAR(10)&amp;"T2: "&amp;TEXT(FORMULACIÓN!M181,"##.###")&amp;CHAR(10)&amp;"T3: "&amp;TEXT(FORMULACIÓN!N181,"##.###")&amp;CHAR(10)&amp;"Tn: "&amp;TEXT(FORMULACIÓN!O181,"##.###")))</f>
        <v xml:space="preserve">T1: 
T2: 
T3: 
Tn: </v>
      </c>
      <c r="AO181" s="117" t="str">
        <f>IFERROR(IF($H181=Lists!$S$6,IF(AND(FORMULACIÓN!L181&gt;K181,K181&gt;0),1,0),IF((K181/FORMULACIÓN!L181)&lt;&gt;0,K181/FORMULACIÓN!L181,0)),"")</f>
        <v/>
      </c>
      <c r="AP181" s="117" t="str">
        <f>IFERROR(IF($H181=Lists!$S$6,IF(AND(FORMULACIÓN!M181&gt;L181,L181&gt;0),1,0),IF((L181/FORMULACIÓN!M181)&lt;&gt;0,L181/FORMULACIÓN!M181,0)),"")</f>
        <v/>
      </c>
      <c r="AQ181" s="117" t="str">
        <f>IFERROR(IF($H181=Lists!$S$6,IF(AND(FORMULACIÓN!N181&gt;M181,M181&gt;0),1,0),IF((M181/FORMULACIÓN!N181)&lt;&gt;0,M181/FORMULACIÓN!N181,0)),"")</f>
        <v/>
      </c>
      <c r="AR181" s="117" t="str">
        <f>IFERROR(IF($H181=Lists!$S$6,IF(AND(FORMULACIÓN!O181&gt;N181,N181&gt;0),1,0),IF((N181/FORMULACIÓN!O181)&lt;&gt;0,N181/FORMULACIÓN!O181,0)),"")</f>
        <v/>
      </c>
      <c r="AS181" s="110"/>
      <c r="AT181" s="118" t="str">
        <f ca="1">IF($H181=Lists!$S$6,TEXT(COUNTIF('SEGUIMIENTO Y EVALUACIÓN'!K181:N181,"&lt;"&amp;FORMULACIÓN!Q181),"##.###")&amp;" / "&amp;TEXT(COUNTIF('SEGUIMIENTO Y EVALUACIÓN'!K181:N181,"&gt;"&amp;0),"##.###"),IF($G181=Lists!$R$3,TEXT('SEGUIMIENTO Y EVALUACIÓN'!O181,"00,00%")&amp;" / "&amp;TEXT(FORMULACIÓN!P181,"00,00%"),IF('SEGUIMIENTO Y EVALUACIÓN'!O181=0,0,TEXT('SEGUIMIENTO Y EVALUACIÓN'!O181,"##.###")&amp;" / "&amp;TEXT(FORMULACIÓN!P181,"##.###"))))</f>
        <v xml:space="preserve"> / </v>
      </c>
      <c r="AU181" s="57">
        <f ca="1">IFERROR(IF((P181/FORMULACIÓN!Q181)&lt;&gt;0,IF($H181=Lists!$S$6,COUNTIF('SEGUIMIENTO Y EVALUACIÓN'!K181:N181,"&lt;"&amp;FORMULACIÓN!Q181),'SEGUIMIENTO Y EVALUACIÓN'!P181)/IF($H181=Lists!$S$6,COUNTIF('SEGUIMIENTO Y EVALUACIÓN'!K181:N181,"&gt;"&amp;0),FORMULACIÓN!P181),0),0)</f>
        <v>0</v>
      </c>
      <c r="AV181" s="93" t="str">
        <f t="shared" ca="1" si="24"/>
        <v/>
      </c>
      <c r="AW181" s="93" cm="1">
        <f t="array" ref="AW181">IF(INDEX(AO181:AU181,1,$AV$3)&gt;1,IF($AU$2=1,1,INDEX(AO181:AU181,1,$AV$3)),INDEX(AO181:AU181,1,$AV$3))</f>
        <v>1</v>
      </c>
      <c r="AX181"/>
      <c r="AY181" s="119" t="str">
        <f>IFERROR(IF((W181/FORMULACIÓN!X181)&lt;&gt;0,W181/FORMULACIÓN!X181,0),"")</f>
        <v/>
      </c>
      <c r="AZ181" s="119" t="str">
        <f>IFERROR(IF((AA181/FORMULACIÓN!AB181)&lt;&gt;0,AA181/FORMULACIÓN!AB181,0),"")</f>
        <v/>
      </c>
      <c r="BA181" s="119" t="str">
        <f>IFERROR(IF((AE181/FORMULACIÓN!AF181)&lt;&gt;0,(AE181/FORMULACIÓN!AF181),0),"")</f>
        <v/>
      </c>
      <c r="BB181" s="119" t="str">
        <f>IFERROR(IF((AI181/FORMULACIÓN!AJ181)&lt;&gt;0,AI181/FORMULACIÓN!AJ181,0),"")</f>
        <v/>
      </c>
      <c r="BC181" s="120" t="str">
        <f>IF('SEGUIMIENTO Y EVALUACIÓN'!AI181=0,0,TEXT('SEGUIMIENTO Y EVALUACIÓN'!AI181,"$ ##.###")&amp;" / "&amp;TEXT(FORMULACIÓN!AK181,"$ ##.###"))</f>
        <v xml:space="preserve"> / </v>
      </c>
      <c r="BD181" s="57">
        <f>IFERROR(IF((AJ181/FORMULACIÓN!AK181)&lt;&gt;0,AJ181/FORMULACIÓN!AK181,0),0)</f>
        <v>0</v>
      </c>
      <c r="CL181" s="7"/>
    </row>
    <row r="182" spans="1:90" s="1" customFormat="1" ht="99.95" customHeight="1">
      <c r="A182" s="45" t="str">
        <f>IF(FORMULACIÓN!A182="","",FORMULACIÓN!A182)</f>
        <v/>
      </c>
      <c r="B182" s="45" t="str">
        <f>IF(FORMULACIÓN!B182="","",FORMULACIÓN!B182)</f>
        <v/>
      </c>
      <c r="C182" s="45" t="str">
        <f>IF(FORMULACIÓN!E182="","",FORMULACIÓN!E182)</f>
        <v/>
      </c>
      <c r="D182" s="45" t="str">
        <f>IF(FORMULACIÓN!F182="","",FORMULACIÓN!F182)</f>
        <v/>
      </c>
      <c r="E182" s="45" t="str">
        <f>IF(FORMULACIÓN!G182="","",FORMULACIÓN!G182)</f>
        <v/>
      </c>
      <c r="F182" s="45" t="str">
        <f>IF(FORMULACIÓN!H182="","",FORMULACIÓN!H182)</f>
        <v/>
      </c>
      <c r="G182" s="45" t="str">
        <f>IF(FORMULACIÓN!I182="","",FORMULACIÓN!I182)</f>
        <v/>
      </c>
      <c r="H182" s="45" t="str">
        <f>IF(FORMULACIÓN!J182="","",FORMULACIÓN!J182)</f>
        <v/>
      </c>
      <c r="I182" s="188" t="str">
        <f ca="1">IF($G182=Lists!$R$3,"PDI: "&amp;TEXT(FORMULACIÓN!Q182,"00,00%")&amp;CHAR(10)&amp;CHAR(10)&amp;"T1: "&amp;TEXT(FORMULACIÓN!L182,"00,00%")&amp;CHAR(10)&amp;"T2: "&amp;TEXT(FORMULACIÓN!M182,"00,00%")&amp;CHAR(10)&amp;"T3: "&amp;TEXT(FORMULACIÓN!N182,"00,00%")&amp;CHAR(10)&amp;"Tn: "&amp;TEXT(FORMULACIÓN!O182,"00,00%"),IF(FORMULACIÓN!Q182=0,0,"PDI: "&amp;TEXT(FORMULACIÓN!Q182,"##.###")&amp;CHAR(10)&amp;CHAR(10)&amp;"T1: "&amp;TEXT(FORMULACIÓN!L182,"##.###")&amp;CHAR(10)&amp;"T2: "&amp;TEXT(FORMULACIÓN!M182,"##.###")&amp;CHAR(10)&amp;"T3: "&amp;TEXT(FORMULACIÓN!N182,"##.###")&amp;CHAR(10)&amp;"Tn: "&amp;TEXT(FORMULACIÓN!O182,"##.###")))</f>
        <v xml:space="preserve">PDI: 
T1: 
T2: 
T3: 
Tn: </v>
      </c>
      <c r="J182" s="122" t="str">
        <f>IF(FORMULACIÓN!K182&lt;&gt;"",FORMULACIÓN!K182,"")</f>
        <v/>
      </c>
      <c r="K182" s="58"/>
      <c r="L182" s="58"/>
      <c r="M182" s="58"/>
      <c r="N182" s="58"/>
      <c r="O182" s="47" t="str">
        <f ca="1">IFERROR(IF($H182=Lists!$S$2,SUM('SEGUIMIENTO Y EVALUACIÓN'!J182:N182),IF('SEGUIMIENTO Y EVALUACIÓN'!$H182=Lists!$S$3,SUM('SEGUIMIENTO Y EVALUACIÓN'!K182:N182),IF('SEGUIMIENTO Y EVALUACIÓN'!$H182=Lists!$S$4,AVERAGE('SEGUIMIENTO Y EVALUACIÓN'!K182:N182),IF('SEGUIMIENTO Y EVALUACIÓN'!$H182=Lists!$S$5,OFFSET(J182,0,COUNTA(K182:N182)),IF($H182=Lists!$S$6,COUNTIF(K182:N182,"&lt;"&amp;FORMULACIÓN!Q182)/COUNT('SEGUIMIENTO Y EVALUACIÓN'!K182:N182),""))))),"")</f>
        <v/>
      </c>
      <c r="P182" s="51" t="str">
        <f ca="1">IF($G182=Lists!$R$3,TEXT('SEGUIMIENTO Y EVALUACIÓN'!O182,"00,00%"),IF('SEGUIMIENTO Y EVALUACIÓN'!O182=0,0,TEXT('SEGUIMIENTO Y EVALUACIÓN'!O182,"##.###")))</f>
        <v/>
      </c>
      <c r="Q182" s="209" t="str">
        <f>IF(FORMULACIÓN!R182&lt;&gt;"",FORMULACIÓN!R182,"")</f>
        <v/>
      </c>
      <c r="R182" s="209" t="str">
        <f>IF(FORMULACIÓN!S182&lt;&gt;"",FORMULACIÓN!S182,"")</f>
        <v/>
      </c>
      <c r="S182" s="209" t="str">
        <f>IF(FORMULACIÓN!T182&lt;&gt;"",FORMULACIÓN!T182,"")</f>
        <v/>
      </c>
      <c r="T182" s="42"/>
      <c r="U182" s="42"/>
      <c r="V182" s="42"/>
      <c r="W182" s="43" t="str">
        <f t="shared" si="18"/>
        <v/>
      </c>
      <c r="X182" s="42"/>
      <c r="Y182" s="42"/>
      <c r="Z182" s="42"/>
      <c r="AA182" s="43" t="str">
        <f t="shared" si="19"/>
        <v/>
      </c>
      <c r="AB182" s="42"/>
      <c r="AC182" s="42"/>
      <c r="AD182" s="42"/>
      <c r="AE182" s="43" t="str">
        <f t="shared" si="20"/>
        <v/>
      </c>
      <c r="AF182" s="42"/>
      <c r="AG182" s="42"/>
      <c r="AH182" s="42"/>
      <c r="AI182" s="46" t="str">
        <f t="shared" si="21"/>
        <v/>
      </c>
      <c r="AJ182" s="46" t="str">
        <f>IF(SUM(AA182,AE182,W182,AI182)=0,"",SUM((AA182,AE182,W182,AI182)))</f>
        <v/>
      </c>
      <c r="AK182"/>
      <c r="AL182" s="1" t="str">
        <f t="shared" si="25"/>
        <v/>
      </c>
      <c r="AM182" s="56" t="str">
        <f t="shared" si="26"/>
        <v/>
      </c>
      <c r="AN182" s="112" t="str">
        <f ca="1">IF($G182=Lists!$R$3,"T1: "&amp;TEXT(FORMULACIÓN!L182,"00,00%")&amp;CHAR(10)&amp;"T2: "&amp;TEXT(FORMULACIÓN!M182,"00,00%")&amp;CHAR(10)&amp;"T3: "&amp;TEXT(FORMULACIÓN!N182,"00,00%")&amp;CHAR(10)&amp;"Tn: "&amp;TEXT(FORMULACIÓN!O182,"00,00%"),IF(FORMULACIÓN!Q182=0,0,"T1: "&amp;TEXT(FORMULACIÓN!L182,"##.###")&amp;CHAR(10)&amp;"T2: "&amp;TEXT(FORMULACIÓN!M182,"##.###")&amp;CHAR(10)&amp;"T3: "&amp;TEXT(FORMULACIÓN!N182,"##.###")&amp;CHAR(10)&amp;"Tn: "&amp;TEXT(FORMULACIÓN!O182,"##.###")))</f>
        <v xml:space="preserve">T1: 
T2: 
T3: 
Tn: </v>
      </c>
      <c r="AO182" s="117" t="str">
        <f>IFERROR(IF($H182=Lists!$S$6,IF(AND(FORMULACIÓN!L182&gt;K182,K182&gt;0),1,0),IF((K182/FORMULACIÓN!L182)&lt;&gt;0,K182/FORMULACIÓN!L182,0)),"")</f>
        <v/>
      </c>
      <c r="AP182" s="117" t="str">
        <f>IFERROR(IF($H182=Lists!$S$6,IF(AND(FORMULACIÓN!M182&gt;L182,L182&gt;0),1,0),IF((L182/FORMULACIÓN!M182)&lt;&gt;0,L182/FORMULACIÓN!M182,0)),"")</f>
        <v/>
      </c>
      <c r="AQ182" s="117" t="str">
        <f>IFERROR(IF($H182=Lists!$S$6,IF(AND(FORMULACIÓN!N182&gt;M182,M182&gt;0),1,0),IF((M182/FORMULACIÓN!N182)&lt;&gt;0,M182/FORMULACIÓN!N182,0)),"")</f>
        <v/>
      </c>
      <c r="AR182" s="117" t="str">
        <f>IFERROR(IF($H182=Lists!$S$6,IF(AND(FORMULACIÓN!O182&gt;N182,N182&gt;0),1,0),IF((N182/FORMULACIÓN!O182)&lt;&gt;0,N182/FORMULACIÓN!O182,0)),"")</f>
        <v/>
      </c>
      <c r="AS182" s="110"/>
      <c r="AT182" s="118" t="str">
        <f ca="1">IF($H182=Lists!$S$6,TEXT(COUNTIF('SEGUIMIENTO Y EVALUACIÓN'!K182:N182,"&lt;"&amp;FORMULACIÓN!Q182),"##.###")&amp;" / "&amp;TEXT(COUNTIF('SEGUIMIENTO Y EVALUACIÓN'!K182:N182,"&gt;"&amp;0),"##.###"),IF($G182=Lists!$R$3,TEXT('SEGUIMIENTO Y EVALUACIÓN'!O182,"00,00%")&amp;" / "&amp;TEXT(FORMULACIÓN!P182,"00,00%"),IF('SEGUIMIENTO Y EVALUACIÓN'!O182=0,0,TEXT('SEGUIMIENTO Y EVALUACIÓN'!O182,"##.###")&amp;" / "&amp;TEXT(FORMULACIÓN!P182,"##.###"))))</f>
        <v xml:space="preserve"> / </v>
      </c>
      <c r="AU182" s="57">
        <f ca="1">IFERROR(IF((P182/FORMULACIÓN!Q182)&lt;&gt;0,IF($H182=Lists!$S$6,COUNTIF('SEGUIMIENTO Y EVALUACIÓN'!K182:N182,"&lt;"&amp;FORMULACIÓN!Q182),'SEGUIMIENTO Y EVALUACIÓN'!P182)/IF($H182=Lists!$S$6,COUNTIF('SEGUIMIENTO Y EVALUACIÓN'!K182:N182,"&gt;"&amp;0),FORMULACIÓN!P182),0),0)</f>
        <v>0</v>
      </c>
      <c r="AV182" s="93" t="str">
        <f t="shared" ca="1" si="24"/>
        <v/>
      </c>
      <c r="AW182" s="93" cm="1">
        <f t="array" ref="AW182">IF(INDEX(AO182:AU182,1,$AV$3)&gt;1,IF($AU$2=1,1,INDEX(AO182:AU182,1,$AV$3)),INDEX(AO182:AU182,1,$AV$3))</f>
        <v>1</v>
      </c>
      <c r="AX182"/>
      <c r="AY182" s="119" t="str">
        <f>IFERROR(IF((W182/FORMULACIÓN!X182)&lt;&gt;0,W182/FORMULACIÓN!X182,0),"")</f>
        <v/>
      </c>
      <c r="AZ182" s="119" t="str">
        <f>IFERROR(IF((AA182/FORMULACIÓN!AB182)&lt;&gt;0,AA182/FORMULACIÓN!AB182,0),"")</f>
        <v/>
      </c>
      <c r="BA182" s="119" t="str">
        <f>IFERROR(IF((AE182/FORMULACIÓN!AF182)&lt;&gt;0,(AE182/FORMULACIÓN!AF182),0),"")</f>
        <v/>
      </c>
      <c r="BB182" s="119" t="str">
        <f>IFERROR(IF((AI182/FORMULACIÓN!AJ182)&lt;&gt;0,AI182/FORMULACIÓN!AJ182,0),"")</f>
        <v/>
      </c>
      <c r="BC182" s="120" t="str">
        <f>IF('SEGUIMIENTO Y EVALUACIÓN'!AI182=0,0,TEXT('SEGUIMIENTO Y EVALUACIÓN'!AI182,"$ ##.###")&amp;" / "&amp;TEXT(FORMULACIÓN!AK182,"$ ##.###"))</f>
        <v xml:space="preserve"> / </v>
      </c>
      <c r="BD182" s="57">
        <f>IFERROR(IF((AJ182/FORMULACIÓN!AK182)&lt;&gt;0,AJ182/FORMULACIÓN!AK182,0),0)</f>
        <v>0</v>
      </c>
      <c r="CL182" s="7"/>
    </row>
    <row r="183" spans="1:90" s="1" customFormat="1" ht="99.95" customHeight="1">
      <c r="A183" s="45" t="str">
        <f>IF(FORMULACIÓN!A183="","",FORMULACIÓN!A183)</f>
        <v/>
      </c>
      <c r="B183" s="45" t="str">
        <f>IF(FORMULACIÓN!B183="","",FORMULACIÓN!B183)</f>
        <v/>
      </c>
      <c r="C183" s="45" t="str">
        <f>IF(FORMULACIÓN!E183="","",FORMULACIÓN!E183)</f>
        <v/>
      </c>
      <c r="D183" s="45" t="str">
        <f>IF(FORMULACIÓN!F183="","",FORMULACIÓN!F183)</f>
        <v/>
      </c>
      <c r="E183" s="45" t="str">
        <f>IF(FORMULACIÓN!G183="","",FORMULACIÓN!G183)</f>
        <v/>
      </c>
      <c r="F183" s="45" t="str">
        <f>IF(FORMULACIÓN!H183="","",FORMULACIÓN!H183)</f>
        <v/>
      </c>
      <c r="G183" s="45" t="str">
        <f>IF(FORMULACIÓN!I183="","",FORMULACIÓN!I183)</f>
        <v/>
      </c>
      <c r="H183" s="45" t="str">
        <f>IF(FORMULACIÓN!J183="","",FORMULACIÓN!J183)</f>
        <v/>
      </c>
      <c r="I183" s="188" t="str">
        <f ca="1">IF($G183=Lists!$R$3,"PDI: "&amp;TEXT(FORMULACIÓN!Q183,"00,00%")&amp;CHAR(10)&amp;CHAR(10)&amp;"T1: "&amp;TEXT(FORMULACIÓN!L183,"00,00%")&amp;CHAR(10)&amp;"T2: "&amp;TEXT(FORMULACIÓN!M183,"00,00%")&amp;CHAR(10)&amp;"T3: "&amp;TEXT(FORMULACIÓN!N183,"00,00%")&amp;CHAR(10)&amp;"Tn: "&amp;TEXT(FORMULACIÓN!O183,"00,00%"),IF(FORMULACIÓN!Q183=0,0,"PDI: "&amp;TEXT(FORMULACIÓN!Q183,"##.###")&amp;CHAR(10)&amp;CHAR(10)&amp;"T1: "&amp;TEXT(FORMULACIÓN!L183,"##.###")&amp;CHAR(10)&amp;"T2: "&amp;TEXT(FORMULACIÓN!M183,"##.###")&amp;CHAR(10)&amp;"T3: "&amp;TEXT(FORMULACIÓN!N183,"##.###")&amp;CHAR(10)&amp;"Tn: "&amp;TEXT(FORMULACIÓN!O183,"##.###")))</f>
        <v xml:space="preserve">PDI: 
T1: 
T2: 
T3: 
Tn: </v>
      </c>
      <c r="J183" s="122" t="str">
        <f>IF(FORMULACIÓN!K183&lt;&gt;"",FORMULACIÓN!K183,"")</f>
        <v/>
      </c>
      <c r="K183" s="58"/>
      <c r="L183" s="58"/>
      <c r="M183" s="58"/>
      <c r="N183" s="58"/>
      <c r="O183" s="47" t="str">
        <f ca="1">IFERROR(IF($H183=Lists!$S$2,SUM('SEGUIMIENTO Y EVALUACIÓN'!J183:N183),IF('SEGUIMIENTO Y EVALUACIÓN'!$H183=Lists!$S$3,SUM('SEGUIMIENTO Y EVALUACIÓN'!K183:N183),IF('SEGUIMIENTO Y EVALUACIÓN'!$H183=Lists!$S$4,AVERAGE('SEGUIMIENTO Y EVALUACIÓN'!K183:N183),IF('SEGUIMIENTO Y EVALUACIÓN'!$H183=Lists!$S$5,OFFSET(J183,0,COUNTA(K183:N183)),IF($H183=Lists!$S$6,COUNTIF(K183:N183,"&lt;"&amp;FORMULACIÓN!Q183)/COUNT('SEGUIMIENTO Y EVALUACIÓN'!K183:N183),""))))),"")</f>
        <v/>
      </c>
      <c r="P183" s="51" t="str">
        <f ca="1">IF($G183=Lists!$R$3,TEXT('SEGUIMIENTO Y EVALUACIÓN'!O183,"00,00%"),IF('SEGUIMIENTO Y EVALUACIÓN'!O183=0,0,TEXT('SEGUIMIENTO Y EVALUACIÓN'!O183,"##.###")))</f>
        <v/>
      </c>
      <c r="Q183" s="209" t="str">
        <f>IF(FORMULACIÓN!R183&lt;&gt;"",FORMULACIÓN!R183,"")</f>
        <v/>
      </c>
      <c r="R183" s="209" t="str">
        <f>IF(FORMULACIÓN!S183&lt;&gt;"",FORMULACIÓN!S183,"")</f>
        <v/>
      </c>
      <c r="S183" s="209" t="str">
        <f>IF(FORMULACIÓN!T183&lt;&gt;"",FORMULACIÓN!T183,"")</f>
        <v/>
      </c>
      <c r="T183" s="42"/>
      <c r="U183" s="42"/>
      <c r="V183" s="42"/>
      <c r="W183" s="43" t="str">
        <f t="shared" si="18"/>
        <v/>
      </c>
      <c r="X183" s="42"/>
      <c r="Y183" s="42"/>
      <c r="Z183" s="42"/>
      <c r="AA183" s="43" t="str">
        <f t="shared" si="19"/>
        <v/>
      </c>
      <c r="AB183" s="42"/>
      <c r="AC183" s="42"/>
      <c r="AD183" s="42"/>
      <c r="AE183" s="43" t="str">
        <f t="shared" si="20"/>
        <v/>
      </c>
      <c r="AF183" s="42"/>
      <c r="AG183" s="42"/>
      <c r="AH183" s="42"/>
      <c r="AI183" s="46" t="str">
        <f t="shared" si="21"/>
        <v/>
      </c>
      <c r="AJ183" s="46" t="str">
        <f>IF(SUM(AA183,AE183,W183,AI183)=0,"",SUM((AA183,AE183,W183,AI183)))</f>
        <v/>
      </c>
      <c r="AK183" s="2"/>
      <c r="AL183" s="1" t="str">
        <f t="shared" si="25"/>
        <v/>
      </c>
      <c r="AM183" s="56" t="str">
        <f t="shared" si="26"/>
        <v/>
      </c>
      <c r="AN183" s="112" t="str">
        <f ca="1">IF($G183=Lists!$R$3,"T1: "&amp;TEXT(FORMULACIÓN!L183,"00,00%")&amp;CHAR(10)&amp;"T2: "&amp;TEXT(FORMULACIÓN!M183,"00,00%")&amp;CHAR(10)&amp;"T3: "&amp;TEXT(FORMULACIÓN!N183,"00,00%")&amp;CHAR(10)&amp;"Tn: "&amp;TEXT(FORMULACIÓN!O183,"00,00%"),IF(FORMULACIÓN!Q183=0,0,"T1: "&amp;TEXT(FORMULACIÓN!L183,"##.###")&amp;CHAR(10)&amp;"T2: "&amp;TEXT(FORMULACIÓN!M183,"##.###")&amp;CHAR(10)&amp;"T3: "&amp;TEXT(FORMULACIÓN!N183,"##.###")&amp;CHAR(10)&amp;"Tn: "&amp;TEXT(FORMULACIÓN!O183,"##.###")))</f>
        <v xml:space="preserve">T1: 
T2: 
T3: 
Tn: </v>
      </c>
      <c r="AO183" s="117" t="str">
        <f>IFERROR(IF($H183=Lists!$S$6,IF(AND(FORMULACIÓN!L183&gt;K183,K183&gt;0),1,0),IF((K183/FORMULACIÓN!L183)&lt;&gt;0,K183/FORMULACIÓN!L183,0)),"")</f>
        <v/>
      </c>
      <c r="AP183" s="117" t="str">
        <f>IFERROR(IF($H183=Lists!$S$6,IF(AND(FORMULACIÓN!M183&gt;L183,L183&gt;0),1,0),IF((L183/FORMULACIÓN!M183)&lt;&gt;0,L183/FORMULACIÓN!M183,0)),"")</f>
        <v/>
      </c>
      <c r="AQ183" s="117" t="str">
        <f>IFERROR(IF($H183=Lists!$S$6,IF(AND(FORMULACIÓN!N183&gt;M183,M183&gt;0),1,0),IF((M183/FORMULACIÓN!N183)&lt;&gt;0,M183/FORMULACIÓN!N183,0)),"")</f>
        <v/>
      </c>
      <c r="AR183" s="117" t="str">
        <f>IFERROR(IF($H183=Lists!$S$6,IF(AND(FORMULACIÓN!O183&gt;N183,N183&gt;0),1,0),IF((N183/FORMULACIÓN!O183)&lt;&gt;0,N183/FORMULACIÓN!O183,0)),"")</f>
        <v/>
      </c>
      <c r="AS183" s="110"/>
      <c r="AT183" s="118" t="str">
        <f ca="1">IF($H183=Lists!$S$6,TEXT(COUNTIF('SEGUIMIENTO Y EVALUACIÓN'!K183:N183,"&lt;"&amp;FORMULACIÓN!Q183),"##.###")&amp;" / "&amp;TEXT(COUNTIF('SEGUIMIENTO Y EVALUACIÓN'!K183:N183,"&gt;"&amp;0),"##.###"),IF($G183=Lists!$R$3,TEXT('SEGUIMIENTO Y EVALUACIÓN'!O183,"00,00%")&amp;" / "&amp;TEXT(FORMULACIÓN!P183,"00,00%"),IF('SEGUIMIENTO Y EVALUACIÓN'!O183=0,0,TEXT('SEGUIMIENTO Y EVALUACIÓN'!O183,"##.###")&amp;" / "&amp;TEXT(FORMULACIÓN!P183,"##.###"))))</f>
        <v xml:space="preserve"> / </v>
      </c>
      <c r="AU183" s="57">
        <f ca="1">IFERROR(IF((P183/FORMULACIÓN!Q183)&lt;&gt;0,IF($H183=Lists!$S$6,COUNTIF('SEGUIMIENTO Y EVALUACIÓN'!K183:N183,"&lt;"&amp;FORMULACIÓN!Q183),'SEGUIMIENTO Y EVALUACIÓN'!P183)/IF($H183=Lists!$S$6,COUNTIF('SEGUIMIENTO Y EVALUACIÓN'!K183:N183,"&gt;"&amp;0),FORMULACIÓN!P183),0),0)</f>
        <v>0</v>
      </c>
      <c r="AV183" s="93" t="str">
        <f t="shared" ca="1" si="24"/>
        <v/>
      </c>
      <c r="AW183" s="93" cm="1">
        <f t="array" ref="AW183">IF(INDEX(AO183:AU183,1,$AV$3)&gt;1,IF($AU$2=1,1,INDEX(AO183:AU183,1,$AV$3)),INDEX(AO183:AU183,1,$AV$3))</f>
        <v>1</v>
      </c>
      <c r="AX183" s="3"/>
      <c r="AY183" s="119" t="str">
        <f>IFERROR(IF((W183/FORMULACIÓN!X183)&lt;&gt;0,W183/FORMULACIÓN!X183,0),"")</f>
        <v/>
      </c>
      <c r="AZ183" s="119" t="str">
        <f>IFERROR(IF((AA183/FORMULACIÓN!AB183)&lt;&gt;0,AA183/FORMULACIÓN!AB183,0),"")</f>
        <v/>
      </c>
      <c r="BA183" s="119" t="str">
        <f>IFERROR(IF((AE183/FORMULACIÓN!AF183)&lt;&gt;0,(AE183/FORMULACIÓN!AF183),0),"")</f>
        <v/>
      </c>
      <c r="BB183" s="119" t="str">
        <f>IFERROR(IF((AI183/FORMULACIÓN!AJ183)&lt;&gt;0,AI183/FORMULACIÓN!AJ183,0),"")</f>
        <v/>
      </c>
      <c r="BC183" s="120" t="str">
        <f>IF('SEGUIMIENTO Y EVALUACIÓN'!AI183=0,0,TEXT('SEGUIMIENTO Y EVALUACIÓN'!AI183,"$ ##.###")&amp;" / "&amp;TEXT(FORMULACIÓN!AK183,"$ ##.###"))</f>
        <v xml:space="preserve"> / </v>
      </c>
      <c r="BD183" s="57">
        <f>IFERROR(IF((AJ183/FORMULACIÓN!AK183)&lt;&gt;0,AJ183/FORMULACIÓN!AK183,0),0)</f>
        <v>0</v>
      </c>
      <c r="CL183" s="7"/>
    </row>
    <row r="184" spans="1:90" s="1" customFormat="1" ht="99.95" customHeight="1">
      <c r="A184" s="45" t="str">
        <f>IF(FORMULACIÓN!A184="","",FORMULACIÓN!A184)</f>
        <v/>
      </c>
      <c r="B184" s="45" t="str">
        <f>IF(FORMULACIÓN!B184="","",FORMULACIÓN!B184)</f>
        <v/>
      </c>
      <c r="C184" s="45" t="str">
        <f>IF(FORMULACIÓN!E184="","",FORMULACIÓN!E184)</f>
        <v/>
      </c>
      <c r="D184" s="45" t="str">
        <f>IF(FORMULACIÓN!F184="","",FORMULACIÓN!F184)</f>
        <v/>
      </c>
      <c r="E184" s="45" t="str">
        <f>IF(FORMULACIÓN!G184="","",FORMULACIÓN!G184)</f>
        <v/>
      </c>
      <c r="F184" s="45" t="str">
        <f>IF(FORMULACIÓN!H184="","",FORMULACIÓN!H184)</f>
        <v/>
      </c>
      <c r="G184" s="45" t="str">
        <f>IF(FORMULACIÓN!I184="","",FORMULACIÓN!I184)</f>
        <v/>
      </c>
      <c r="H184" s="45" t="str">
        <f>IF(FORMULACIÓN!J184="","",FORMULACIÓN!J184)</f>
        <v/>
      </c>
      <c r="I184" s="188" t="str">
        <f ca="1">IF($G184=Lists!$R$3,"PDI: "&amp;TEXT(FORMULACIÓN!Q184,"00,00%")&amp;CHAR(10)&amp;CHAR(10)&amp;"T1: "&amp;TEXT(FORMULACIÓN!L184,"00,00%")&amp;CHAR(10)&amp;"T2: "&amp;TEXT(FORMULACIÓN!M184,"00,00%")&amp;CHAR(10)&amp;"T3: "&amp;TEXT(FORMULACIÓN!N184,"00,00%")&amp;CHAR(10)&amp;"Tn: "&amp;TEXT(FORMULACIÓN!O184,"00,00%"),IF(FORMULACIÓN!Q184=0,0,"PDI: "&amp;TEXT(FORMULACIÓN!Q184,"##.###")&amp;CHAR(10)&amp;CHAR(10)&amp;"T1: "&amp;TEXT(FORMULACIÓN!L184,"##.###")&amp;CHAR(10)&amp;"T2: "&amp;TEXT(FORMULACIÓN!M184,"##.###")&amp;CHAR(10)&amp;"T3: "&amp;TEXT(FORMULACIÓN!N184,"##.###")&amp;CHAR(10)&amp;"Tn: "&amp;TEXT(FORMULACIÓN!O184,"##.###")))</f>
        <v xml:space="preserve">PDI: 
T1: 
T2: 
T3: 
Tn: </v>
      </c>
      <c r="J184" s="122" t="str">
        <f>IF(FORMULACIÓN!K184&lt;&gt;"",FORMULACIÓN!K184,"")</f>
        <v/>
      </c>
      <c r="K184" s="58"/>
      <c r="L184" s="58"/>
      <c r="M184" s="58"/>
      <c r="N184" s="58"/>
      <c r="O184" s="47" t="str">
        <f ca="1">IFERROR(IF($H184=Lists!$S$2,SUM('SEGUIMIENTO Y EVALUACIÓN'!J184:N184),IF('SEGUIMIENTO Y EVALUACIÓN'!$H184=Lists!$S$3,SUM('SEGUIMIENTO Y EVALUACIÓN'!K184:N184),IF('SEGUIMIENTO Y EVALUACIÓN'!$H184=Lists!$S$4,AVERAGE('SEGUIMIENTO Y EVALUACIÓN'!K184:N184),IF('SEGUIMIENTO Y EVALUACIÓN'!$H184=Lists!$S$5,OFFSET(J184,0,COUNTA(K184:N184)),IF($H184=Lists!$S$6,COUNTIF(K184:N184,"&lt;"&amp;FORMULACIÓN!Q184)/COUNT('SEGUIMIENTO Y EVALUACIÓN'!K184:N184),""))))),"")</f>
        <v/>
      </c>
      <c r="P184" s="51" t="str">
        <f ca="1">IF($G184=Lists!$R$3,TEXT('SEGUIMIENTO Y EVALUACIÓN'!O184,"00,00%"),IF('SEGUIMIENTO Y EVALUACIÓN'!O184=0,0,TEXT('SEGUIMIENTO Y EVALUACIÓN'!O184,"##.###")))</f>
        <v/>
      </c>
      <c r="Q184" s="209" t="str">
        <f>IF(FORMULACIÓN!R184&lt;&gt;"",FORMULACIÓN!R184,"")</f>
        <v/>
      </c>
      <c r="R184" s="209" t="str">
        <f>IF(FORMULACIÓN!S184&lt;&gt;"",FORMULACIÓN!S184,"")</f>
        <v/>
      </c>
      <c r="S184" s="209" t="str">
        <f>IF(FORMULACIÓN!T184&lt;&gt;"",FORMULACIÓN!T184,"")</f>
        <v/>
      </c>
      <c r="T184" s="42"/>
      <c r="U184" s="42"/>
      <c r="V184" s="42"/>
      <c r="W184" s="43" t="str">
        <f t="shared" si="18"/>
        <v/>
      </c>
      <c r="X184" s="42"/>
      <c r="Y184" s="42"/>
      <c r="Z184" s="42"/>
      <c r="AA184" s="43" t="str">
        <f t="shared" si="19"/>
        <v/>
      </c>
      <c r="AB184" s="42"/>
      <c r="AC184" s="42"/>
      <c r="AD184" s="42"/>
      <c r="AE184" s="43" t="str">
        <f t="shared" si="20"/>
        <v/>
      </c>
      <c r="AF184" s="42"/>
      <c r="AG184" s="42"/>
      <c r="AH184" s="42"/>
      <c r="AI184" s="46" t="str">
        <f t="shared" si="21"/>
        <v/>
      </c>
      <c r="AJ184" s="46" t="str">
        <f>IF(SUM(AA184,AE184,W184,AI184)=0,"",SUM((AA184,AE184,W184,AI184)))</f>
        <v/>
      </c>
      <c r="AK184" s="2"/>
      <c r="AL184" s="1" t="str">
        <f t="shared" si="25"/>
        <v/>
      </c>
      <c r="AM184" s="56" t="str">
        <f t="shared" si="26"/>
        <v/>
      </c>
      <c r="AN184" s="112" t="str">
        <f ca="1">IF($G184=Lists!$R$3,"T1: "&amp;TEXT(FORMULACIÓN!L184,"00,00%")&amp;CHAR(10)&amp;"T2: "&amp;TEXT(FORMULACIÓN!M184,"00,00%")&amp;CHAR(10)&amp;"T3: "&amp;TEXT(FORMULACIÓN!N184,"00,00%")&amp;CHAR(10)&amp;"Tn: "&amp;TEXT(FORMULACIÓN!O184,"00,00%"),IF(FORMULACIÓN!Q184=0,0,"T1: "&amp;TEXT(FORMULACIÓN!L184,"##.###")&amp;CHAR(10)&amp;"T2: "&amp;TEXT(FORMULACIÓN!M184,"##.###")&amp;CHAR(10)&amp;"T3: "&amp;TEXT(FORMULACIÓN!N184,"##.###")&amp;CHAR(10)&amp;"Tn: "&amp;TEXT(FORMULACIÓN!O184,"##.###")))</f>
        <v xml:space="preserve">T1: 
T2: 
T3: 
Tn: </v>
      </c>
      <c r="AO184" s="117" t="str">
        <f>IFERROR(IF($H184=Lists!$S$6,IF(AND(FORMULACIÓN!L184&gt;K184,K184&gt;0),1,0),IF((K184/FORMULACIÓN!L184)&lt;&gt;0,K184/FORMULACIÓN!L184,0)),"")</f>
        <v/>
      </c>
      <c r="AP184" s="117" t="str">
        <f>IFERROR(IF($H184=Lists!$S$6,IF(AND(FORMULACIÓN!M184&gt;L184,L184&gt;0),1,0),IF((L184/FORMULACIÓN!M184)&lt;&gt;0,L184/FORMULACIÓN!M184,0)),"")</f>
        <v/>
      </c>
      <c r="AQ184" s="117" t="str">
        <f>IFERROR(IF($H184=Lists!$S$6,IF(AND(FORMULACIÓN!N184&gt;M184,M184&gt;0),1,0),IF((M184/FORMULACIÓN!N184)&lt;&gt;0,M184/FORMULACIÓN!N184,0)),"")</f>
        <v/>
      </c>
      <c r="AR184" s="117" t="str">
        <f>IFERROR(IF($H184=Lists!$S$6,IF(AND(FORMULACIÓN!O184&gt;N184,N184&gt;0),1,0),IF((N184/FORMULACIÓN!O184)&lt;&gt;0,N184/FORMULACIÓN!O184,0)),"")</f>
        <v/>
      </c>
      <c r="AS184" s="110"/>
      <c r="AT184" s="118" t="str">
        <f ca="1">IF($H184=Lists!$S$6,TEXT(COUNTIF('SEGUIMIENTO Y EVALUACIÓN'!K184:N184,"&lt;"&amp;FORMULACIÓN!Q184),"##.###")&amp;" / "&amp;TEXT(COUNTIF('SEGUIMIENTO Y EVALUACIÓN'!K184:N184,"&gt;"&amp;0),"##.###"),IF($G184=Lists!$R$3,TEXT('SEGUIMIENTO Y EVALUACIÓN'!O184,"00,00%")&amp;" / "&amp;TEXT(FORMULACIÓN!P184,"00,00%"),IF('SEGUIMIENTO Y EVALUACIÓN'!O184=0,0,TEXT('SEGUIMIENTO Y EVALUACIÓN'!O184,"##.###")&amp;" / "&amp;TEXT(FORMULACIÓN!P184,"##.###"))))</f>
        <v xml:space="preserve"> / </v>
      </c>
      <c r="AU184" s="57">
        <f ca="1">IFERROR(IF((P184/FORMULACIÓN!Q184)&lt;&gt;0,IF($H184=Lists!$S$6,COUNTIF('SEGUIMIENTO Y EVALUACIÓN'!K184:N184,"&lt;"&amp;FORMULACIÓN!Q184),'SEGUIMIENTO Y EVALUACIÓN'!P184)/IF($H184=Lists!$S$6,COUNTIF('SEGUIMIENTO Y EVALUACIÓN'!K184:N184,"&gt;"&amp;0),FORMULACIÓN!P184),0),0)</f>
        <v>0</v>
      </c>
      <c r="AV184" s="93" t="str">
        <f t="shared" ca="1" si="24"/>
        <v/>
      </c>
      <c r="AW184" s="93" cm="1">
        <f t="array" ref="AW184">IF(INDEX(AO184:AU184,1,$AV$3)&gt;1,IF($AU$2=1,1,INDEX(AO184:AU184,1,$AV$3)),INDEX(AO184:AU184,1,$AV$3))</f>
        <v>1</v>
      </c>
      <c r="AX184" s="3"/>
      <c r="AY184" s="119" t="str">
        <f>IFERROR(IF((W184/FORMULACIÓN!X184)&lt;&gt;0,W184/FORMULACIÓN!X184,0),"")</f>
        <v/>
      </c>
      <c r="AZ184" s="119" t="str">
        <f>IFERROR(IF((AA184/FORMULACIÓN!AB184)&lt;&gt;0,AA184/FORMULACIÓN!AB184,0),"")</f>
        <v/>
      </c>
      <c r="BA184" s="119" t="str">
        <f>IFERROR(IF((AE184/FORMULACIÓN!AF184)&lt;&gt;0,(AE184/FORMULACIÓN!AF184),0),"")</f>
        <v/>
      </c>
      <c r="BB184" s="119" t="str">
        <f>IFERROR(IF((AI184/FORMULACIÓN!AJ184)&lt;&gt;0,AI184/FORMULACIÓN!AJ184,0),"")</f>
        <v/>
      </c>
      <c r="BC184" s="120" t="str">
        <f>IF('SEGUIMIENTO Y EVALUACIÓN'!AI184=0,0,TEXT('SEGUIMIENTO Y EVALUACIÓN'!AI184,"$ ##.###")&amp;" / "&amp;TEXT(FORMULACIÓN!AK184,"$ ##.###"))</f>
        <v xml:space="preserve"> / </v>
      </c>
      <c r="BD184" s="57">
        <f>IFERROR(IF((AJ184/FORMULACIÓN!AK184)&lt;&gt;0,AJ184/FORMULACIÓN!AK184,0),0)</f>
        <v>0</v>
      </c>
      <c r="CL184" s="7"/>
    </row>
    <row r="185" spans="1:90" s="1" customFormat="1" ht="99.95" customHeight="1">
      <c r="A185" s="45" t="str">
        <f>IF(FORMULACIÓN!A185="","",FORMULACIÓN!A185)</f>
        <v/>
      </c>
      <c r="B185" s="45" t="str">
        <f>IF(FORMULACIÓN!B185="","",FORMULACIÓN!B185)</f>
        <v/>
      </c>
      <c r="C185" s="45" t="str">
        <f>IF(FORMULACIÓN!E185="","",FORMULACIÓN!E185)</f>
        <v/>
      </c>
      <c r="D185" s="45" t="str">
        <f>IF(FORMULACIÓN!F185="","",FORMULACIÓN!F185)</f>
        <v/>
      </c>
      <c r="E185" s="45" t="str">
        <f>IF(FORMULACIÓN!G185="","",FORMULACIÓN!G185)</f>
        <v/>
      </c>
      <c r="F185" s="45" t="str">
        <f>IF(FORMULACIÓN!H185="","",FORMULACIÓN!H185)</f>
        <v/>
      </c>
      <c r="G185" s="45" t="str">
        <f>IF(FORMULACIÓN!I185="","",FORMULACIÓN!I185)</f>
        <v/>
      </c>
      <c r="H185" s="45" t="str">
        <f>IF(FORMULACIÓN!J185="","",FORMULACIÓN!J185)</f>
        <v/>
      </c>
      <c r="I185" s="188" t="str">
        <f ca="1">IF($G185=Lists!$R$3,"PDI: "&amp;TEXT(FORMULACIÓN!Q185,"00,00%")&amp;CHAR(10)&amp;CHAR(10)&amp;"T1: "&amp;TEXT(FORMULACIÓN!L185,"00,00%")&amp;CHAR(10)&amp;"T2: "&amp;TEXT(FORMULACIÓN!M185,"00,00%")&amp;CHAR(10)&amp;"T3: "&amp;TEXT(FORMULACIÓN!N185,"00,00%")&amp;CHAR(10)&amp;"Tn: "&amp;TEXT(FORMULACIÓN!O185,"00,00%"),IF(FORMULACIÓN!Q185=0,0,"PDI: "&amp;TEXT(FORMULACIÓN!Q185,"##.###")&amp;CHAR(10)&amp;CHAR(10)&amp;"T1: "&amp;TEXT(FORMULACIÓN!L185,"##.###")&amp;CHAR(10)&amp;"T2: "&amp;TEXT(FORMULACIÓN!M185,"##.###")&amp;CHAR(10)&amp;"T3: "&amp;TEXT(FORMULACIÓN!N185,"##.###")&amp;CHAR(10)&amp;"Tn: "&amp;TEXT(FORMULACIÓN!O185,"##.###")))</f>
        <v xml:space="preserve">PDI: 
T1: 
T2: 
T3: 
Tn: </v>
      </c>
      <c r="J185" s="122" t="str">
        <f>IF(FORMULACIÓN!K185&lt;&gt;"",FORMULACIÓN!K185,"")</f>
        <v/>
      </c>
      <c r="K185" s="58"/>
      <c r="L185" s="58"/>
      <c r="M185" s="58"/>
      <c r="N185" s="58"/>
      <c r="O185" s="47" t="str">
        <f ca="1">IFERROR(IF($H185=Lists!$S$2,SUM('SEGUIMIENTO Y EVALUACIÓN'!J185:N185),IF('SEGUIMIENTO Y EVALUACIÓN'!$H185=Lists!$S$3,SUM('SEGUIMIENTO Y EVALUACIÓN'!K185:N185),IF('SEGUIMIENTO Y EVALUACIÓN'!$H185=Lists!$S$4,AVERAGE('SEGUIMIENTO Y EVALUACIÓN'!K185:N185),IF('SEGUIMIENTO Y EVALUACIÓN'!$H185=Lists!$S$5,OFFSET(J185,0,COUNTA(K185:N185)),IF($H185=Lists!$S$6,COUNTIF(K185:N185,"&lt;"&amp;FORMULACIÓN!Q185)/COUNT('SEGUIMIENTO Y EVALUACIÓN'!K185:N185),""))))),"")</f>
        <v/>
      </c>
      <c r="P185" s="51" t="str">
        <f ca="1">IF($G185=Lists!$R$3,TEXT('SEGUIMIENTO Y EVALUACIÓN'!O185,"00,00%"),IF('SEGUIMIENTO Y EVALUACIÓN'!O185=0,0,TEXT('SEGUIMIENTO Y EVALUACIÓN'!O185,"##.###")))</f>
        <v/>
      </c>
      <c r="Q185" s="209" t="str">
        <f>IF(FORMULACIÓN!R185&lt;&gt;"",FORMULACIÓN!R185,"")</f>
        <v/>
      </c>
      <c r="R185" s="209" t="str">
        <f>IF(FORMULACIÓN!S185&lt;&gt;"",FORMULACIÓN!S185,"")</f>
        <v/>
      </c>
      <c r="S185" s="209" t="str">
        <f>IF(FORMULACIÓN!T185&lt;&gt;"",FORMULACIÓN!T185,"")</f>
        <v/>
      </c>
      <c r="T185" s="42"/>
      <c r="U185" s="42"/>
      <c r="V185" s="42"/>
      <c r="W185" s="43" t="str">
        <f t="shared" si="18"/>
        <v/>
      </c>
      <c r="X185" s="42"/>
      <c r="Y185" s="42"/>
      <c r="Z185" s="42"/>
      <c r="AA185" s="43" t="str">
        <f t="shared" si="19"/>
        <v/>
      </c>
      <c r="AB185" s="42"/>
      <c r="AC185" s="42"/>
      <c r="AD185" s="42"/>
      <c r="AE185" s="43" t="str">
        <f t="shared" si="20"/>
        <v/>
      </c>
      <c r="AF185" s="42"/>
      <c r="AG185" s="42"/>
      <c r="AH185" s="42"/>
      <c r="AI185" s="46" t="str">
        <f t="shared" si="21"/>
        <v/>
      </c>
      <c r="AJ185" s="46" t="str">
        <f>IF(SUM(AA185,AE185,W185,AI185)=0,"",SUM((AA185,AE185,W185,AI185)))</f>
        <v/>
      </c>
      <c r="AK185" s="2"/>
      <c r="AL185" s="1" t="str">
        <f t="shared" si="25"/>
        <v/>
      </c>
      <c r="AM185" s="56" t="str">
        <f t="shared" si="26"/>
        <v/>
      </c>
      <c r="AN185" s="112" t="str">
        <f ca="1">IF($G185=Lists!$R$3,"T1: "&amp;TEXT(FORMULACIÓN!L185,"00,00%")&amp;CHAR(10)&amp;"T2: "&amp;TEXT(FORMULACIÓN!M185,"00,00%")&amp;CHAR(10)&amp;"T3: "&amp;TEXT(FORMULACIÓN!N185,"00,00%")&amp;CHAR(10)&amp;"Tn: "&amp;TEXT(FORMULACIÓN!O185,"00,00%"),IF(FORMULACIÓN!Q185=0,0,"T1: "&amp;TEXT(FORMULACIÓN!L185,"##.###")&amp;CHAR(10)&amp;"T2: "&amp;TEXT(FORMULACIÓN!M185,"##.###")&amp;CHAR(10)&amp;"T3: "&amp;TEXT(FORMULACIÓN!N185,"##.###")&amp;CHAR(10)&amp;"Tn: "&amp;TEXT(FORMULACIÓN!O185,"##.###")))</f>
        <v xml:space="preserve">T1: 
T2: 
T3: 
Tn: </v>
      </c>
      <c r="AO185" s="117" t="str">
        <f>IFERROR(IF($H185=Lists!$S$6,IF(AND(FORMULACIÓN!L185&gt;K185,K185&gt;0),1,0),IF((K185/FORMULACIÓN!L185)&lt;&gt;0,K185/FORMULACIÓN!L185,0)),"")</f>
        <v/>
      </c>
      <c r="AP185" s="117" t="str">
        <f>IFERROR(IF($H185=Lists!$S$6,IF(AND(FORMULACIÓN!M185&gt;L185,L185&gt;0),1,0),IF((L185/FORMULACIÓN!M185)&lt;&gt;0,L185/FORMULACIÓN!M185,0)),"")</f>
        <v/>
      </c>
      <c r="AQ185" s="117" t="str">
        <f>IFERROR(IF($H185=Lists!$S$6,IF(AND(FORMULACIÓN!N185&gt;M185,M185&gt;0),1,0),IF((M185/FORMULACIÓN!N185)&lt;&gt;0,M185/FORMULACIÓN!N185,0)),"")</f>
        <v/>
      </c>
      <c r="AR185" s="117" t="str">
        <f>IFERROR(IF($H185=Lists!$S$6,IF(AND(FORMULACIÓN!O185&gt;N185,N185&gt;0),1,0),IF((N185/FORMULACIÓN!O185)&lt;&gt;0,N185/FORMULACIÓN!O185,0)),"")</f>
        <v/>
      </c>
      <c r="AS185" s="110"/>
      <c r="AT185" s="118" t="str">
        <f ca="1">IF($H185=Lists!$S$6,TEXT(COUNTIF('SEGUIMIENTO Y EVALUACIÓN'!K185:N185,"&lt;"&amp;FORMULACIÓN!Q185),"##.###")&amp;" / "&amp;TEXT(COUNTIF('SEGUIMIENTO Y EVALUACIÓN'!K185:N185,"&gt;"&amp;0),"##.###"),IF($G185=Lists!$R$3,TEXT('SEGUIMIENTO Y EVALUACIÓN'!O185,"00,00%")&amp;" / "&amp;TEXT(FORMULACIÓN!P185,"00,00%"),IF('SEGUIMIENTO Y EVALUACIÓN'!O185=0,0,TEXT('SEGUIMIENTO Y EVALUACIÓN'!O185,"##.###")&amp;" / "&amp;TEXT(FORMULACIÓN!P185,"##.###"))))</f>
        <v xml:space="preserve"> / </v>
      </c>
      <c r="AU185" s="57">
        <f ca="1">IFERROR(IF((P185/FORMULACIÓN!Q185)&lt;&gt;0,IF($H185=Lists!$S$6,COUNTIF('SEGUIMIENTO Y EVALUACIÓN'!K185:N185,"&lt;"&amp;FORMULACIÓN!Q185),'SEGUIMIENTO Y EVALUACIÓN'!P185)/IF($H185=Lists!$S$6,COUNTIF('SEGUIMIENTO Y EVALUACIÓN'!K185:N185,"&gt;"&amp;0),FORMULACIÓN!P185),0),0)</f>
        <v>0</v>
      </c>
      <c r="AV185" s="93" t="str">
        <f t="shared" ca="1" si="24"/>
        <v/>
      </c>
      <c r="AW185" s="93" cm="1">
        <f t="array" ref="AW185">IF(INDEX(AO185:AU185,1,$AV$3)&gt;1,IF($AU$2=1,1,INDEX(AO185:AU185,1,$AV$3)),INDEX(AO185:AU185,1,$AV$3))</f>
        <v>1</v>
      </c>
      <c r="AX185" s="3"/>
      <c r="AY185" s="119" t="str">
        <f>IFERROR(IF((W185/FORMULACIÓN!X185)&lt;&gt;0,W185/FORMULACIÓN!X185,0),"")</f>
        <v/>
      </c>
      <c r="AZ185" s="119" t="str">
        <f>IFERROR(IF((AA185/FORMULACIÓN!AB185)&lt;&gt;0,AA185/FORMULACIÓN!AB185,0),"")</f>
        <v/>
      </c>
      <c r="BA185" s="119" t="str">
        <f>IFERROR(IF((AE185/FORMULACIÓN!AF185)&lt;&gt;0,(AE185/FORMULACIÓN!AF185),0),"")</f>
        <v/>
      </c>
      <c r="BB185" s="119" t="str">
        <f>IFERROR(IF((AI185/FORMULACIÓN!AJ185)&lt;&gt;0,AI185/FORMULACIÓN!AJ185,0),"")</f>
        <v/>
      </c>
      <c r="BC185" s="120" t="str">
        <f>IF('SEGUIMIENTO Y EVALUACIÓN'!AI185=0,0,TEXT('SEGUIMIENTO Y EVALUACIÓN'!AI185,"$ ##.###")&amp;" / "&amp;TEXT(FORMULACIÓN!AK185,"$ ##.###"))</f>
        <v xml:space="preserve"> / </v>
      </c>
      <c r="BD185" s="57">
        <f>IFERROR(IF((AJ185/FORMULACIÓN!AK185)&lt;&gt;0,AJ185/FORMULACIÓN!AK185,0),0)</f>
        <v>0</v>
      </c>
      <c r="CL185" s="7"/>
    </row>
    <row r="186" spans="1:90" s="1" customFormat="1" ht="99.95" customHeight="1">
      <c r="A186" s="45" t="str">
        <f>IF(FORMULACIÓN!A186="","",FORMULACIÓN!A186)</f>
        <v/>
      </c>
      <c r="B186" s="45" t="str">
        <f>IF(FORMULACIÓN!B186="","",FORMULACIÓN!B186)</f>
        <v/>
      </c>
      <c r="C186" s="45" t="str">
        <f>IF(FORMULACIÓN!E186="","",FORMULACIÓN!E186)</f>
        <v/>
      </c>
      <c r="D186" s="45" t="str">
        <f>IF(FORMULACIÓN!F186="","",FORMULACIÓN!F186)</f>
        <v/>
      </c>
      <c r="E186" s="45" t="str">
        <f>IF(FORMULACIÓN!G186="","",FORMULACIÓN!G186)</f>
        <v/>
      </c>
      <c r="F186" s="45" t="str">
        <f>IF(FORMULACIÓN!H186="","",FORMULACIÓN!H186)</f>
        <v/>
      </c>
      <c r="G186" s="45" t="str">
        <f>IF(FORMULACIÓN!I186="","",FORMULACIÓN!I186)</f>
        <v/>
      </c>
      <c r="H186" s="45" t="str">
        <f>IF(FORMULACIÓN!J186="","",FORMULACIÓN!J186)</f>
        <v/>
      </c>
      <c r="I186" s="188" t="str">
        <f ca="1">IF($G186=Lists!$R$3,"PDI: "&amp;TEXT(FORMULACIÓN!Q186,"00,00%")&amp;CHAR(10)&amp;CHAR(10)&amp;"T1: "&amp;TEXT(FORMULACIÓN!L186,"00,00%")&amp;CHAR(10)&amp;"T2: "&amp;TEXT(FORMULACIÓN!M186,"00,00%")&amp;CHAR(10)&amp;"T3: "&amp;TEXT(FORMULACIÓN!N186,"00,00%")&amp;CHAR(10)&amp;"Tn: "&amp;TEXT(FORMULACIÓN!O186,"00,00%"),IF(FORMULACIÓN!Q186=0,0,"PDI: "&amp;TEXT(FORMULACIÓN!Q186,"##.###")&amp;CHAR(10)&amp;CHAR(10)&amp;"T1: "&amp;TEXT(FORMULACIÓN!L186,"##.###")&amp;CHAR(10)&amp;"T2: "&amp;TEXT(FORMULACIÓN!M186,"##.###")&amp;CHAR(10)&amp;"T3: "&amp;TEXT(FORMULACIÓN!N186,"##.###")&amp;CHAR(10)&amp;"Tn: "&amp;TEXT(FORMULACIÓN!O186,"##.###")))</f>
        <v xml:space="preserve">PDI: 
T1: 
T2: 
T3: 
Tn: </v>
      </c>
      <c r="J186" s="122" t="str">
        <f>IF(FORMULACIÓN!K186&lt;&gt;"",FORMULACIÓN!K186,"")</f>
        <v/>
      </c>
      <c r="K186" s="58"/>
      <c r="L186" s="58"/>
      <c r="M186" s="58"/>
      <c r="N186" s="58"/>
      <c r="O186" s="47" t="str">
        <f ca="1">IFERROR(IF($H186=Lists!$S$2,SUM('SEGUIMIENTO Y EVALUACIÓN'!J186:N186),IF('SEGUIMIENTO Y EVALUACIÓN'!$H186=Lists!$S$3,SUM('SEGUIMIENTO Y EVALUACIÓN'!K186:N186),IF('SEGUIMIENTO Y EVALUACIÓN'!$H186=Lists!$S$4,AVERAGE('SEGUIMIENTO Y EVALUACIÓN'!K186:N186),IF('SEGUIMIENTO Y EVALUACIÓN'!$H186=Lists!$S$5,OFFSET(J186,0,COUNTA(K186:N186)),IF($H186=Lists!$S$6,COUNTIF(K186:N186,"&lt;"&amp;FORMULACIÓN!Q186)/COUNT('SEGUIMIENTO Y EVALUACIÓN'!K186:N186),""))))),"")</f>
        <v/>
      </c>
      <c r="P186" s="51" t="str">
        <f ca="1">IF($G186=Lists!$R$3,TEXT('SEGUIMIENTO Y EVALUACIÓN'!O186,"00,00%"),IF('SEGUIMIENTO Y EVALUACIÓN'!O186=0,0,TEXT('SEGUIMIENTO Y EVALUACIÓN'!O186,"##.###")))</f>
        <v/>
      </c>
      <c r="Q186" s="209" t="str">
        <f>IF(FORMULACIÓN!R186&lt;&gt;"",FORMULACIÓN!R186,"")</f>
        <v/>
      </c>
      <c r="R186" s="209" t="str">
        <f>IF(FORMULACIÓN!S186&lt;&gt;"",FORMULACIÓN!S186,"")</f>
        <v/>
      </c>
      <c r="S186" s="209" t="str">
        <f>IF(FORMULACIÓN!T186&lt;&gt;"",FORMULACIÓN!T186,"")</f>
        <v/>
      </c>
      <c r="T186" s="42"/>
      <c r="U186" s="42"/>
      <c r="V186" s="42"/>
      <c r="W186" s="43" t="str">
        <f t="shared" si="18"/>
        <v/>
      </c>
      <c r="X186" s="42"/>
      <c r="Y186" s="42"/>
      <c r="Z186" s="42"/>
      <c r="AA186" s="43" t="str">
        <f t="shared" si="19"/>
        <v/>
      </c>
      <c r="AB186" s="42"/>
      <c r="AC186" s="42"/>
      <c r="AD186" s="42"/>
      <c r="AE186" s="43" t="str">
        <f t="shared" si="20"/>
        <v/>
      </c>
      <c r="AF186" s="42"/>
      <c r="AG186" s="42"/>
      <c r="AH186" s="42"/>
      <c r="AI186" s="46" t="str">
        <f t="shared" si="21"/>
        <v/>
      </c>
      <c r="AJ186" s="46" t="str">
        <f>IF(SUM(AA186,AE186,W186,AI186)=0,"",SUM((AA186,AE186,W186,AI186)))</f>
        <v/>
      </c>
      <c r="AK186" s="2"/>
      <c r="AL186" s="1" t="str">
        <f t="shared" si="25"/>
        <v/>
      </c>
      <c r="AM186" s="56" t="str">
        <f t="shared" si="26"/>
        <v/>
      </c>
      <c r="AN186" s="112" t="str">
        <f ca="1">IF($G186=Lists!$R$3,"T1: "&amp;TEXT(FORMULACIÓN!L186,"00,00%")&amp;CHAR(10)&amp;"T2: "&amp;TEXT(FORMULACIÓN!M186,"00,00%")&amp;CHAR(10)&amp;"T3: "&amp;TEXT(FORMULACIÓN!N186,"00,00%")&amp;CHAR(10)&amp;"Tn: "&amp;TEXT(FORMULACIÓN!O186,"00,00%"),IF(FORMULACIÓN!Q186=0,0,"T1: "&amp;TEXT(FORMULACIÓN!L186,"##.###")&amp;CHAR(10)&amp;"T2: "&amp;TEXT(FORMULACIÓN!M186,"##.###")&amp;CHAR(10)&amp;"T3: "&amp;TEXT(FORMULACIÓN!N186,"##.###")&amp;CHAR(10)&amp;"Tn: "&amp;TEXT(FORMULACIÓN!O186,"##.###")))</f>
        <v xml:space="preserve">T1: 
T2: 
T3: 
Tn: </v>
      </c>
      <c r="AO186" s="117" t="str">
        <f>IFERROR(IF($H186=Lists!$S$6,IF(AND(FORMULACIÓN!L186&gt;K186,K186&gt;0),1,0),IF((K186/FORMULACIÓN!L186)&lt;&gt;0,K186/FORMULACIÓN!L186,0)),"")</f>
        <v/>
      </c>
      <c r="AP186" s="117" t="str">
        <f>IFERROR(IF($H186=Lists!$S$6,IF(AND(FORMULACIÓN!M186&gt;L186,L186&gt;0),1,0),IF((L186/FORMULACIÓN!M186)&lt;&gt;0,L186/FORMULACIÓN!M186,0)),"")</f>
        <v/>
      </c>
      <c r="AQ186" s="117" t="str">
        <f>IFERROR(IF($H186=Lists!$S$6,IF(AND(FORMULACIÓN!N186&gt;M186,M186&gt;0),1,0),IF((M186/FORMULACIÓN!N186)&lt;&gt;0,M186/FORMULACIÓN!N186,0)),"")</f>
        <v/>
      </c>
      <c r="AR186" s="117" t="str">
        <f>IFERROR(IF($H186=Lists!$S$6,IF(AND(FORMULACIÓN!O186&gt;N186,N186&gt;0),1,0),IF((N186/FORMULACIÓN!O186)&lt;&gt;0,N186/FORMULACIÓN!O186,0)),"")</f>
        <v/>
      </c>
      <c r="AS186" s="110"/>
      <c r="AT186" s="118" t="str">
        <f ca="1">IF($H186=Lists!$S$6,TEXT(COUNTIF('SEGUIMIENTO Y EVALUACIÓN'!K186:N186,"&lt;"&amp;FORMULACIÓN!Q186),"##.###")&amp;" / "&amp;TEXT(COUNTIF('SEGUIMIENTO Y EVALUACIÓN'!K186:N186,"&gt;"&amp;0),"##.###"),IF($G186=Lists!$R$3,TEXT('SEGUIMIENTO Y EVALUACIÓN'!O186,"00,00%")&amp;" / "&amp;TEXT(FORMULACIÓN!P186,"00,00%"),IF('SEGUIMIENTO Y EVALUACIÓN'!O186=0,0,TEXT('SEGUIMIENTO Y EVALUACIÓN'!O186,"##.###")&amp;" / "&amp;TEXT(FORMULACIÓN!P186,"##.###"))))</f>
        <v xml:space="preserve"> / </v>
      </c>
      <c r="AU186" s="57">
        <f ca="1">IFERROR(IF((P186/FORMULACIÓN!Q186)&lt;&gt;0,IF($H186=Lists!$S$6,COUNTIF('SEGUIMIENTO Y EVALUACIÓN'!K186:N186,"&lt;"&amp;FORMULACIÓN!Q186),'SEGUIMIENTO Y EVALUACIÓN'!P186)/IF($H186=Lists!$S$6,COUNTIF('SEGUIMIENTO Y EVALUACIÓN'!K186:N186,"&gt;"&amp;0),FORMULACIÓN!P186),0),0)</f>
        <v>0</v>
      </c>
      <c r="AV186" s="93" t="str">
        <f t="shared" ca="1" si="24"/>
        <v/>
      </c>
      <c r="AW186" s="93" cm="1">
        <f t="array" ref="AW186">IF(INDEX(AO186:AU186,1,$AV$3)&gt;1,IF($AU$2=1,1,INDEX(AO186:AU186,1,$AV$3)),INDEX(AO186:AU186,1,$AV$3))</f>
        <v>1</v>
      </c>
      <c r="AX186" s="3"/>
      <c r="AY186" s="119" t="str">
        <f>IFERROR(IF((W186/FORMULACIÓN!X186)&lt;&gt;0,W186/FORMULACIÓN!X186,0),"")</f>
        <v/>
      </c>
      <c r="AZ186" s="119" t="str">
        <f>IFERROR(IF((AA186/FORMULACIÓN!AB186)&lt;&gt;0,AA186/FORMULACIÓN!AB186,0),"")</f>
        <v/>
      </c>
      <c r="BA186" s="119" t="str">
        <f>IFERROR(IF((AE186/FORMULACIÓN!AF186)&lt;&gt;0,(AE186/FORMULACIÓN!AF186),0),"")</f>
        <v/>
      </c>
      <c r="BB186" s="119" t="str">
        <f>IFERROR(IF((AI186/FORMULACIÓN!AJ186)&lt;&gt;0,AI186/FORMULACIÓN!AJ186,0),"")</f>
        <v/>
      </c>
      <c r="BC186" s="120" t="str">
        <f>IF('SEGUIMIENTO Y EVALUACIÓN'!AI186=0,0,TEXT('SEGUIMIENTO Y EVALUACIÓN'!AI186,"$ ##.###")&amp;" / "&amp;TEXT(FORMULACIÓN!AK186,"$ ##.###"))</f>
        <v xml:space="preserve"> / </v>
      </c>
      <c r="BD186" s="57">
        <f>IFERROR(IF((AJ186/FORMULACIÓN!AK186)&lt;&gt;0,AJ186/FORMULACIÓN!AK186,0),0)</f>
        <v>0</v>
      </c>
      <c r="CL186" s="7"/>
    </row>
    <row r="187" spans="1:90" s="1" customFormat="1" ht="99.95" customHeight="1">
      <c r="A187" s="45" t="str">
        <f>IF(FORMULACIÓN!A187="","",FORMULACIÓN!A187)</f>
        <v/>
      </c>
      <c r="B187" s="45" t="str">
        <f>IF(FORMULACIÓN!B187="","",FORMULACIÓN!B187)</f>
        <v/>
      </c>
      <c r="C187" s="45" t="str">
        <f>IF(FORMULACIÓN!E187="","",FORMULACIÓN!E187)</f>
        <v/>
      </c>
      <c r="D187" s="45" t="str">
        <f>IF(FORMULACIÓN!F187="","",FORMULACIÓN!F187)</f>
        <v/>
      </c>
      <c r="E187" s="45" t="str">
        <f>IF(FORMULACIÓN!G187="","",FORMULACIÓN!G187)</f>
        <v/>
      </c>
      <c r="F187" s="45" t="str">
        <f>IF(FORMULACIÓN!H187="","",FORMULACIÓN!H187)</f>
        <v/>
      </c>
      <c r="G187" s="45" t="str">
        <f>IF(FORMULACIÓN!I187="","",FORMULACIÓN!I187)</f>
        <v/>
      </c>
      <c r="H187" s="45" t="str">
        <f>IF(FORMULACIÓN!J187="","",FORMULACIÓN!J187)</f>
        <v/>
      </c>
      <c r="I187" s="188" t="str">
        <f ca="1">IF($G187=Lists!$R$3,"PDI: "&amp;TEXT(FORMULACIÓN!Q187,"00,00%")&amp;CHAR(10)&amp;CHAR(10)&amp;"T1: "&amp;TEXT(FORMULACIÓN!L187,"00,00%")&amp;CHAR(10)&amp;"T2: "&amp;TEXT(FORMULACIÓN!M187,"00,00%")&amp;CHAR(10)&amp;"T3: "&amp;TEXT(FORMULACIÓN!N187,"00,00%")&amp;CHAR(10)&amp;"Tn: "&amp;TEXT(FORMULACIÓN!O187,"00,00%"),IF(FORMULACIÓN!Q187=0,0,"PDI: "&amp;TEXT(FORMULACIÓN!Q187,"##.###")&amp;CHAR(10)&amp;CHAR(10)&amp;"T1: "&amp;TEXT(FORMULACIÓN!L187,"##.###")&amp;CHAR(10)&amp;"T2: "&amp;TEXT(FORMULACIÓN!M187,"##.###")&amp;CHAR(10)&amp;"T3: "&amp;TEXT(FORMULACIÓN!N187,"##.###")&amp;CHAR(10)&amp;"Tn: "&amp;TEXT(FORMULACIÓN!O187,"##.###")))</f>
        <v xml:space="preserve">PDI: 
T1: 
T2: 
T3: 
Tn: </v>
      </c>
      <c r="J187" s="122" t="str">
        <f>IF(FORMULACIÓN!K187&lt;&gt;"",FORMULACIÓN!K187,"")</f>
        <v/>
      </c>
      <c r="K187" s="58"/>
      <c r="L187" s="58"/>
      <c r="M187" s="58"/>
      <c r="N187" s="58"/>
      <c r="O187" s="47" t="str">
        <f ca="1">IFERROR(IF($H187=Lists!$S$2,SUM('SEGUIMIENTO Y EVALUACIÓN'!J187:N187),IF('SEGUIMIENTO Y EVALUACIÓN'!$H187=Lists!$S$3,SUM('SEGUIMIENTO Y EVALUACIÓN'!K187:N187),IF('SEGUIMIENTO Y EVALUACIÓN'!$H187=Lists!$S$4,AVERAGE('SEGUIMIENTO Y EVALUACIÓN'!K187:N187),IF('SEGUIMIENTO Y EVALUACIÓN'!$H187=Lists!$S$5,OFFSET(J187,0,COUNTA(K187:N187)),IF($H187=Lists!$S$6,COUNTIF(K187:N187,"&lt;"&amp;FORMULACIÓN!Q187)/COUNT('SEGUIMIENTO Y EVALUACIÓN'!K187:N187),""))))),"")</f>
        <v/>
      </c>
      <c r="P187" s="51" t="str">
        <f ca="1">IF($G187=Lists!$R$3,TEXT('SEGUIMIENTO Y EVALUACIÓN'!O187,"00,00%"),IF('SEGUIMIENTO Y EVALUACIÓN'!O187=0,0,TEXT('SEGUIMIENTO Y EVALUACIÓN'!O187,"##.###")))</f>
        <v/>
      </c>
      <c r="Q187" s="209" t="str">
        <f>IF(FORMULACIÓN!R187&lt;&gt;"",FORMULACIÓN!R187,"")</f>
        <v/>
      </c>
      <c r="R187" s="209" t="str">
        <f>IF(FORMULACIÓN!S187&lt;&gt;"",FORMULACIÓN!S187,"")</f>
        <v/>
      </c>
      <c r="S187" s="209" t="str">
        <f>IF(FORMULACIÓN!T187&lt;&gt;"",FORMULACIÓN!T187,"")</f>
        <v/>
      </c>
      <c r="T187" s="42"/>
      <c r="U187" s="42"/>
      <c r="V187" s="42"/>
      <c r="W187" s="43" t="str">
        <f t="shared" si="18"/>
        <v/>
      </c>
      <c r="X187" s="42"/>
      <c r="Y187" s="42"/>
      <c r="Z187" s="42"/>
      <c r="AA187" s="43" t="str">
        <f t="shared" si="19"/>
        <v/>
      </c>
      <c r="AB187" s="42"/>
      <c r="AC187" s="42"/>
      <c r="AD187" s="42"/>
      <c r="AE187" s="43" t="str">
        <f t="shared" si="20"/>
        <v/>
      </c>
      <c r="AF187" s="42"/>
      <c r="AG187" s="42"/>
      <c r="AH187" s="42"/>
      <c r="AI187" s="46" t="str">
        <f t="shared" si="21"/>
        <v/>
      </c>
      <c r="AJ187" s="46" t="str">
        <f>IF(SUM(AA187,AE187,W187,AI187)=0,"",SUM((AA187,AE187,W187,AI187)))</f>
        <v/>
      </c>
      <c r="AK187" s="2"/>
      <c r="AL187" s="1" t="str">
        <f t="shared" si="25"/>
        <v/>
      </c>
      <c r="AM187" s="56" t="str">
        <f t="shared" si="26"/>
        <v/>
      </c>
      <c r="AN187" s="112" t="str">
        <f ca="1">IF($G187=Lists!$R$3,"T1: "&amp;TEXT(FORMULACIÓN!L187,"00,00%")&amp;CHAR(10)&amp;"T2: "&amp;TEXT(FORMULACIÓN!M187,"00,00%")&amp;CHAR(10)&amp;"T3: "&amp;TEXT(FORMULACIÓN!N187,"00,00%")&amp;CHAR(10)&amp;"Tn: "&amp;TEXT(FORMULACIÓN!O187,"00,00%"),IF(FORMULACIÓN!Q187=0,0,"T1: "&amp;TEXT(FORMULACIÓN!L187,"##.###")&amp;CHAR(10)&amp;"T2: "&amp;TEXT(FORMULACIÓN!M187,"##.###")&amp;CHAR(10)&amp;"T3: "&amp;TEXT(FORMULACIÓN!N187,"##.###")&amp;CHAR(10)&amp;"Tn: "&amp;TEXT(FORMULACIÓN!O187,"##.###")))</f>
        <v xml:space="preserve">T1: 
T2: 
T3: 
Tn: </v>
      </c>
      <c r="AO187" s="117" t="str">
        <f>IFERROR(IF($H187=Lists!$S$6,IF(AND(FORMULACIÓN!L187&gt;K187,K187&gt;0),1,0),IF((K187/FORMULACIÓN!L187)&lt;&gt;0,K187/FORMULACIÓN!L187,0)),"")</f>
        <v/>
      </c>
      <c r="AP187" s="117" t="str">
        <f>IFERROR(IF($H187=Lists!$S$6,IF(AND(FORMULACIÓN!M187&gt;L187,L187&gt;0),1,0),IF((L187/FORMULACIÓN!M187)&lt;&gt;0,L187/FORMULACIÓN!M187,0)),"")</f>
        <v/>
      </c>
      <c r="AQ187" s="117" t="str">
        <f>IFERROR(IF($H187=Lists!$S$6,IF(AND(FORMULACIÓN!N187&gt;M187,M187&gt;0),1,0),IF((M187/FORMULACIÓN!N187)&lt;&gt;0,M187/FORMULACIÓN!N187,0)),"")</f>
        <v/>
      </c>
      <c r="AR187" s="117" t="str">
        <f>IFERROR(IF($H187=Lists!$S$6,IF(AND(FORMULACIÓN!O187&gt;N187,N187&gt;0),1,0),IF((N187/FORMULACIÓN!O187)&lt;&gt;0,N187/FORMULACIÓN!O187,0)),"")</f>
        <v/>
      </c>
      <c r="AS187" s="110"/>
      <c r="AT187" s="118" t="str">
        <f ca="1">IF($H187=Lists!$S$6,TEXT(COUNTIF('SEGUIMIENTO Y EVALUACIÓN'!K187:N187,"&lt;"&amp;FORMULACIÓN!Q187),"##.###")&amp;" / "&amp;TEXT(COUNTIF('SEGUIMIENTO Y EVALUACIÓN'!K187:N187,"&gt;"&amp;0),"##.###"),IF($G187=Lists!$R$3,TEXT('SEGUIMIENTO Y EVALUACIÓN'!O187,"00,00%")&amp;" / "&amp;TEXT(FORMULACIÓN!P187,"00,00%"),IF('SEGUIMIENTO Y EVALUACIÓN'!O187=0,0,TEXT('SEGUIMIENTO Y EVALUACIÓN'!O187,"##.###")&amp;" / "&amp;TEXT(FORMULACIÓN!P187,"##.###"))))</f>
        <v xml:space="preserve"> / </v>
      </c>
      <c r="AU187" s="57">
        <f ca="1">IFERROR(IF((P187/FORMULACIÓN!Q187)&lt;&gt;0,IF($H187=Lists!$S$6,COUNTIF('SEGUIMIENTO Y EVALUACIÓN'!K187:N187,"&lt;"&amp;FORMULACIÓN!Q187),'SEGUIMIENTO Y EVALUACIÓN'!P187)/IF($H187=Lists!$S$6,COUNTIF('SEGUIMIENTO Y EVALUACIÓN'!K187:N187,"&gt;"&amp;0),FORMULACIÓN!P187),0),0)</f>
        <v>0</v>
      </c>
      <c r="AV187" s="93" t="str">
        <f t="shared" ca="1" si="24"/>
        <v/>
      </c>
      <c r="AW187" s="93" cm="1">
        <f t="array" ref="AW187">IF(INDEX(AO187:AU187,1,$AV$3)&gt;1,IF($AU$2=1,1,INDEX(AO187:AU187,1,$AV$3)),INDEX(AO187:AU187,1,$AV$3))</f>
        <v>1</v>
      </c>
      <c r="AX187" s="3"/>
      <c r="AY187" s="119" t="str">
        <f>IFERROR(IF((W187/FORMULACIÓN!X187)&lt;&gt;0,W187/FORMULACIÓN!X187,0),"")</f>
        <v/>
      </c>
      <c r="AZ187" s="119" t="str">
        <f>IFERROR(IF((AA187/FORMULACIÓN!AB187)&lt;&gt;0,AA187/FORMULACIÓN!AB187,0),"")</f>
        <v/>
      </c>
      <c r="BA187" s="119" t="str">
        <f>IFERROR(IF((AE187/FORMULACIÓN!AF187)&lt;&gt;0,(AE187/FORMULACIÓN!AF187),0),"")</f>
        <v/>
      </c>
      <c r="BB187" s="119" t="str">
        <f>IFERROR(IF((AI187/FORMULACIÓN!AJ187)&lt;&gt;0,AI187/FORMULACIÓN!AJ187,0),"")</f>
        <v/>
      </c>
      <c r="BC187" s="120" t="str">
        <f>IF('SEGUIMIENTO Y EVALUACIÓN'!AI187=0,0,TEXT('SEGUIMIENTO Y EVALUACIÓN'!AI187,"$ ##.###")&amp;" / "&amp;TEXT(FORMULACIÓN!AK187,"$ ##.###"))</f>
        <v xml:space="preserve"> / </v>
      </c>
      <c r="BD187" s="57">
        <f>IFERROR(IF((AJ187/FORMULACIÓN!AK187)&lt;&gt;0,AJ187/FORMULACIÓN!AK187,0),0)</f>
        <v>0</v>
      </c>
      <c r="CL187" s="7"/>
    </row>
    <row r="188" spans="1:90" s="1" customFormat="1" ht="99.95" customHeight="1">
      <c r="A188" s="45" t="str">
        <f>IF(FORMULACIÓN!A188="","",FORMULACIÓN!A188)</f>
        <v/>
      </c>
      <c r="B188" s="45" t="str">
        <f>IF(FORMULACIÓN!B188="","",FORMULACIÓN!B188)</f>
        <v/>
      </c>
      <c r="C188" s="45" t="str">
        <f>IF(FORMULACIÓN!E188="","",FORMULACIÓN!E188)</f>
        <v/>
      </c>
      <c r="D188" s="45" t="str">
        <f>IF(FORMULACIÓN!F188="","",FORMULACIÓN!F188)</f>
        <v/>
      </c>
      <c r="E188" s="45" t="str">
        <f>IF(FORMULACIÓN!G188="","",FORMULACIÓN!G188)</f>
        <v/>
      </c>
      <c r="F188" s="45" t="str">
        <f>IF(FORMULACIÓN!H188="","",FORMULACIÓN!H188)</f>
        <v/>
      </c>
      <c r="G188" s="45" t="str">
        <f>IF(FORMULACIÓN!I188="","",FORMULACIÓN!I188)</f>
        <v/>
      </c>
      <c r="H188" s="45" t="str">
        <f>IF(FORMULACIÓN!J188="","",FORMULACIÓN!J188)</f>
        <v/>
      </c>
      <c r="I188" s="188" t="str">
        <f ca="1">IF($G188=Lists!$R$3,"PDI: "&amp;TEXT(FORMULACIÓN!Q188,"00,00%")&amp;CHAR(10)&amp;CHAR(10)&amp;"T1: "&amp;TEXT(FORMULACIÓN!L188,"00,00%")&amp;CHAR(10)&amp;"T2: "&amp;TEXT(FORMULACIÓN!M188,"00,00%")&amp;CHAR(10)&amp;"T3: "&amp;TEXT(FORMULACIÓN!N188,"00,00%")&amp;CHAR(10)&amp;"Tn: "&amp;TEXT(FORMULACIÓN!O188,"00,00%"),IF(FORMULACIÓN!Q188=0,0,"PDI: "&amp;TEXT(FORMULACIÓN!Q188,"##.###")&amp;CHAR(10)&amp;CHAR(10)&amp;"T1: "&amp;TEXT(FORMULACIÓN!L188,"##.###")&amp;CHAR(10)&amp;"T2: "&amp;TEXT(FORMULACIÓN!M188,"##.###")&amp;CHAR(10)&amp;"T3: "&amp;TEXT(FORMULACIÓN!N188,"##.###")&amp;CHAR(10)&amp;"Tn: "&amp;TEXT(FORMULACIÓN!O188,"##.###")))</f>
        <v xml:space="preserve">PDI: 
T1: 
T2: 
T3: 
Tn: </v>
      </c>
      <c r="J188" s="122" t="str">
        <f>IF(FORMULACIÓN!K188&lt;&gt;"",FORMULACIÓN!K188,"")</f>
        <v/>
      </c>
      <c r="K188" s="58"/>
      <c r="L188" s="58"/>
      <c r="M188" s="58"/>
      <c r="N188" s="58"/>
      <c r="O188" s="47" t="str">
        <f ca="1">IFERROR(IF($H188=Lists!$S$2,SUM('SEGUIMIENTO Y EVALUACIÓN'!J188:N188),IF('SEGUIMIENTO Y EVALUACIÓN'!$H188=Lists!$S$3,SUM('SEGUIMIENTO Y EVALUACIÓN'!K188:N188),IF('SEGUIMIENTO Y EVALUACIÓN'!$H188=Lists!$S$4,AVERAGE('SEGUIMIENTO Y EVALUACIÓN'!K188:N188),IF('SEGUIMIENTO Y EVALUACIÓN'!$H188=Lists!$S$5,OFFSET(J188,0,COUNTA(K188:N188)),IF($H188=Lists!$S$6,COUNTIF(K188:N188,"&lt;"&amp;FORMULACIÓN!Q188)/COUNT('SEGUIMIENTO Y EVALUACIÓN'!K188:N188),""))))),"")</f>
        <v/>
      </c>
      <c r="P188" s="51" t="str">
        <f ca="1">IF($G188=Lists!$R$3,TEXT('SEGUIMIENTO Y EVALUACIÓN'!O188,"00,00%"),IF('SEGUIMIENTO Y EVALUACIÓN'!O188=0,0,TEXT('SEGUIMIENTO Y EVALUACIÓN'!O188,"##.###")))</f>
        <v/>
      </c>
      <c r="Q188" s="209" t="str">
        <f>IF(FORMULACIÓN!R188&lt;&gt;"",FORMULACIÓN!R188,"")</f>
        <v/>
      </c>
      <c r="R188" s="209" t="str">
        <f>IF(FORMULACIÓN!S188&lt;&gt;"",FORMULACIÓN!S188,"")</f>
        <v/>
      </c>
      <c r="S188" s="209" t="str">
        <f>IF(FORMULACIÓN!T188&lt;&gt;"",FORMULACIÓN!T188,"")</f>
        <v/>
      </c>
      <c r="T188" s="42"/>
      <c r="U188" s="42"/>
      <c r="V188" s="42"/>
      <c r="W188" s="43" t="str">
        <f t="shared" si="18"/>
        <v/>
      </c>
      <c r="X188" s="42"/>
      <c r="Y188" s="42"/>
      <c r="Z188" s="42"/>
      <c r="AA188" s="43" t="str">
        <f t="shared" si="19"/>
        <v/>
      </c>
      <c r="AB188" s="42"/>
      <c r="AC188" s="42"/>
      <c r="AD188" s="42"/>
      <c r="AE188" s="43" t="str">
        <f t="shared" si="20"/>
        <v/>
      </c>
      <c r="AF188" s="42"/>
      <c r="AG188" s="42"/>
      <c r="AH188" s="42"/>
      <c r="AI188" s="46" t="str">
        <f t="shared" si="21"/>
        <v/>
      </c>
      <c r="AJ188" s="46" t="str">
        <f>IF(SUM(AA188,AE188,W188,AI188)=0,"",SUM((AA188,AE188,W188,AI188)))</f>
        <v/>
      </c>
      <c r="AK188" s="2"/>
      <c r="AL188" s="1" t="str">
        <f t="shared" si="25"/>
        <v/>
      </c>
      <c r="AM188" s="56" t="str">
        <f t="shared" si="26"/>
        <v/>
      </c>
      <c r="AN188" s="112" t="str">
        <f ca="1">IF($G188=Lists!$R$3,"T1: "&amp;TEXT(FORMULACIÓN!L188,"00,00%")&amp;CHAR(10)&amp;"T2: "&amp;TEXT(FORMULACIÓN!M188,"00,00%")&amp;CHAR(10)&amp;"T3: "&amp;TEXT(FORMULACIÓN!N188,"00,00%")&amp;CHAR(10)&amp;"Tn: "&amp;TEXT(FORMULACIÓN!O188,"00,00%"),IF(FORMULACIÓN!Q188=0,0,"T1: "&amp;TEXT(FORMULACIÓN!L188,"##.###")&amp;CHAR(10)&amp;"T2: "&amp;TEXT(FORMULACIÓN!M188,"##.###")&amp;CHAR(10)&amp;"T3: "&amp;TEXT(FORMULACIÓN!N188,"##.###")&amp;CHAR(10)&amp;"Tn: "&amp;TEXT(FORMULACIÓN!O188,"##.###")))</f>
        <v xml:space="preserve">T1: 
T2: 
T3: 
Tn: </v>
      </c>
      <c r="AO188" s="117" t="str">
        <f>IFERROR(IF($H188=Lists!$S$6,IF(AND(FORMULACIÓN!L188&gt;K188,K188&gt;0),1,0),IF((K188/FORMULACIÓN!L188)&lt;&gt;0,K188/FORMULACIÓN!L188,0)),"")</f>
        <v/>
      </c>
      <c r="AP188" s="117" t="str">
        <f>IFERROR(IF($H188=Lists!$S$6,IF(AND(FORMULACIÓN!M188&gt;L188,L188&gt;0),1,0),IF((L188/FORMULACIÓN!M188)&lt;&gt;0,L188/FORMULACIÓN!M188,0)),"")</f>
        <v/>
      </c>
      <c r="AQ188" s="117" t="str">
        <f>IFERROR(IF($H188=Lists!$S$6,IF(AND(FORMULACIÓN!N188&gt;M188,M188&gt;0),1,0),IF((M188/FORMULACIÓN!N188)&lt;&gt;0,M188/FORMULACIÓN!N188,0)),"")</f>
        <v/>
      </c>
      <c r="AR188" s="117" t="str">
        <f>IFERROR(IF($H188=Lists!$S$6,IF(AND(FORMULACIÓN!O188&gt;N188,N188&gt;0),1,0),IF((N188/FORMULACIÓN!O188)&lt;&gt;0,N188/FORMULACIÓN!O188,0)),"")</f>
        <v/>
      </c>
      <c r="AS188" s="110"/>
      <c r="AT188" s="118" t="str">
        <f ca="1">IF($H188=Lists!$S$6,TEXT(COUNTIF('SEGUIMIENTO Y EVALUACIÓN'!K188:N188,"&lt;"&amp;FORMULACIÓN!Q188),"##.###")&amp;" / "&amp;TEXT(COUNTIF('SEGUIMIENTO Y EVALUACIÓN'!K188:N188,"&gt;"&amp;0),"##.###"),IF($G188=Lists!$R$3,TEXT('SEGUIMIENTO Y EVALUACIÓN'!O188,"00,00%")&amp;" / "&amp;TEXT(FORMULACIÓN!P188,"00,00%"),IF('SEGUIMIENTO Y EVALUACIÓN'!O188=0,0,TEXT('SEGUIMIENTO Y EVALUACIÓN'!O188,"##.###")&amp;" / "&amp;TEXT(FORMULACIÓN!P188,"##.###"))))</f>
        <v xml:space="preserve"> / </v>
      </c>
      <c r="AU188" s="57">
        <f ca="1">IFERROR(IF((P188/FORMULACIÓN!Q188)&lt;&gt;0,IF($H188=Lists!$S$6,COUNTIF('SEGUIMIENTO Y EVALUACIÓN'!K188:N188,"&lt;"&amp;FORMULACIÓN!Q188),'SEGUIMIENTO Y EVALUACIÓN'!P188)/IF($H188=Lists!$S$6,COUNTIF('SEGUIMIENTO Y EVALUACIÓN'!K188:N188,"&gt;"&amp;0),FORMULACIÓN!P188),0),0)</f>
        <v>0</v>
      </c>
      <c r="AV188" s="93" t="str">
        <f t="shared" ca="1" si="24"/>
        <v/>
      </c>
      <c r="AW188" s="93" cm="1">
        <f t="array" ref="AW188">IF(INDEX(AO188:AU188,1,$AV$3)&gt;1,IF($AU$2=1,1,INDEX(AO188:AU188,1,$AV$3)),INDEX(AO188:AU188,1,$AV$3))</f>
        <v>1</v>
      </c>
      <c r="AX188" s="3"/>
      <c r="AY188" s="119" t="str">
        <f>IFERROR(IF((W188/FORMULACIÓN!X188)&lt;&gt;0,W188/FORMULACIÓN!X188,0),"")</f>
        <v/>
      </c>
      <c r="AZ188" s="119" t="str">
        <f>IFERROR(IF((AA188/FORMULACIÓN!AB188)&lt;&gt;0,AA188/FORMULACIÓN!AB188,0),"")</f>
        <v/>
      </c>
      <c r="BA188" s="119" t="str">
        <f>IFERROR(IF((AE188/FORMULACIÓN!AF188)&lt;&gt;0,(AE188/FORMULACIÓN!AF188),0),"")</f>
        <v/>
      </c>
      <c r="BB188" s="119" t="str">
        <f>IFERROR(IF((AI188/FORMULACIÓN!AJ188)&lt;&gt;0,AI188/FORMULACIÓN!AJ188,0),"")</f>
        <v/>
      </c>
      <c r="BC188" s="120" t="str">
        <f>IF('SEGUIMIENTO Y EVALUACIÓN'!AI188=0,0,TEXT('SEGUIMIENTO Y EVALUACIÓN'!AI188,"$ ##.###")&amp;" / "&amp;TEXT(FORMULACIÓN!AK188,"$ ##.###"))</f>
        <v xml:space="preserve"> / </v>
      </c>
      <c r="BD188" s="57">
        <f>IFERROR(IF((AJ188/FORMULACIÓN!AK188)&lt;&gt;0,AJ188/FORMULACIÓN!AK188,0),0)</f>
        <v>0</v>
      </c>
      <c r="CL188" s="7"/>
    </row>
    <row r="189" spans="1:90" s="1" customFormat="1" ht="99.95" customHeight="1">
      <c r="A189" s="45" t="str">
        <f>IF(FORMULACIÓN!A189="","",FORMULACIÓN!A189)</f>
        <v/>
      </c>
      <c r="B189" s="45" t="str">
        <f>IF(FORMULACIÓN!B189="","",FORMULACIÓN!B189)</f>
        <v/>
      </c>
      <c r="C189" s="45" t="str">
        <f>IF(FORMULACIÓN!E189="","",FORMULACIÓN!E189)</f>
        <v/>
      </c>
      <c r="D189" s="45" t="str">
        <f>IF(FORMULACIÓN!F189="","",FORMULACIÓN!F189)</f>
        <v/>
      </c>
      <c r="E189" s="45" t="str">
        <f>IF(FORMULACIÓN!G189="","",FORMULACIÓN!G189)</f>
        <v/>
      </c>
      <c r="F189" s="45" t="str">
        <f>IF(FORMULACIÓN!H189="","",FORMULACIÓN!H189)</f>
        <v/>
      </c>
      <c r="G189" s="45" t="str">
        <f>IF(FORMULACIÓN!I189="","",FORMULACIÓN!I189)</f>
        <v/>
      </c>
      <c r="H189" s="45" t="str">
        <f>IF(FORMULACIÓN!J189="","",FORMULACIÓN!J189)</f>
        <v/>
      </c>
      <c r="I189" s="188" t="str">
        <f ca="1">IF($G189=Lists!$R$3,"PDI: "&amp;TEXT(FORMULACIÓN!Q189,"00,00%")&amp;CHAR(10)&amp;CHAR(10)&amp;"T1: "&amp;TEXT(FORMULACIÓN!L189,"00,00%")&amp;CHAR(10)&amp;"T2: "&amp;TEXT(FORMULACIÓN!M189,"00,00%")&amp;CHAR(10)&amp;"T3: "&amp;TEXT(FORMULACIÓN!N189,"00,00%")&amp;CHAR(10)&amp;"Tn: "&amp;TEXT(FORMULACIÓN!O189,"00,00%"),IF(FORMULACIÓN!Q189=0,0,"PDI: "&amp;TEXT(FORMULACIÓN!Q189,"##.###")&amp;CHAR(10)&amp;CHAR(10)&amp;"T1: "&amp;TEXT(FORMULACIÓN!L189,"##.###")&amp;CHAR(10)&amp;"T2: "&amp;TEXT(FORMULACIÓN!M189,"##.###")&amp;CHAR(10)&amp;"T3: "&amp;TEXT(FORMULACIÓN!N189,"##.###")&amp;CHAR(10)&amp;"Tn: "&amp;TEXT(FORMULACIÓN!O189,"##.###")))</f>
        <v xml:space="preserve">PDI: 
T1: 
T2: 
T3: 
Tn: </v>
      </c>
      <c r="J189" s="122" t="str">
        <f>IF(FORMULACIÓN!K189&lt;&gt;"",FORMULACIÓN!K189,"")</f>
        <v/>
      </c>
      <c r="K189" s="58"/>
      <c r="L189" s="58"/>
      <c r="M189" s="58"/>
      <c r="N189" s="58"/>
      <c r="O189" s="47" t="str">
        <f ca="1">IFERROR(IF($H189=Lists!$S$2,SUM('SEGUIMIENTO Y EVALUACIÓN'!J189:N189),IF('SEGUIMIENTO Y EVALUACIÓN'!$H189=Lists!$S$3,SUM('SEGUIMIENTO Y EVALUACIÓN'!K189:N189),IF('SEGUIMIENTO Y EVALUACIÓN'!$H189=Lists!$S$4,AVERAGE('SEGUIMIENTO Y EVALUACIÓN'!K189:N189),IF('SEGUIMIENTO Y EVALUACIÓN'!$H189=Lists!$S$5,OFFSET(J189,0,COUNTA(K189:N189)),IF($H189=Lists!$S$6,COUNTIF(K189:N189,"&lt;"&amp;FORMULACIÓN!Q189)/COUNT('SEGUIMIENTO Y EVALUACIÓN'!K189:N189),""))))),"")</f>
        <v/>
      </c>
      <c r="P189" s="51" t="str">
        <f ca="1">IF($G189=Lists!$R$3,TEXT('SEGUIMIENTO Y EVALUACIÓN'!O189,"00,00%"),IF('SEGUIMIENTO Y EVALUACIÓN'!O189=0,0,TEXT('SEGUIMIENTO Y EVALUACIÓN'!O189,"##.###")))</f>
        <v/>
      </c>
      <c r="Q189" s="209" t="str">
        <f>IF(FORMULACIÓN!R189&lt;&gt;"",FORMULACIÓN!R189,"")</f>
        <v/>
      </c>
      <c r="R189" s="209" t="str">
        <f>IF(FORMULACIÓN!S189&lt;&gt;"",FORMULACIÓN!S189,"")</f>
        <v/>
      </c>
      <c r="S189" s="209" t="str">
        <f>IF(FORMULACIÓN!T189&lt;&gt;"",FORMULACIÓN!T189,"")</f>
        <v/>
      </c>
      <c r="T189" s="42"/>
      <c r="U189" s="42"/>
      <c r="V189" s="42"/>
      <c r="W189" s="43" t="str">
        <f t="shared" si="18"/>
        <v/>
      </c>
      <c r="X189" s="42"/>
      <c r="Y189" s="42"/>
      <c r="Z189" s="42"/>
      <c r="AA189" s="43" t="str">
        <f t="shared" si="19"/>
        <v/>
      </c>
      <c r="AB189" s="42"/>
      <c r="AC189" s="42"/>
      <c r="AD189" s="42"/>
      <c r="AE189" s="43" t="str">
        <f t="shared" si="20"/>
        <v/>
      </c>
      <c r="AF189" s="42"/>
      <c r="AG189" s="42"/>
      <c r="AH189" s="42"/>
      <c r="AI189" s="46" t="str">
        <f t="shared" si="21"/>
        <v/>
      </c>
      <c r="AJ189" s="46" t="str">
        <f>IF(SUM(AA189,AE189,W189,AI189)=0,"",SUM((AA189,AE189,W189,AI189)))</f>
        <v/>
      </c>
      <c r="AK189" s="2"/>
      <c r="AL189" s="1" t="str">
        <f t="shared" si="25"/>
        <v/>
      </c>
      <c r="AM189" s="56" t="str">
        <f t="shared" si="26"/>
        <v/>
      </c>
      <c r="AN189" s="112" t="str">
        <f ca="1">IF($G189=Lists!$R$3,"T1: "&amp;TEXT(FORMULACIÓN!L189,"00,00%")&amp;CHAR(10)&amp;"T2: "&amp;TEXT(FORMULACIÓN!M189,"00,00%")&amp;CHAR(10)&amp;"T3: "&amp;TEXT(FORMULACIÓN!N189,"00,00%")&amp;CHAR(10)&amp;"Tn: "&amp;TEXT(FORMULACIÓN!O189,"00,00%"),IF(FORMULACIÓN!Q189=0,0,"T1: "&amp;TEXT(FORMULACIÓN!L189,"##.###")&amp;CHAR(10)&amp;"T2: "&amp;TEXT(FORMULACIÓN!M189,"##.###")&amp;CHAR(10)&amp;"T3: "&amp;TEXT(FORMULACIÓN!N189,"##.###")&amp;CHAR(10)&amp;"Tn: "&amp;TEXT(FORMULACIÓN!O189,"##.###")))</f>
        <v xml:space="preserve">T1: 
T2: 
T3: 
Tn: </v>
      </c>
      <c r="AO189" s="117" t="str">
        <f>IFERROR(IF($H189=Lists!$S$6,IF(AND(FORMULACIÓN!L189&gt;K189,K189&gt;0),1,0),IF((K189/FORMULACIÓN!L189)&lt;&gt;0,K189/FORMULACIÓN!L189,0)),"")</f>
        <v/>
      </c>
      <c r="AP189" s="117" t="str">
        <f>IFERROR(IF($H189=Lists!$S$6,IF(AND(FORMULACIÓN!M189&gt;L189,L189&gt;0),1,0),IF((L189/FORMULACIÓN!M189)&lt;&gt;0,L189/FORMULACIÓN!M189,0)),"")</f>
        <v/>
      </c>
      <c r="AQ189" s="117" t="str">
        <f>IFERROR(IF($H189=Lists!$S$6,IF(AND(FORMULACIÓN!N189&gt;M189,M189&gt;0),1,0),IF((M189/FORMULACIÓN!N189)&lt;&gt;0,M189/FORMULACIÓN!N189,0)),"")</f>
        <v/>
      </c>
      <c r="AR189" s="117" t="str">
        <f>IFERROR(IF($H189=Lists!$S$6,IF(AND(FORMULACIÓN!O189&gt;N189,N189&gt;0),1,0),IF((N189/FORMULACIÓN!O189)&lt;&gt;0,N189/FORMULACIÓN!O189,0)),"")</f>
        <v/>
      </c>
      <c r="AS189" s="110"/>
      <c r="AT189" s="118" t="str">
        <f ca="1">IF($H189=Lists!$S$6,TEXT(COUNTIF('SEGUIMIENTO Y EVALUACIÓN'!K189:N189,"&lt;"&amp;FORMULACIÓN!Q189),"##.###")&amp;" / "&amp;TEXT(COUNTIF('SEGUIMIENTO Y EVALUACIÓN'!K189:N189,"&gt;"&amp;0),"##.###"),IF($G189=Lists!$R$3,TEXT('SEGUIMIENTO Y EVALUACIÓN'!O189,"00,00%")&amp;" / "&amp;TEXT(FORMULACIÓN!P189,"00,00%"),IF('SEGUIMIENTO Y EVALUACIÓN'!O189=0,0,TEXT('SEGUIMIENTO Y EVALUACIÓN'!O189,"##.###")&amp;" / "&amp;TEXT(FORMULACIÓN!P189,"##.###"))))</f>
        <v xml:space="preserve"> / </v>
      </c>
      <c r="AU189" s="57">
        <f ca="1">IFERROR(IF((P189/FORMULACIÓN!Q189)&lt;&gt;0,IF($H189=Lists!$S$6,COUNTIF('SEGUIMIENTO Y EVALUACIÓN'!K189:N189,"&lt;"&amp;FORMULACIÓN!Q189),'SEGUIMIENTO Y EVALUACIÓN'!P189)/IF($H189=Lists!$S$6,COUNTIF('SEGUIMIENTO Y EVALUACIÓN'!K189:N189,"&gt;"&amp;0),FORMULACIÓN!P189),0),0)</f>
        <v>0</v>
      </c>
      <c r="AV189" s="93" t="str">
        <f t="shared" ca="1" si="24"/>
        <v/>
      </c>
      <c r="AW189" s="93" cm="1">
        <f t="array" ref="AW189">IF(INDEX(AO189:AU189,1,$AV$3)&gt;1,IF($AU$2=1,1,INDEX(AO189:AU189,1,$AV$3)),INDEX(AO189:AU189,1,$AV$3))</f>
        <v>1</v>
      </c>
      <c r="AX189" s="3"/>
      <c r="AY189" s="119" t="str">
        <f>IFERROR(IF((W189/FORMULACIÓN!X189)&lt;&gt;0,W189/FORMULACIÓN!X189,0),"")</f>
        <v/>
      </c>
      <c r="AZ189" s="119" t="str">
        <f>IFERROR(IF((AA189/FORMULACIÓN!AB189)&lt;&gt;0,AA189/FORMULACIÓN!AB189,0),"")</f>
        <v/>
      </c>
      <c r="BA189" s="119" t="str">
        <f>IFERROR(IF((AE189/FORMULACIÓN!AF189)&lt;&gt;0,(AE189/FORMULACIÓN!AF189),0),"")</f>
        <v/>
      </c>
      <c r="BB189" s="119" t="str">
        <f>IFERROR(IF((AI189/FORMULACIÓN!AJ189)&lt;&gt;0,AI189/FORMULACIÓN!AJ189,0),"")</f>
        <v/>
      </c>
      <c r="BC189" s="120" t="str">
        <f>IF('SEGUIMIENTO Y EVALUACIÓN'!AI189=0,0,TEXT('SEGUIMIENTO Y EVALUACIÓN'!AI189,"$ ##.###")&amp;" / "&amp;TEXT(FORMULACIÓN!AK189,"$ ##.###"))</f>
        <v xml:space="preserve"> / </v>
      </c>
      <c r="BD189" s="57">
        <f>IFERROR(IF((AJ189/FORMULACIÓN!AK189)&lt;&gt;0,AJ189/FORMULACIÓN!AK189,0),0)</f>
        <v>0</v>
      </c>
      <c r="CL189" s="7"/>
    </row>
    <row r="190" spans="1:90" s="1" customFormat="1" ht="99.95" customHeight="1">
      <c r="A190" s="45" t="str">
        <f>IF(FORMULACIÓN!A190="","",FORMULACIÓN!A190)</f>
        <v/>
      </c>
      <c r="B190" s="45" t="str">
        <f>IF(FORMULACIÓN!B190="","",FORMULACIÓN!B190)</f>
        <v/>
      </c>
      <c r="C190" s="45" t="str">
        <f>IF(FORMULACIÓN!E190="","",FORMULACIÓN!E190)</f>
        <v/>
      </c>
      <c r="D190" s="45" t="str">
        <f>IF(FORMULACIÓN!F190="","",FORMULACIÓN!F190)</f>
        <v/>
      </c>
      <c r="E190" s="45" t="str">
        <f>IF(FORMULACIÓN!G190="","",FORMULACIÓN!G190)</f>
        <v/>
      </c>
      <c r="F190" s="45" t="str">
        <f>IF(FORMULACIÓN!H190="","",FORMULACIÓN!H190)</f>
        <v/>
      </c>
      <c r="G190" s="45" t="str">
        <f>IF(FORMULACIÓN!I190="","",FORMULACIÓN!I190)</f>
        <v/>
      </c>
      <c r="H190" s="45" t="str">
        <f>IF(FORMULACIÓN!J190="","",FORMULACIÓN!J190)</f>
        <v/>
      </c>
      <c r="I190" s="188" t="str">
        <f ca="1">IF($G190=Lists!$R$3,"PDI: "&amp;TEXT(FORMULACIÓN!Q190,"00,00%")&amp;CHAR(10)&amp;CHAR(10)&amp;"T1: "&amp;TEXT(FORMULACIÓN!L190,"00,00%")&amp;CHAR(10)&amp;"T2: "&amp;TEXT(FORMULACIÓN!M190,"00,00%")&amp;CHAR(10)&amp;"T3: "&amp;TEXT(FORMULACIÓN!N190,"00,00%")&amp;CHAR(10)&amp;"Tn: "&amp;TEXT(FORMULACIÓN!O190,"00,00%"),IF(FORMULACIÓN!Q190=0,0,"PDI: "&amp;TEXT(FORMULACIÓN!Q190,"##.###")&amp;CHAR(10)&amp;CHAR(10)&amp;"T1: "&amp;TEXT(FORMULACIÓN!L190,"##.###")&amp;CHAR(10)&amp;"T2: "&amp;TEXT(FORMULACIÓN!M190,"##.###")&amp;CHAR(10)&amp;"T3: "&amp;TEXT(FORMULACIÓN!N190,"##.###")&amp;CHAR(10)&amp;"Tn: "&amp;TEXT(FORMULACIÓN!O190,"##.###")))</f>
        <v xml:space="preserve">PDI: 
T1: 
T2: 
T3: 
Tn: </v>
      </c>
      <c r="J190" s="122" t="str">
        <f>IF(FORMULACIÓN!K190&lt;&gt;"",FORMULACIÓN!K190,"")</f>
        <v/>
      </c>
      <c r="K190" s="58"/>
      <c r="L190" s="58"/>
      <c r="M190" s="58"/>
      <c r="N190" s="58"/>
      <c r="O190" s="47" t="str">
        <f ca="1">IFERROR(IF($H190=Lists!$S$2,SUM('SEGUIMIENTO Y EVALUACIÓN'!J190:N190),IF('SEGUIMIENTO Y EVALUACIÓN'!$H190=Lists!$S$3,SUM('SEGUIMIENTO Y EVALUACIÓN'!K190:N190),IF('SEGUIMIENTO Y EVALUACIÓN'!$H190=Lists!$S$4,AVERAGE('SEGUIMIENTO Y EVALUACIÓN'!K190:N190),IF('SEGUIMIENTO Y EVALUACIÓN'!$H190=Lists!$S$5,OFFSET(J190,0,COUNTA(K190:N190)),IF($H190=Lists!$S$6,COUNTIF(K190:N190,"&lt;"&amp;FORMULACIÓN!Q190)/COUNT('SEGUIMIENTO Y EVALUACIÓN'!K190:N190),""))))),"")</f>
        <v/>
      </c>
      <c r="P190" s="51" t="str">
        <f ca="1">IF($G190=Lists!$R$3,TEXT('SEGUIMIENTO Y EVALUACIÓN'!O190,"00,00%"),IF('SEGUIMIENTO Y EVALUACIÓN'!O190=0,0,TEXT('SEGUIMIENTO Y EVALUACIÓN'!O190,"##.###")))</f>
        <v/>
      </c>
      <c r="Q190" s="209" t="str">
        <f>IF(FORMULACIÓN!R190&lt;&gt;"",FORMULACIÓN!R190,"")</f>
        <v/>
      </c>
      <c r="R190" s="209" t="str">
        <f>IF(FORMULACIÓN!S190&lt;&gt;"",FORMULACIÓN!S190,"")</f>
        <v/>
      </c>
      <c r="S190" s="209" t="str">
        <f>IF(FORMULACIÓN!T190&lt;&gt;"",FORMULACIÓN!T190,"")</f>
        <v/>
      </c>
      <c r="T190" s="42"/>
      <c r="U190" s="42"/>
      <c r="V190" s="42"/>
      <c r="W190" s="43" t="str">
        <f t="shared" si="18"/>
        <v/>
      </c>
      <c r="X190" s="42"/>
      <c r="Y190" s="42"/>
      <c r="Z190" s="42"/>
      <c r="AA190" s="43" t="str">
        <f t="shared" si="19"/>
        <v/>
      </c>
      <c r="AB190" s="42"/>
      <c r="AC190" s="42"/>
      <c r="AD190" s="42"/>
      <c r="AE190" s="43" t="str">
        <f t="shared" si="20"/>
        <v/>
      </c>
      <c r="AF190" s="42"/>
      <c r="AG190" s="42"/>
      <c r="AH190" s="42"/>
      <c r="AI190" s="46" t="str">
        <f t="shared" si="21"/>
        <v/>
      </c>
      <c r="AJ190" s="46" t="str">
        <f>IF(SUM(AA190,AE190,W190,AI190)=0,"",SUM((AA190,AE190,W190,AI190)))</f>
        <v/>
      </c>
      <c r="AK190" s="2"/>
      <c r="AL190" s="1" t="str">
        <f t="shared" si="25"/>
        <v/>
      </c>
      <c r="AM190" s="56" t="str">
        <f t="shared" si="26"/>
        <v/>
      </c>
      <c r="AN190" s="112" t="str">
        <f ca="1">IF($G190=Lists!$R$3,"T1: "&amp;TEXT(FORMULACIÓN!L190,"00,00%")&amp;CHAR(10)&amp;"T2: "&amp;TEXT(FORMULACIÓN!M190,"00,00%")&amp;CHAR(10)&amp;"T3: "&amp;TEXT(FORMULACIÓN!N190,"00,00%")&amp;CHAR(10)&amp;"Tn: "&amp;TEXT(FORMULACIÓN!O190,"00,00%"),IF(FORMULACIÓN!Q190=0,0,"T1: "&amp;TEXT(FORMULACIÓN!L190,"##.###")&amp;CHAR(10)&amp;"T2: "&amp;TEXT(FORMULACIÓN!M190,"##.###")&amp;CHAR(10)&amp;"T3: "&amp;TEXT(FORMULACIÓN!N190,"##.###")&amp;CHAR(10)&amp;"Tn: "&amp;TEXT(FORMULACIÓN!O190,"##.###")))</f>
        <v xml:space="preserve">T1: 
T2: 
T3: 
Tn: </v>
      </c>
      <c r="AO190" s="117" t="str">
        <f>IFERROR(IF($H190=Lists!$S$6,IF(AND(FORMULACIÓN!L190&gt;K190,K190&gt;0),1,0),IF((K190/FORMULACIÓN!L190)&lt;&gt;0,K190/FORMULACIÓN!L190,0)),"")</f>
        <v/>
      </c>
      <c r="AP190" s="117" t="str">
        <f>IFERROR(IF($H190=Lists!$S$6,IF(AND(FORMULACIÓN!M190&gt;L190,L190&gt;0),1,0),IF((L190/FORMULACIÓN!M190)&lt;&gt;0,L190/FORMULACIÓN!M190,0)),"")</f>
        <v/>
      </c>
      <c r="AQ190" s="117" t="str">
        <f>IFERROR(IF($H190=Lists!$S$6,IF(AND(FORMULACIÓN!N190&gt;M190,M190&gt;0),1,0),IF((M190/FORMULACIÓN!N190)&lt;&gt;0,M190/FORMULACIÓN!N190,0)),"")</f>
        <v/>
      </c>
      <c r="AR190" s="117" t="str">
        <f>IFERROR(IF($H190=Lists!$S$6,IF(AND(FORMULACIÓN!O190&gt;N190,N190&gt;0),1,0),IF((N190/FORMULACIÓN!O190)&lt;&gt;0,N190/FORMULACIÓN!O190,0)),"")</f>
        <v/>
      </c>
      <c r="AS190" s="110"/>
      <c r="AT190" s="118" t="str">
        <f ca="1">IF($H190=Lists!$S$6,TEXT(COUNTIF('SEGUIMIENTO Y EVALUACIÓN'!K190:N190,"&lt;"&amp;FORMULACIÓN!Q190),"##.###")&amp;" / "&amp;TEXT(COUNTIF('SEGUIMIENTO Y EVALUACIÓN'!K190:N190,"&gt;"&amp;0),"##.###"),IF($G190=Lists!$R$3,TEXT('SEGUIMIENTO Y EVALUACIÓN'!O190,"00,00%")&amp;" / "&amp;TEXT(FORMULACIÓN!P190,"00,00%"),IF('SEGUIMIENTO Y EVALUACIÓN'!O190=0,0,TEXT('SEGUIMIENTO Y EVALUACIÓN'!O190,"##.###")&amp;" / "&amp;TEXT(FORMULACIÓN!P190,"##.###"))))</f>
        <v xml:space="preserve"> / </v>
      </c>
      <c r="AU190" s="57">
        <f ca="1">IFERROR(IF((P190/FORMULACIÓN!Q190)&lt;&gt;0,IF($H190=Lists!$S$6,COUNTIF('SEGUIMIENTO Y EVALUACIÓN'!K190:N190,"&lt;"&amp;FORMULACIÓN!Q190),'SEGUIMIENTO Y EVALUACIÓN'!P190)/IF($H190=Lists!$S$6,COUNTIF('SEGUIMIENTO Y EVALUACIÓN'!K190:N190,"&gt;"&amp;0),FORMULACIÓN!P190),0),0)</f>
        <v>0</v>
      </c>
      <c r="AV190" s="93" t="str">
        <f t="shared" ca="1" si="24"/>
        <v/>
      </c>
      <c r="AW190" s="93" cm="1">
        <f t="array" ref="AW190">IF(INDEX(AO190:AU190,1,$AV$3)&gt;1,IF($AU$2=1,1,INDEX(AO190:AU190,1,$AV$3)),INDEX(AO190:AU190,1,$AV$3))</f>
        <v>1</v>
      </c>
      <c r="AX190" s="3"/>
      <c r="AY190" s="119" t="str">
        <f>IFERROR(IF((W190/FORMULACIÓN!X190)&lt;&gt;0,W190/FORMULACIÓN!X190,0),"")</f>
        <v/>
      </c>
      <c r="AZ190" s="119" t="str">
        <f>IFERROR(IF((AA190/FORMULACIÓN!AB190)&lt;&gt;0,AA190/FORMULACIÓN!AB190,0),"")</f>
        <v/>
      </c>
      <c r="BA190" s="119" t="str">
        <f>IFERROR(IF((AE190/FORMULACIÓN!AF190)&lt;&gt;0,(AE190/FORMULACIÓN!AF190),0),"")</f>
        <v/>
      </c>
      <c r="BB190" s="119" t="str">
        <f>IFERROR(IF((AI190/FORMULACIÓN!AJ190)&lt;&gt;0,AI190/FORMULACIÓN!AJ190,0),"")</f>
        <v/>
      </c>
      <c r="BC190" s="120" t="str">
        <f>IF('SEGUIMIENTO Y EVALUACIÓN'!AI190=0,0,TEXT('SEGUIMIENTO Y EVALUACIÓN'!AI190,"$ ##.###")&amp;" / "&amp;TEXT(FORMULACIÓN!AK190,"$ ##.###"))</f>
        <v xml:space="preserve"> / </v>
      </c>
      <c r="BD190" s="57">
        <f>IFERROR(IF((AJ190/FORMULACIÓN!AK190)&lt;&gt;0,AJ190/FORMULACIÓN!AK190,0),0)</f>
        <v>0</v>
      </c>
      <c r="CL190" s="7"/>
    </row>
    <row r="191" spans="1:90" s="1" customFormat="1" ht="99.95" customHeight="1">
      <c r="A191" s="45" t="str">
        <f>IF(FORMULACIÓN!A191="","",FORMULACIÓN!A191)</f>
        <v/>
      </c>
      <c r="B191" s="45" t="str">
        <f>IF(FORMULACIÓN!B191="","",FORMULACIÓN!B191)</f>
        <v/>
      </c>
      <c r="C191" s="45" t="str">
        <f>IF(FORMULACIÓN!E191="","",FORMULACIÓN!E191)</f>
        <v/>
      </c>
      <c r="D191" s="45" t="str">
        <f>IF(FORMULACIÓN!F191="","",FORMULACIÓN!F191)</f>
        <v/>
      </c>
      <c r="E191" s="45" t="str">
        <f>IF(FORMULACIÓN!G191="","",FORMULACIÓN!G191)</f>
        <v/>
      </c>
      <c r="F191" s="45" t="str">
        <f>IF(FORMULACIÓN!H191="","",FORMULACIÓN!H191)</f>
        <v/>
      </c>
      <c r="G191" s="45" t="str">
        <f>IF(FORMULACIÓN!I191="","",FORMULACIÓN!I191)</f>
        <v/>
      </c>
      <c r="H191" s="45" t="str">
        <f>IF(FORMULACIÓN!J191="","",FORMULACIÓN!J191)</f>
        <v/>
      </c>
      <c r="I191" s="188" t="str">
        <f ca="1">IF($G191=Lists!$R$3,"PDI: "&amp;TEXT(FORMULACIÓN!Q191,"00,00%")&amp;CHAR(10)&amp;CHAR(10)&amp;"T1: "&amp;TEXT(FORMULACIÓN!L191,"00,00%")&amp;CHAR(10)&amp;"T2: "&amp;TEXT(FORMULACIÓN!M191,"00,00%")&amp;CHAR(10)&amp;"T3: "&amp;TEXT(FORMULACIÓN!N191,"00,00%")&amp;CHAR(10)&amp;"Tn: "&amp;TEXT(FORMULACIÓN!O191,"00,00%"),IF(FORMULACIÓN!Q191=0,0,"PDI: "&amp;TEXT(FORMULACIÓN!Q191,"##.###")&amp;CHAR(10)&amp;CHAR(10)&amp;"T1: "&amp;TEXT(FORMULACIÓN!L191,"##.###")&amp;CHAR(10)&amp;"T2: "&amp;TEXT(FORMULACIÓN!M191,"##.###")&amp;CHAR(10)&amp;"T3: "&amp;TEXT(FORMULACIÓN!N191,"##.###")&amp;CHAR(10)&amp;"Tn: "&amp;TEXT(FORMULACIÓN!O191,"##.###")))</f>
        <v xml:space="preserve">PDI: 
T1: 
T2: 
T3: 
Tn: </v>
      </c>
      <c r="J191" s="122" t="str">
        <f>IF(FORMULACIÓN!K191&lt;&gt;"",FORMULACIÓN!K191,"")</f>
        <v/>
      </c>
      <c r="K191" s="58"/>
      <c r="L191" s="58"/>
      <c r="M191" s="58"/>
      <c r="N191" s="58"/>
      <c r="O191" s="47" t="str">
        <f ca="1">IFERROR(IF($H191=Lists!$S$2,SUM('SEGUIMIENTO Y EVALUACIÓN'!J191:N191),IF('SEGUIMIENTO Y EVALUACIÓN'!$H191=Lists!$S$3,SUM('SEGUIMIENTO Y EVALUACIÓN'!K191:N191),IF('SEGUIMIENTO Y EVALUACIÓN'!$H191=Lists!$S$4,AVERAGE('SEGUIMIENTO Y EVALUACIÓN'!K191:N191),IF('SEGUIMIENTO Y EVALUACIÓN'!$H191=Lists!$S$5,OFFSET(J191,0,COUNTA(K191:N191)),IF($H191=Lists!$S$6,COUNTIF(K191:N191,"&lt;"&amp;FORMULACIÓN!Q191)/COUNT('SEGUIMIENTO Y EVALUACIÓN'!K191:N191),""))))),"")</f>
        <v/>
      </c>
      <c r="P191" s="51" t="str">
        <f ca="1">IF($G191=Lists!$R$3,TEXT('SEGUIMIENTO Y EVALUACIÓN'!O191,"00,00%"),IF('SEGUIMIENTO Y EVALUACIÓN'!O191=0,0,TEXT('SEGUIMIENTO Y EVALUACIÓN'!O191,"##.###")))</f>
        <v/>
      </c>
      <c r="Q191" s="209" t="str">
        <f>IF(FORMULACIÓN!R191&lt;&gt;"",FORMULACIÓN!R191,"")</f>
        <v/>
      </c>
      <c r="R191" s="209" t="str">
        <f>IF(FORMULACIÓN!S191&lt;&gt;"",FORMULACIÓN!S191,"")</f>
        <v/>
      </c>
      <c r="S191" s="209" t="str">
        <f>IF(FORMULACIÓN!T191&lt;&gt;"",FORMULACIÓN!T191,"")</f>
        <v/>
      </c>
      <c r="T191" s="42"/>
      <c r="U191" s="42"/>
      <c r="V191" s="42"/>
      <c r="W191" s="43" t="str">
        <f t="shared" si="18"/>
        <v/>
      </c>
      <c r="X191" s="42"/>
      <c r="Y191" s="42"/>
      <c r="Z191" s="42"/>
      <c r="AA191" s="43" t="str">
        <f t="shared" si="19"/>
        <v/>
      </c>
      <c r="AB191" s="42"/>
      <c r="AC191" s="42"/>
      <c r="AD191" s="42"/>
      <c r="AE191" s="43" t="str">
        <f t="shared" si="20"/>
        <v/>
      </c>
      <c r="AF191" s="42"/>
      <c r="AG191" s="42"/>
      <c r="AH191" s="42"/>
      <c r="AI191" s="46" t="str">
        <f t="shared" si="21"/>
        <v/>
      </c>
      <c r="AJ191" s="46" t="str">
        <f>IF(SUM(AA191,AE191,W191,AI191)=0,"",SUM((AA191,AE191,W191,AI191)))</f>
        <v/>
      </c>
      <c r="AK191" s="2"/>
      <c r="AL191" s="1" t="str">
        <f t="shared" si="25"/>
        <v/>
      </c>
      <c r="AM191" s="56" t="str">
        <f t="shared" si="26"/>
        <v/>
      </c>
      <c r="AN191" s="112" t="str">
        <f ca="1">IF($G191=Lists!$R$3,"T1: "&amp;TEXT(FORMULACIÓN!L191,"00,00%")&amp;CHAR(10)&amp;"T2: "&amp;TEXT(FORMULACIÓN!M191,"00,00%")&amp;CHAR(10)&amp;"T3: "&amp;TEXT(FORMULACIÓN!N191,"00,00%")&amp;CHAR(10)&amp;"Tn: "&amp;TEXT(FORMULACIÓN!O191,"00,00%"),IF(FORMULACIÓN!Q191=0,0,"T1: "&amp;TEXT(FORMULACIÓN!L191,"##.###")&amp;CHAR(10)&amp;"T2: "&amp;TEXT(FORMULACIÓN!M191,"##.###")&amp;CHAR(10)&amp;"T3: "&amp;TEXT(FORMULACIÓN!N191,"##.###")&amp;CHAR(10)&amp;"Tn: "&amp;TEXT(FORMULACIÓN!O191,"##.###")))</f>
        <v xml:space="preserve">T1: 
T2: 
T3: 
Tn: </v>
      </c>
      <c r="AO191" s="117" t="str">
        <f>IFERROR(IF($H191=Lists!$S$6,IF(AND(FORMULACIÓN!L191&gt;K191,K191&gt;0),1,0),IF((K191/FORMULACIÓN!L191)&lt;&gt;0,K191/FORMULACIÓN!L191,0)),"")</f>
        <v/>
      </c>
      <c r="AP191" s="117" t="str">
        <f>IFERROR(IF($H191=Lists!$S$6,IF(AND(FORMULACIÓN!M191&gt;L191,L191&gt;0),1,0),IF((L191/FORMULACIÓN!M191)&lt;&gt;0,L191/FORMULACIÓN!M191,0)),"")</f>
        <v/>
      </c>
      <c r="AQ191" s="117" t="str">
        <f>IFERROR(IF($H191=Lists!$S$6,IF(AND(FORMULACIÓN!N191&gt;M191,M191&gt;0),1,0),IF((M191/FORMULACIÓN!N191)&lt;&gt;0,M191/FORMULACIÓN!N191,0)),"")</f>
        <v/>
      </c>
      <c r="AR191" s="117" t="str">
        <f>IFERROR(IF($H191=Lists!$S$6,IF(AND(FORMULACIÓN!O191&gt;N191,N191&gt;0),1,0),IF((N191/FORMULACIÓN!O191)&lt;&gt;0,N191/FORMULACIÓN!O191,0)),"")</f>
        <v/>
      </c>
      <c r="AS191" s="110"/>
      <c r="AT191" s="118" t="str">
        <f ca="1">IF($H191=Lists!$S$6,TEXT(COUNTIF('SEGUIMIENTO Y EVALUACIÓN'!K191:N191,"&lt;"&amp;FORMULACIÓN!Q191),"##.###")&amp;" / "&amp;TEXT(COUNTIF('SEGUIMIENTO Y EVALUACIÓN'!K191:N191,"&gt;"&amp;0),"##.###"),IF($G191=Lists!$R$3,TEXT('SEGUIMIENTO Y EVALUACIÓN'!O191,"00,00%")&amp;" / "&amp;TEXT(FORMULACIÓN!P191,"00,00%"),IF('SEGUIMIENTO Y EVALUACIÓN'!O191=0,0,TEXT('SEGUIMIENTO Y EVALUACIÓN'!O191,"##.###")&amp;" / "&amp;TEXT(FORMULACIÓN!P191,"##.###"))))</f>
        <v xml:space="preserve"> / </v>
      </c>
      <c r="AU191" s="57">
        <f ca="1">IFERROR(IF((P191/FORMULACIÓN!Q191)&lt;&gt;0,IF($H191=Lists!$S$6,COUNTIF('SEGUIMIENTO Y EVALUACIÓN'!K191:N191,"&lt;"&amp;FORMULACIÓN!Q191),'SEGUIMIENTO Y EVALUACIÓN'!P191)/IF($H191=Lists!$S$6,COUNTIF('SEGUIMIENTO Y EVALUACIÓN'!K191:N191,"&gt;"&amp;0),FORMULACIÓN!P191),0),0)</f>
        <v>0</v>
      </c>
      <c r="AV191" s="93" t="str">
        <f t="shared" ca="1" si="24"/>
        <v/>
      </c>
      <c r="AW191" s="93" cm="1">
        <f t="array" ref="AW191">IF(INDEX(AO191:AU191,1,$AV$3)&gt;1,IF($AU$2=1,1,INDEX(AO191:AU191,1,$AV$3)),INDEX(AO191:AU191,1,$AV$3))</f>
        <v>1</v>
      </c>
      <c r="AX191" s="3"/>
      <c r="AY191" s="119" t="str">
        <f>IFERROR(IF((W191/FORMULACIÓN!X191)&lt;&gt;0,W191/FORMULACIÓN!X191,0),"")</f>
        <v/>
      </c>
      <c r="AZ191" s="119" t="str">
        <f>IFERROR(IF((AA191/FORMULACIÓN!AB191)&lt;&gt;0,AA191/FORMULACIÓN!AB191,0),"")</f>
        <v/>
      </c>
      <c r="BA191" s="119" t="str">
        <f>IFERROR(IF((AE191/FORMULACIÓN!AF191)&lt;&gt;0,(AE191/FORMULACIÓN!AF191),0),"")</f>
        <v/>
      </c>
      <c r="BB191" s="119" t="str">
        <f>IFERROR(IF((AI191/FORMULACIÓN!AJ191)&lt;&gt;0,AI191/FORMULACIÓN!AJ191,0),"")</f>
        <v/>
      </c>
      <c r="BC191" s="120" t="str">
        <f>IF('SEGUIMIENTO Y EVALUACIÓN'!AI191=0,0,TEXT('SEGUIMIENTO Y EVALUACIÓN'!AI191,"$ ##.###")&amp;" / "&amp;TEXT(FORMULACIÓN!AK191,"$ ##.###"))</f>
        <v xml:space="preserve"> / </v>
      </c>
      <c r="BD191" s="57">
        <f>IFERROR(IF((AJ191/FORMULACIÓN!AK191)&lt;&gt;0,AJ191/FORMULACIÓN!AK191,0),0)</f>
        <v>0</v>
      </c>
      <c r="CL191" s="7"/>
    </row>
    <row r="192" spans="1:90" s="1" customFormat="1" ht="99.95" customHeight="1">
      <c r="A192" s="45" t="str">
        <f>IF(FORMULACIÓN!A192="","",FORMULACIÓN!A192)</f>
        <v/>
      </c>
      <c r="B192" s="45" t="str">
        <f>IF(FORMULACIÓN!B192="","",FORMULACIÓN!B192)</f>
        <v/>
      </c>
      <c r="C192" s="45" t="str">
        <f>IF(FORMULACIÓN!E192="","",FORMULACIÓN!E192)</f>
        <v/>
      </c>
      <c r="D192" s="45" t="str">
        <f>IF(FORMULACIÓN!F192="","",FORMULACIÓN!F192)</f>
        <v/>
      </c>
      <c r="E192" s="45" t="str">
        <f>IF(FORMULACIÓN!G192="","",FORMULACIÓN!G192)</f>
        <v/>
      </c>
      <c r="F192" s="45" t="str">
        <f>IF(FORMULACIÓN!H192="","",FORMULACIÓN!H192)</f>
        <v/>
      </c>
      <c r="G192" s="45" t="str">
        <f>IF(FORMULACIÓN!I192="","",FORMULACIÓN!I192)</f>
        <v/>
      </c>
      <c r="H192" s="45" t="str">
        <f>IF(FORMULACIÓN!J192="","",FORMULACIÓN!J192)</f>
        <v/>
      </c>
      <c r="I192" s="188" t="str">
        <f ca="1">IF($G192=Lists!$R$3,"PDI: "&amp;TEXT(FORMULACIÓN!Q192,"00,00%")&amp;CHAR(10)&amp;CHAR(10)&amp;"T1: "&amp;TEXT(FORMULACIÓN!L192,"00,00%")&amp;CHAR(10)&amp;"T2: "&amp;TEXT(FORMULACIÓN!M192,"00,00%")&amp;CHAR(10)&amp;"T3: "&amp;TEXT(FORMULACIÓN!N192,"00,00%")&amp;CHAR(10)&amp;"Tn: "&amp;TEXT(FORMULACIÓN!O192,"00,00%"),IF(FORMULACIÓN!Q192=0,0,"PDI: "&amp;TEXT(FORMULACIÓN!Q192,"##.###")&amp;CHAR(10)&amp;CHAR(10)&amp;"T1: "&amp;TEXT(FORMULACIÓN!L192,"##.###")&amp;CHAR(10)&amp;"T2: "&amp;TEXT(FORMULACIÓN!M192,"##.###")&amp;CHAR(10)&amp;"T3: "&amp;TEXT(FORMULACIÓN!N192,"##.###")&amp;CHAR(10)&amp;"Tn: "&amp;TEXT(FORMULACIÓN!O192,"##.###")))</f>
        <v xml:space="preserve">PDI: 
T1: 
T2: 
T3: 
Tn: </v>
      </c>
      <c r="J192" s="122" t="str">
        <f>IF(FORMULACIÓN!K192&lt;&gt;"",FORMULACIÓN!K192,"")</f>
        <v/>
      </c>
      <c r="K192" s="58"/>
      <c r="L192" s="58"/>
      <c r="M192" s="58"/>
      <c r="N192" s="58"/>
      <c r="O192" s="47" t="str">
        <f ca="1">IFERROR(IF($H192=Lists!$S$2,SUM('SEGUIMIENTO Y EVALUACIÓN'!J192:N192),IF('SEGUIMIENTO Y EVALUACIÓN'!$H192=Lists!$S$3,SUM('SEGUIMIENTO Y EVALUACIÓN'!K192:N192),IF('SEGUIMIENTO Y EVALUACIÓN'!$H192=Lists!$S$4,AVERAGE('SEGUIMIENTO Y EVALUACIÓN'!K192:N192),IF('SEGUIMIENTO Y EVALUACIÓN'!$H192=Lists!$S$5,OFFSET(J192,0,COUNTA(K192:N192)),IF($H192=Lists!$S$6,COUNTIF(K192:N192,"&lt;"&amp;FORMULACIÓN!Q192)/COUNT('SEGUIMIENTO Y EVALUACIÓN'!K192:N192),""))))),"")</f>
        <v/>
      </c>
      <c r="P192" s="51" t="str">
        <f ca="1">IF($G192=Lists!$R$3,TEXT('SEGUIMIENTO Y EVALUACIÓN'!O192,"00,00%"),IF('SEGUIMIENTO Y EVALUACIÓN'!O192=0,0,TEXT('SEGUIMIENTO Y EVALUACIÓN'!O192,"##.###")))</f>
        <v/>
      </c>
      <c r="Q192" s="209" t="str">
        <f>IF(FORMULACIÓN!R192&lt;&gt;"",FORMULACIÓN!R192,"")</f>
        <v/>
      </c>
      <c r="R192" s="209" t="str">
        <f>IF(FORMULACIÓN!S192&lt;&gt;"",FORMULACIÓN!S192,"")</f>
        <v/>
      </c>
      <c r="S192" s="209" t="str">
        <f>IF(FORMULACIÓN!T192&lt;&gt;"",FORMULACIÓN!T192,"")</f>
        <v/>
      </c>
      <c r="T192" s="42"/>
      <c r="U192" s="42"/>
      <c r="V192" s="42"/>
      <c r="W192" s="43" t="str">
        <f t="shared" si="18"/>
        <v/>
      </c>
      <c r="X192" s="42"/>
      <c r="Y192" s="42"/>
      <c r="Z192" s="42"/>
      <c r="AA192" s="43" t="str">
        <f t="shared" si="19"/>
        <v/>
      </c>
      <c r="AB192" s="42"/>
      <c r="AC192" s="42"/>
      <c r="AD192" s="42"/>
      <c r="AE192" s="43" t="str">
        <f t="shared" si="20"/>
        <v/>
      </c>
      <c r="AF192" s="42"/>
      <c r="AG192" s="42"/>
      <c r="AH192" s="42"/>
      <c r="AI192" s="46" t="str">
        <f t="shared" si="21"/>
        <v/>
      </c>
      <c r="AJ192" s="46" t="str">
        <f>IF(SUM(AA192,AE192,W192,AI192)=0,"",SUM((AA192,AE192,W192,AI192)))</f>
        <v/>
      </c>
      <c r="AK192" s="2"/>
      <c r="AL192" s="1" t="str">
        <f t="shared" si="25"/>
        <v/>
      </c>
      <c r="AM192" s="56" t="str">
        <f t="shared" si="26"/>
        <v/>
      </c>
      <c r="AN192" s="112" t="str">
        <f ca="1">IF($G192=Lists!$R$3,"T1: "&amp;TEXT(FORMULACIÓN!L192,"00,00%")&amp;CHAR(10)&amp;"T2: "&amp;TEXT(FORMULACIÓN!M192,"00,00%")&amp;CHAR(10)&amp;"T3: "&amp;TEXT(FORMULACIÓN!N192,"00,00%")&amp;CHAR(10)&amp;"Tn: "&amp;TEXT(FORMULACIÓN!O192,"00,00%"),IF(FORMULACIÓN!Q192=0,0,"T1: "&amp;TEXT(FORMULACIÓN!L192,"##.###")&amp;CHAR(10)&amp;"T2: "&amp;TEXT(FORMULACIÓN!M192,"##.###")&amp;CHAR(10)&amp;"T3: "&amp;TEXT(FORMULACIÓN!N192,"##.###")&amp;CHAR(10)&amp;"Tn: "&amp;TEXT(FORMULACIÓN!O192,"##.###")))</f>
        <v xml:space="preserve">T1: 
T2: 
T3: 
Tn: </v>
      </c>
      <c r="AO192" s="117" t="str">
        <f>IFERROR(IF($H192=Lists!$S$6,IF(AND(FORMULACIÓN!L192&gt;K192,K192&gt;0),1,0),IF((K192/FORMULACIÓN!L192)&lt;&gt;0,K192/FORMULACIÓN!L192,0)),"")</f>
        <v/>
      </c>
      <c r="AP192" s="117" t="str">
        <f>IFERROR(IF($H192=Lists!$S$6,IF(AND(FORMULACIÓN!M192&gt;L192,L192&gt;0),1,0),IF((L192/FORMULACIÓN!M192)&lt;&gt;0,L192/FORMULACIÓN!M192,0)),"")</f>
        <v/>
      </c>
      <c r="AQ192" s="117" t="str">
        <f>IFERROR(IF($H192=Lists!$S$6,IF(AND(FORMULACIÓN!N192&gt;M192,M192&gt;0),1,0),IF((M192/FORMULACIÓN!N192)&lt;&gt;0,M192/FORMULACIÓN!N192,0)),"")</f>
        <v/>
      </c>
      <c r="AR192" s="117" t="str">
        <f>IFERROR(IF($H192=Lists!$S$6,IF(AND(FORMULACIÓN!O192&gt;N192,N192&gt;0),1,0),IF((N192/FORMULACIÓN!O192)&lt;&gt;0,N192/FORMULACIÓN!O192,0)),"")</f>
        <v/>
      </c>
      <c r="AS192" s="110"/>
      <c r="AT192" s="118" t="str">
        <f ca="1">IF($H192=Lists!$S$6,TEXT(COUNTIF('SEGUIMIENTO Y EVALUACIÓN'!K192:N192,"&lt;"&amp;FORMULACIÓN!Q192),"##.###")&amp;" / "&amp;TEXT(COUNTIF('SEGUIMIENTO Y EVALUACIÓN'!K192:N192,"&gt;"&amp;0),"##.###"),IF($G192=Lists!$R$3,TEXT('SEGUIMIENTO Y EVALUACIÓN'!O192,"00,00%")&amp;" / "&amp;TEXT(FORMULACIÓN!P192,"00,00%"),IF('SEGUIMIENTO Y EVALUACIÓN'!O192=0,0,TEXT('SEGUIMIENTO Y EVALUACIÓN'!O192,"##.###")&amp;" / "&amp;TEXT(FORMULACIÓN!P192,"##.###"))))</f>
        <v xml:space="preserve"> / </v>
      </c>
      <c r="AU192" s="57">
        <f ca="1">IFERROR(IF((P192/FORMULACIÓN!Q192)&lt;&gt;0,IF($H192=Lists!$S$6,COUNTIF('SEGUIMIENTO Y EVALUACIÓN'!K192:N192,"&lt;"&amp;FORMULACIÓN!Q192),'SEGUIMIENTO Y EVALUACIÓN'!P192)/IF($H192=Lists!$S$6,COUNTIF('SEGUIMIENTO Y EVALUACIÓN'!K192:N192,"&gt;"&amp;0),FORMULACIÓN!P192),0),0)</f>
        <v>0</v>
      </c>
      <c r="AV192" s="93" t="str">
        <f t="shared" ca="1" si="24"/>
        <v/>
      </c>
      <c r="AW192" s="93" cm="1">
        <f t="array" ref="AW192">IF(INDEX(AO192:AU192,1,$AV$3)&gt;1,IF($AU$2=1,1,INDEX(AO192:AU192,1,$AV$3)),INDEX(AO192:AU192,1,$AV$3))</f>
        <v>1</v>
      </c>
      <c r="AX192" s="3"/>
      <c r="AY192" s="119" t="str">
        <f>IFERROR(IF((W192/FORMULACIÓN!X192)&lt;&gt;0,W192/FORMULACIÓN!X192,0),"")</f>
        <v/>
      </c>
      <c r="AZ192" s="119" t="str">
        <f>IFERROR(IF((AA192/FORMULACIÓN!AB192)&lt;&gt;0,AA192/FORMULACIÓN!AB192,0),"")</f>
        <v/>
      </c>
      <c r="BA192" s="119" t="str">
        <f>IFERROR(IF((AE192/FORMULACIÓN!AF192)&lt;&gt;0,(AE192/FORMULACIÓN!AF192),0),"")</f>
        <v/>
      </c>
      <c r="BB192" s="119" t="str">
        <f>IFERROR(IF((AI192/FORMULACIÓN!AJ192)&lt;&gt;0,AI192/FORMULACIÓN!AJ192,0),"")</f>
        <v/>
      </c>
      <c r="BC192" s="120" t="str">
        <f>IF('SEGUIMIENTO Y EVALUACIÓN'!AI192=0,0,TEXT('SEGUIMIENTO Y EVALUACIÓN'!AI192,"$ ##.###")&amp;" / "&amp;TEXT(FORMULACIÓN!AK192,"$ ##.###"))</f>
        <v xml:space="preserve"> / </v>
      </c>
      <c r="BD192" s="57">
        <f>IFERROR(IF((AJ192/FORMULACIÓN!AK192)&lt;&gt;0,AJ192/FORMULACIÓN!AK192,0),0)</f>
        <v>0</v>
      </c>
      <c r="CL192" s="7"/>
    </row>
    <row r="193" spans="1:90" s="1" customFormat="1" ht="99.95" customHeight="1">
      <c r="A193" s="45" t="str">
        <f>IF(FORMULACIÓN!A193="","",FORMULACIÓN!A193)</f>
        <v/>
      </c>
      <c r="B193" s="45" t="str">
        <f>IF(FORMULACIÓN!B193="","",FORMULACIÓN!B193)</f>
        <v/>
      </c>
      <c r="C193" s="45" t="str">
        <f>IF(FORMULACIÓN!E193="","",FORMULACIÓN!E193)</f>
        <v/>
      </c>
      <c r="D193" s="45" t="str">
        <f>IF(FORMULACIÓN!F193="","",FORMULACIÓN!F193)</f>
        <v/>
      </c>
      <c r="E193" s="45" t="str">
        <f>IF(FORMULACIÓN!G193="","",FORMULACIÓN!G193)</f>
        <v/>
      </c>
      <c r="F193" s="45" t="str">
        <f>IF(FORMULACIÓN!H193="","",FORMULACIÓN!H193)</f>
        <v/>
      </c>
      <c r="G193" s="45" t="str">
        <f>IF(FORMULACIÓN!I193="","",FORMULACIÓN!I193)</f>
        <v/>
      </c>
      <c r="H193" s="45" t="str">
        <f>IF(FORMULACIÓN!J193="","",FORMULACIÓN!J193)</f>
        <v/>
      </c>
      <c r="I193" s="188" t="str">
        <f ca="1">IF($G193=Lists!$R$3,"PDI: "&amp;TEXT(FORMULACIÓN!Q193,"00,00%")&amp;CHAR(10)&amp;CHAR(10)&amp;"T1: "&amp;TEXT(FORMULACIÓN!L193,"00,00%")&amp;CHAR(10)&amp;"T2: "&amp;TEXT(FORMULACIÓN!M193,"00,00%")&amp;CHAR(10)&amp;"T3: "&amp;TEXT(FORMULACIÓN!N193,"00,00%")&amp;CHAR(10)&amp;"Tn: "&amp;TEXT(FORMULACIÓN!O193,"00,00%"),IF(FORMULACIÓN!Q193=0,0,"PDI: "&amp;TEXT(FORMULACIÓN!Q193,"##.###")&amp;CHAR(10)&amp;CHAR(10)&amp;"T1: "&amp;TEXT(FORMULACIÓN!L193,"##.###")&amp;CHAR(10)&amp;"T2: "&amp;TEXT(FORMULACIÓN!M193,"##.###")&amp;CHAR(10)&amp;"T3: "&amp;TEXT(FORMULACIÓN!N193,"##.###")&amp;CHAR(10)&amp;"Tn: "&amp;TEXT(FORMULACIÓN!O193,"##.###")))</f>
        <v xml:space="preserve">PDI: 
T1: 
T2: 
T3: 
Tn: </v>
      </c>
      <c r="J193" s="122" t="str">
        <f>IF(FORMULACIÓN!K193&lt;&gt;"",FORMULACIÓN!K193,"")</f>
        <v/>
      </c>
      <c r="K193" s="58"/>
      <c r="L193" s="58"/>
      <c r="M193" s="58"/>
      <c r="N193" s="58"/>
      <c r="O193" s="47" t="str">
        <f ca="1">IFERROR(IF($H193=Lists!$S$2,SUM('SEGUIMIENTO Y EVALUACIÓN'!J193:N193),IF('SEGUIMIENTO Y EVALUACIÓN'!$H193=Lists!$S$3,SUM('SEGUIMIENTO Y EVALUACIÓN'!K193:N193),IF('SEGUIMIENTO Y EVALUACIÓN'!$H193=Lists!$S$4,AVERAGE('SEGUIMIENTO Y EVALUACIÓN'!K193:N193),IF('SEGUIMIENTO Y EVALUACIÓN'!$H193=Lists!$S$5,OFFSET(J193,0,COUNTA(K193:N193)),IF($H193=Lists!$S$6,COUNTIF(K193:N193,"&lt;"&amp;FORMULACIÓN!Q193)/COUNT('SEGUIMIENTO Y EVALUACIÓN'!K193:N193),""))))),"")</f>
        <v/>
      </c>
      <c r="P193" s="51" t="str">
        <f ca="1">IF($G193=Lists!$R$3,TEXT('SEGUIMIENTO Y EVALUACIÓN'!O193,"00,00%"),IF('SEGUIMIENTO Y EVALUACIÓN'!O193=0,0,TEXT('SEGUIMIENTO Y EVALUACIÓN'!O193,"##.###")))</f>
        <v/>
      </c>
      <c r="Q193" s="209" t="str">
        <f>IF(FORMULACIÓN!R193&lt;&gt;"",FORMULACIÓN!R193,"")</f>
        <v/>
      </c>
      <c r="R193" s="209" t="str">
        <f>IF(FORMULACIÓN!S193&lt;&gt;"",FORMULACIÓN!S193,"")</f>
        <v/>
      </c>
      <c r="S193" s="209" t="str">
        <f>IF(FORMULACIÓN!T193&lt;&gt;"",FORMULACIÓN!T193,"")</f>
        <v/>
      </c>
      <c r="T193" s="42"/>
      <c r="U193" s="42"/>
      <c r="V193" s="42"/>
      <c r="W193" s="43" t="str">
        <f t="shared" si="18"/>
        <v/>
      </c>
      <c r="X193" s="42"/>
      <c r="Y193" s="42"/>
      <c r="Z193" s="42"/>
      <c r="AA193" s="43" t="str">
        <f t="shared" si="19"/>
        <v/>
      </c>
      <c r="AB193" s="42"/>
      <c r="AC193" s="42"/>
      <c r="AD193" s="42"/>
      <c r="AE193" s="43" t="str">
        <f t="shared" si="20"/>
        <v/>
      </c>
      <c r="AF193" s="42"/>
      <c r="AG193" s="42"/>
      <c r="AH193" s="42"/>
      <c r="AI193" s="46" t="str">
        <f t="shared" si="21"/>
        <v/>
      </c>
      <c r="AJ193" s="46" t="str">
        <f>IF(SUM(AA193,AE193,W193,AI193)=0,"",SUM((AA193,AE193,W193,AI193)))</f>
        <v/>
      </c>
      <c r="AK193" s="2"/>
      <c r="AL193" s="1" t="str">
        <f t="shared" si="25"/>
        <v/>
      </c>
      <c r="AM193" s="56" t="str">
        <f t="shared" si="26"/>
        <v/>
      </c>
      <c r="AN193" s="112" t="str">
        <f ca="1">IF($G193=Lists!$R$3,"T1: "&amp;TEXT(FORMULACIÓN!L193,"00,00%")&amp;CHAR(10)&amp;"T2: "&amp;TEXT(FORMULACIÓN!M193,"00,00%")&amp;CHAR(10)&amp;"T3: "&amp;TEXT(FORMULACIÓN!N193,"00,00%")&amp;CHAR(10)&amp;"Tn: "&amp;TEXT(FORMULACIÓN!O193,"00,00%"),IF(FORMULACIÓN!Q193=0,0,"T1: "&amp;TEXT(FORMULACIÓN!L193,"##.###")&amp;CHAR(10)&amp;"T2: "&amp;TEXT(FORMULACIÓN!M193,"##.###")&amp;CHAR(10)&amp;"T3: "&amp;TEXT(FORMULACIÓN!N193,"##.###")&amp;CHAR(10)&amp;"Tn: "&amp;TEXT(FORMULACIÓN!O193,"##.###")))</f>
        <v xml:space="preserve">T1: 
T2: 
T3: 
Tn: </v>
      </c>
      <c r="AO193" s="117" t="str">
        <f>IFERROR(IF($H193=Lists!$S$6,IF(AND(FORMULACIÓN!L193&gt;K193,K193&gt;0),1,0),IF((K193/FORMULACIÓN!L193)&lt;&gt;0,K193/FORMULACIÓN!L193,0)),"")</f>
        <v/>
      </c>
      <c r="AP193" s="117" t="str">
        <f>IFERROR(IF($H193=Lists!$S$6,IF(AND(FORMULACIÓN!M193&gt;L193,L193&gt;0),1,0),IF((L193/FORMULACIÓN!M193)&lt;&gt;0,L193/FORMULACIÓN!M193,0)),"")</f>
        <v/>
      </c>
      <c r="AQ193" s="117" t="str">
        <f>IFERROR(IF($H193=Lists!$S$6,IF(AND(FORMULACIÓN!N193&gt;M193,M193&gt;0),1,0),IF((M193/FORMULACIÓN!N193)&lt;&gt;0,M193/FORMULACIÓN!N193,0)),"")</f>
        <v/>
      </c>
      <c r="AR193" s="117" t="str">
        <f>IFERROR(IF($H193=Lists!$S$6,IF(AND(FORMULACIÓN!O193&gt;N193,N193&gt;0),1,0),IF((N193/FORMULACIÓN!O193)&lt;&gt;0,N193/FORMULACIÓN!O193,0)),"")</f>
        <v/>
      </c>
      <c r="AS193" s="110"/>
      <c r="AT193" s="118" t="str">
        <f ca="1">IF($H193=Lists!$S$6,TEXT(COUNTIF('SEGUIMIENTO Y EVALUACIÓN'!K193:N193,"&lt;"&amp;FORMULACIÓN!Q193),"##.###")&amp;" / "&amp;TEXT(COUNTIF('SEGUIMIENTO Y EVALUACIÓN'!K193:N193,"&gt;"&amp;0),"##.###"),IF($G193=Lists!$R$3,TEXT('SEGUIMIENTO Y EVALUACIÓN'!O193,"00,00%")&amp;" / "&amp;TEXT(FORMULACIÓN!P193,"00,00%"),IF('SEGUIMIENTO Y EVALUACIÓN'!O193=0,0,TEXT('SEGUIMIENTO Y EVALUACIÓN'!O193,"##.###")&amp;" / "&amp;TEXT(FORMULACIÓN!P193,"##.###"))))</f>
        <v xml:space="preserve"> / </v>
      </c>
      <c r="AU193" s="57">
        <f ca="1">IFERROR(IF((P193/FORMULACIÓN!Q193)&lt;&gt;0,IF($H193=Lists!$S$6,COUNTIF('SEGUIMIENTO Y EVALUACIÓN'!K193:N193,"&lt;"&amp;FORMULACIÓN!Q193),'SEGUIMIENTO Y EVALUACIÓN'!P193)/IF($H193=Lists!$S$6,COUNTIF('SEGUIMIENTO Y EVALUACIÓN'!K193:N193,"&gt;"&amp;0),FORMULACIÓN!P193),0),0)</f>
        <v>0</v>
      </c>
      <c r="AV193" s="93" t="str">
        <f t="shared" ca="1" si="24"/>
        <v/>
      </c>
      <c r="AW193" s="93" cm="1">
        <f t="array" ref="AW193">IF(INDEX(AO193:AU193,1,$AV$3)&gt;1,IF($AU$2=1,1,INDEX(AO193:AU193,1,$AV$3)),INDEX(AO193:AU193,1,$AV$3))</f>
        <v>1</v>
      </c>
      <c r="AX193" s="3"/>
      <c r="AY193" s="119" t="str">
        <f>IFERROR(IF((W193/FORMULACIÓN!X193)&lt;&gt;0,W193/FORMULACIÓN!X193,0),"")</f>
        <v/>
      </c>
      <c r="AZ193" s="119" t="str">
        <f>IFERROR(IF((AA193/FORMULACIÓN!AB193)&lt;&gt;0,AA193/FORMULACIÓN!AB193,0),"")</f>
        <v/>
      </c>
      <c r="BA193" s="119" t="str">
        <f>IFERROR(IF((AE193/FORMULACIÓN!AF193)&lt;&gt;0,(AE193/FORMULACIÓN!AF193),0),"")</f>
        <v/>
      </c>
      <c r="BB193" s="119" t="str">
        <f>IFERROR(IF((AI193/FORMULACIÓN!AJ193)&lt;&gt;0,AI193/FORMULACIÓN!AJ193,0),"")</f>
        <v/>
      </c>
      <c r="BC193" s="120" t="str">
        <f>IF('SEGUIMIENTO Y EVALUACIÓN'!AI193=0,0,TEXT('SEGUIMIENTO Y EVALUACIÓN'!AI193,"$ ##.###")&amp;" / "&amp;TEXT(FORMULACIÓN!AK193,"$ ##.###"))</f>
        <v xml:space="preserve"> / </v>
      </c>
      <c r="BD193" s="57">
        <f>IFERROR(IF((AJ193/FORMULACIÓN!AK193)&lt;&gt;0,AJ193/FORMULACIÓN!AK193,0),0)</f>
        <v>0</v>
      </c>
      <c r="CL193" s="7"/>
    </row>
    <row r="194" spans="1:90" s="1" customFormat="1" ht="99.95" customHeight="1">
      <c r="A194" s="45" t="str">
        <f>IF(FORMULACIÓN!A194="","",FORMULACIÓN!A194)</f>
        <v/>
      </c>
      <c r="B194" s="45" t="str">
        <f>IF(FORMULACIÓN!B194="","",FORMULACIÓN!B194)</f>
        <v/>
      </c>
      <c r="C194" s="45" t="str">
        <f>IF(FORMULACIÓN!E194="","",FORMULACIÓN!E194)</f>
        <v/>
      </c>
      <c r="D194" s="45" t="str">
        <f>IF(FORMULACIÓN!F194="","",FORMULACIÓN!F194)</f>
        <v/>
      </c>
      <c r="E194" s="45" t="str">
        <f>IF(FORMULACIÓN!G194="","",FORMULACIÓN!G194)</f>
        <v/>
      </c>
      <c r="F194" s="45" t="str">
        <f>IF(FORMULACIÓN!H194="","",FORMULACIÓN!H194)</f>
        <v/>
      </c>
      <c r="G194" s="45" t="str">
        <f>IF(FORMULACIÓN!I194="","",FORMULACIÓN!I194)</f>
        <v/>
      </c>
      <c r="H194" s="45" t="str">
        <f>IF(FORMULACIÓN!J194="","",FORMULACIÓN!J194)</f>
        <v/>
      </c>
      <c r="I194" s="188" t="str">
        <f ca="1">IF($G194=Lists!$R$3,"PDI: "&amp;TEXT(FORMULACIÓN!Q194,"00,00%")&amp;CHAR(10)&amp;CHAR(10)&amp;"T1: "&amp;TEXT(FORMULACIÓN!L194,"00,00%")&amp;CHAR(10)&amp;"T2: "&amp;TEXT(FORMULACIÓN!M194,"00,00%")&amp;CHAR(10)&amp;"T3: "&amp;TEXT(FORMULACIÓN!N194,"00,00%")&amp;CHAR(10)&amp;"Tn: "&amp;TEXT(FORMULACIÓN!O194,"00,00%"),IF(FORMULACIÓN!Q194=0,0,"PDI: "&amp;TEXT(FORMULACIÓN!Q194,"##.###")&amp;CHAR(10)&amp;CHAR(10)&amp;"T1: "&amp;TEXT(FORMULACIÓN!L194,"##.###")&amp;CHAR(10)&amp;"T2: "&amp;TEXT(FORMULACIÓN!M194,"##.###")&amp;CHAR(10)&amp;"T3: "&amp;TEXT(FORMULACIÓN!N194,"##.###")&amp;CHAR(10)&amp;"Tn: "&amp;TEXT(FORMULACIÓN!O194,"##.###")))</f>
        <v xml:space="preserve">PDI: 
T1: 
T2: 
T3: 
Tn: </v>
      </c>
      <c r="J194" s="122" t="str">
        <f>IF(FORMULACIÓN!K194&lt;&gt;"",FORMULACIÓN!K194,"")</f>
        <v/>
      </c>
      <c r="K194" s="58"/>
      <c r="L194" s="58"/>
      <c r="M194" s="58"/>
      <c r="N194" s="58"/>
      <c r="O194" s="47" t="str">
        <f ca="1">IFERROR(IF($H194=Lists!$S$2,SUM('SEGUIMIENTO Y EVALUACIÓN'!J194:N194),IF('SEGUIMIENTO Y EVALUACIÓN'!$H194=Lists!$S$3,SUM('SEGUIMIENTO Y EVALUACIÓN'!K194:N194),IF('SEGUIMIENTO Y EVALUACIÓN'!$H194=Lists!$S$4,AVERAGE('SEGUIMIENTO Y EVALUACIÓN'!K194:N194),IF('SEGUIMIENTO Y EVALUACIÓN'!$H194=Lists!$S$5,OFFSET(J194,0,COUNTA(K194:N194)),IF($H194=Lists!$S$6,COUNTIF(K194:N194,"&lt;"&amp;FORMULACIÓN!Q194)/COUNT('SEGUIMIENTO Y EVALUACIÓN'!K194:N194),""))))),"")</f>
        <v/>
      </c>
      <c r="P194" s="51" t="str">
        <f ca="1">IF($G194=Lists!$R$3,TEXT('SEGUIMIENTO Y EVALUACIÓN'!O194,"00,00%"),IF('SEGUIMIENTO Y EVALUACIÓN'!O194=0,0,TEXT('SEGUIMIENTO Y EVALUACIÓN'!O194,"##.###")))</f>
        <v/>
      </c>
      <c r="Q194" s="209" t="str">
        <f>IF(FORMULACIÓN!R194&lt;&gt;"",FORMULACIÓN!R194,"")</f>
        <v/>
      </c>
      <c r="R194" s="209" t="str">
        <f>IF(FORMULACIÓN!S194&lt;&gt;"",FORMULACIÓN!S194,"")</f>
        <v/>
      </c>
      <c r="S194" s="209" t="str">
        <f>IF(FORMULACIÓN!T194&lt;&gt;"",FORMULACIÓN!T194,"")</f>
        <v/>
      </c>
      <c r="T194" s="42"/>
      <c r="U194" s="42"/>
      <c r="V194" s="42"/>
      <c r="W194" s="43" t="str">
        <f t="shared" si="18"/>
        <v/>
      </c>
      <c r="X194" s="42"/>
      <c r="Y194" s="42"/>
      <c r="Z194" s="42"/>
      <c r="AA194" s="43" t="str">
        <f t="shared" si="19"/>
        <v/>
      </c>
      <c r="AB194" s="42"/>
      <c r="AC194" s="42"/>
      <c r="AD194" s="42"/>
      <c r="AE194" s="43" t="str">
        <f t="shared" si="20"/>
        <v/>
      </c>
      <c r="AF194" s="42"/>
      <c r="AG194" s="42"/>
      <c r="AH194" s="42"/>
      <c r="AI194" s="46" t="str">
        <f t="shared" si="21"/>
        <v/>
      </c>
      <c r="AJ194" s="46" t="str">
        <f>IF(SUM(AA194,AE194,W194,AI194)=0,"",SUM((AA194,AE194,W194,AI194)))</f>
        <v/>
      </c>
      <c r="AK194" s="2"/>
      <c r="AL194" s="1" t="str">
        <f t="shared" si="25"/>
        <v/>
      </c>
      <c r="AM194" s="56" t="str">
        <f t="shared" si="26"/>
        <v/>
      </c>
      <c r="AN194" s="112" t="str">
        <f ca="1">IF($G194=Lists!$R$3,"T1: "&amp;TEXT(FORMULACIÓN!L194,"00,00%")&amp;CHAR(10)&amp;"T2: "&amp;TEXT(FORMULACIÓN!M194,"00,00%")&amp;CHAR(10)&amp;"T3: "&amp;TEXT(FORMULACIÓN!N194,"00,00%")&amp;CHAR(10)&amp;"Tn: "&amp;TEXT(FORMULACIÓN!O194,"00,00%"),IF(FORMULACIÓN!Q194=0,0,"T1: "&amp;TEXT(FORMULACIÓN!L194,"##.###")&amp;CHAR(10)&amp;"T2: "&amp;TEXT(FORMULACIÓN!M194,"##.###")&amp;CHAR(10)&amp;"T3: "&amp;TEXT(FORMULACIÓN!N194,"##.###")&amp;CHAR(10)&amp;"Tn: "&amp;TEXT(FORMULACIÓN!O194,"##.###")))</f>
        <v xml:space="preserve">T1: 
T2: 
T3: 
Tn: </v>
      </c>
      <c r="AO194" s="117" t="str">
        <f>IFERROR(IF($H194=Lists!$S$6,IF(AND(FORMULACIÓN!L194&gt;K194,K194&gt;0),1,0),IF((K194/FORMULACIÓN!L194)&lt;&gt;0,K194/FORMULACIÓN!L194,0)),"")</f>
        <v/>
      </c>
      <c r="AP194" s="117" t="str">
        <f>IFERROR(IF($H194=Lists!$S$6,IF(AND(FORMULACIÓN!M194&gt;L194,L194&gt;0),1,0),IF((L194/FORMULACIÓN!M194)&lt;&gt;0,L194/FORMULACIÓN!M194,0)),"")</f>
        <v/>
      </c>
      <c r="AQ194" s="117" t="str">
        <f>IFERROR(IF($H194=Lists!$S$6,IF(AND(FORMULACIÓN!N194&gt;M194,M194&gt;0),1,0),IF((M194/FORMULACIÓN!N194)&lt;&gt;0,M194/FORMULACIÓN!N194,0)),"")</f>
        <v/>
      </c>
      <c r="AR194" s="117" t="str">
        <f>IFERROR(IF($H194=Lists!$S$6,IF(AND(FORMULACIÓN!O194&gt;N194,N194&gt;0),1,0),IF((N194/FORMULACIÓN!O194)&lt;&gt;0,N194/FORMULACIÓN!O194,0)),"")</f>
        <v/>
      </c>
      <c r="AS194" s="110"/>
      <c r="AT194" s="118" t="str">
        <f ca="1">IF($H194=Lists!$S$6,TEXT(COUNTIF('SEGUIMIENTO Y EVALUACIÓN'!K194:N194,"&lt;"&amp;FORMULACIÓN!Q194),"##.###")&amp;" / "&amp;TEXT(COUNTIF('SEGUIMIENTO Y EVALUACIÓN'!K194:N194,"&gt;"&amp;0),"##.###"),IF($G194=Lists!$R$3,TEXT('SEGUIMIENTO Y EVALUACIÓN'!O194,"00,00%")&amp;" / "&amp;TEXT(FORMULACIÓN!P194,"00,00%"),IF('SEGUIMIENTO Y EVALUACIÓN'!O194=0,0,TEXT('SEGUIMIENTO Y EVALUACIÓN'!O194,"##.###")&amp;" / "&amp;TEXT(FORMULACIÓN!P194,"##.###"))))</f>
        <v xml:space="preserve"> / </v>
      </c>
      <c r="AU194" s="57">
        <f ca="1">IFERROR(IF((P194/FORMULACIÓN!Q194)&lt;&gt;0,IF($H194=Lists!$S$6,COUNTIF('SEGUIMIENTO Y EVALUACIÓN'!K194:N194,"&lt;"&amp;FORMULACIÓN!Q194),'SEGUIMIENTO Y EVALUACIÓN'!P194)/IF($H194=Lists!$S$6,COUNTIF('SEGUIMIENTO Y EVALUACIÓN'!K194:N194,"&gt;"&amp;0),FORMULACIÓN!P194),0),0)</f>
        <v>0</v>
      </c>
      <c r="AV194" s="93" t="str">
        <f t="shared" ca="1" si="24"/>
        <v/>
      </c>
      <c r="AW194" s="93" cm="1">
        <f t="array" ref="AW194">IF(INDEX(AO194:AU194,1,$AV$3)&gt;1,IF($AU$2=1,1,INDEX(AO194:AU194,1,$AV$3)),INDEX(AO194:AU194,1,$AV$3))</f>
        <v>1</v>
      </c>
      <c r="AX194" s="3"/>
      <c r="AY194" s="119" t="str">
        <f>IFERROR(IF((W194/FORMULACIÓN!X194)&lt;&gt;0,W194/FORMULACIÓN!X194,0),"")</f>
        <v/>
      </c>
      <c r="AZ194" s="119" t="str">
        <f>IFERROR(IF((AA194/FORMULACIÓN!AB194)&lt;&gt;0,AA194/FORMULACIÓN!AB194,0),"")</f>
        <v/>
      </c>
      <c r="BA194" s="119" t="str">
        <f>IFERROR(IF((AE194/FORMULACIÓN!AF194)&lt;&gt;0,(AE194/FORMULACIÓN!AF194),0),"")</f>
        <v/>
      </c>
      <c r="BB194" s="119" t="str">
        <f>IFERROR(IF((AI194/FORMULACIÓN!AJ194)&lt;&gt;0,AI194/FORMULACIÓN!AJ194,0),"")</f>
        <v/>
      </c>
      <c r="BC194" s="120" t="str">
        <f>IF('SEGUIMIENTO Y EVALUACIÓN'!AI194=0,0,TEXT('SEGUIMIENTO Y EVALUACIÓN'!AI194,"$ ##.###")&amp;" / "&amp;TEXT(FORMULACIÓN!AK194,"$ ##.###"))</f>
        <v xml:space="preserve"> / </v>
      </c>
      <c r="BD194" s="57">
        <f>IFERROR(IF((AJ194/FORMULACIÓN!AK194)&lt;&gt;0,AJ194/FORMULACIÓN!AK194,0),0)</f>
        <v>0</v>
      </c>
      <c r="CL194" s="7"/>
    </row>
    <row r="195" spans="1:90" s="1" customFormat="1" ht="99.95" customHeight="1">
      <c r="A195" s="45" t="str">
        <f>IF(FORMULACIÓN!A195="","",FORMULACIÓN!A195)</f>
        <v/>
      </c>
      <c r="B195" s="45" t="str">
        <f>IF(FORMULACIÓN!B195="","",FORMULACIÓN!B195)</f>
        <v/>
      </c>
      <c r="C195" s="45" t="str">
        <f>IF(FORMULACIÓN!E195="","",FORMULACIÓN!E195)</f>
        <v/>
      </c>
      <c r="D195" s="45" t="str">
        <f>IF(FORMULACIÓN!F195="","",FORMULACIÓN!F195)</f>
        <v/>
      </c>
      <c r="E195" s="45" t="str">
        <f>IF(FORMULACIÓN!G195="","",FORMULACIÓN!G195)</f>
        <v/>
      </c>
      <c r="F195" s="45" t="str">
        <f>IF(FORMULACIÓN!H195="","",FORMULACIÓN!H195)</f>
        <v/>
      </c>
      <c r="G195" s="45" t="str">
        <f>IF(FORMULACIÓN!I195="","",FORMULACIÓN!I195)</f>
        <v/>
      </c>
      <c r="H195" s="45" t="str">
        <f>IF(FORMULACIÓN!J195="","",FORMULACIÓN!J195)</f>
        <v/>
      </c>
      <c r="I195" s="188" t="str">
        <f ca="1">IF($G195=Lists!$R$3,"PDI: "&amp;TEXT(FORMULACIÓN!Q195,"00,00%")&amp;CHAR(10)&amp;CHAR(10)&amp;"T1: "&amp;TEXT(FORMULACIÓN!L195,"00,00%")&amp;CHAR(10)&amp;"T2: "&amp;TEXT(FORMULACIÓN!M195,"00,00%")&amp;CHAR(10)&amp;"T3: "&amp;TEXT(FORMULACIÓN!N195,"00,00%")&amp;CHAR(10)&amp;"Tn: "&amp;TEXT(FORMULACIÓN!O195,"00,00%"),IF(FORMULACIÓN!Q195=0,0,"PDI: "&amp;TEXT(FORMULACIÓN!Q195,"##.###")&amp;CHAR(10)&amp;CHAR(10)&amp;"T1: "&amp;TEXT(FORMULACIÓN!L195,"##.###")&amp;CHAR(10)&amp;"T2: "&amp;TEXT(FORMULACIÓN!M195,"##.###")&amp;CHAR(10)&amp;"T3: "&amp;TEXT(FORMULACIÓN!N195,"##.###")&amp;CHAR(10)&amp;"Tn: "&amp;TEXT(FORMULACIÓN!O195,"##.###")))</f>
        <v xml:space="preserve">PDI: 
T1: 
T2: 
T3: 
Tn: </v>
      </c>
      <c r="J195" s="122" t="str">
        <f>IF(FORMULACIÓN!K195&lt;&gt;"",FORMULACIÓN!K195,"")</f>
        <v/>
      </c>
      <c r="K195" s="58"/>
      <c r="L195" s="58"/>
      <c r="M195" s="58"/>
      <c r="N195" s="58"/>
      <c r="O195" s="47" t="str">
        <f ca="1">IFERROR(IF($H195=Lists!$S$2,SUM('SEGUIMIENTO Y EVALUACIÓN'!J195:N195),IF('SEGUIMIENTO Y EVALUACIÓN'!$H195=Lists!$S$3,SUM('SEGUIMIENTO Y EVALUACIÓN'!K195:N195),IF('SEGUIMIENTO Y EVALUACIÓN'!$H195=Lists!$S$4,AVERAGE('SEGUIMIENTO Y EVALUACIÓN'!K195:N195),IF('SEGUIMIENTO Y EVALUACIÓN'!$H195=Lists!$S$5,OFFSET(J195,0,COUNTA(K195:N195)),IF($H195=Lists!$S$6,COUNTIF(K195:N195,"&lt;"&amp;FORMULACIÓN!Q195)/COUNT('SEGUIMIENTO Y EVALUACIÓN'!K195:N195),""))))),"")</f>
        <v/>
      </c>
      <c r="P195" s="51" t="str">
        <f ca="1">IF($G195=Lists!$R$3,TEXT('SEGUIMIENTO Y EVALUACIÓN'!O195,"00,00%"),IF('SEGUIMIENTO Y EVALUACIÓN'!O195=0,0,TEXT('SEGUIMIENTO Y EVALUACIÓN'!O195,"##.###")))</f>
        <v/>
      </c>
      <c r="Q195" s="209" t="str">
        <f>IF(FORMULACIÓN!R195&lt;&gt;"",FORMULACIÓN!R195,"")</f>
        <v/>
      </c>
      <c r="R195" s="209" t="str">
        <f>IF(FORMULACIÓN!S195&lt;&gt;"",FORMULACIÓN!S195,"")</f>
        <v/>
      </c>
      <c r="S195" s="209" t="str">
        <f>IF(FORMULACIÓN!T195&lt;&gt;"",FORMULACIÓN!T195,"")</f>
        <v/>
      </c>
      <c r="T195" s="42"/>
      <c r="U195" s="42"/>
      <c r="V195" s="42"/>
      <c r="W195" s="43" t="str">
        <f t="shared" si="18"/>
        <v/>
      </c>
      <c r="X195" s="42"/>
      <c r="Y195" s="42"/>
      <c r="Z195" s="42"/>
      <c r="AA195" s="43" t="str">
        <f t="shared" si="19"/>
        <v/>
      </c>
      <c r="AB195" s="42"/>
      <c r="AC195" s="42"/>
      <c r="AD195" s="42"/>
      <c r="AE195" s="43" t="str">
        <f t="shared" si="20"/>
        <v/>
      </c>
      <c r="AF195" s="42"/>
      <c r="AG195" s="42"/>
      <c r="AH195" s="42"/>
      <c r="AI195" s="46" t="str">
        <f t="shared" si="21"/>
        <v/>
      </c>
      <c r="AJ195" s="46" t="str">
        <f>IF(SUM(AA195,AE195,W195,AI195)=0,"",SUM((AA195,AE195,W195,AI195)))</f>
        <v/>
      </c>
      <c r="AK195" s="2"/>
      <c r="AL195" s="1" t="str">
        <f t="shared" si="25"/>
        <v/>
      </c>
      <c r="AM195" s="56" t="str">
        <f t="shared" si="26"/>
        <v/>
      </c>
      <c r="AN195" s="112" t="str">
        <f ca="1">IF($G195=Lists!$R$3,"T1: "&amp;TEXT(FORMULACIÓN!L195,"00,00%")&amp;CHAR(10)&amp;"T2: "&amp;TEXT(FORMULACIÓN!M195,"00,00%")&amp;CHAR(10)&amp;"T3: "&amp;TEXT(FORMULACIÓN!N195,"00,00%")&amp;CHAR(10)&amp;"Tn: "&amp;TEXT(FORMULACIÓN!O195,"00,00%"),IF(FORMULACIÓN!Q195=0,0,"T1: "&amp;TEXT(FORMULACIÓN!L195,"##.###")&amp;CHAR(10)&amp;"T2: "&amp;TEXT(FORMULACIÓN!M195,"##.###")&amp;CHAR(10)&amp;"T3: "&amp;TEXT(FORMULACIÓN!N195,"##.###")&amp;CHAR(10)&amp;"Tn: "&amp;TEXT(FORMULACIÓN!O195,"##.###")))</f>
        <v xml:space="preserve">T1: 
T2: 
T3: 
Tn: </v>
      </c>
      <c r="AO195" s="117" t="str">
        <f>IFERROR(IF($H195=Lists!$S$6,IF(AND(FORMULACIÓN!L195&gt;K195,K195&gt;0),1,0),IF((K195/FORMULACIÓN!L195)&lt;&gt;0,K195/FORMULACIÓN!L195,0)),"")</f>
        <v/>
      </c>
      <c r="AP195" s="117" t="str">
        <f>IFERROR(IF($H195=Lists!$S$6,IF(AND(FORMULACIÓN!M195&gt;L195,L195&gt;0),1,0),IF((L195/FORMULACIÓN!M195)&lt;&gt;0,L195/FORMULACIÓN!M195,0)),"")</f>
        <v/>
      </c>
      <c r="AQ195" s="117" t="str">
        <f>IFERROR(IF($H195=Lists!$S$6,IF(AND(FORMULACIÓN!N195&gt;M195,M195&gt;0),1,0),IF((M195/FORMULACIÓN!N195)&lt;&gt;0,M195/FORMULACIÓN!N195,0)),"")</f>
        <v/>
      </c>
      <c r="AR195" s="117" t="str">
        <f>IFERROR(IF($H195=Lists!$S$6,IF(AND(FORMULACIÓN!O195&gt;N195,N195&gt;0),1,0),IF((N195/FORMULACIÓN!O195)&lt;&gt;0,N195/FORMULACIÓN!O195,0)),"")</f>
        <v/>
      </c>
      <c r="AS195" s="110"/>
      <c r="AT195" s="118" t="str">
        <f ca="1">IF($H195=Lists!$S$6,TEXT(COUNTIF('SEGUIMIENTO Y EVALUACIÓN'!K195:N195,"&lt;"&amp;FORMULACIÓN!Q195),"##.###")&amp;" / "&amp;TEXT(COUNTIF('SEGUIMIENTO Y EVALUACIÓN'!K195:N195,"&gt;"&amp;0),"##.###"),IF($G195=Lists!$R$3,TEXT('SEGUIMIENTO Y EVALUACIÓN'!O195,"00,00%")&amp;" / "&amp;TEXT(FORMULACIÓN!P195,"00,00%"),IF('SEGUIMIENTO Y EVALUACIÓN'!O195=0,0,TEXT('SEGUIMIENTO Y EVALUACIÓN'!O195,"##.###")&amp;" / "&amp;TEXT(FORMULACIÓN!P195,"##.###"))))</f>
        <v xml:space="preserve"> / </v>
      </c>
      <c r="AU195" s="57">
        <f ca="1">IFERROR(IF((P195/FORMULACIÓN!Q195)&lt;&gt;0,IF($H195=Lists!$S$6,COUNTIF('SEGUIMIENTO Y EVALUACIÓN'!K195:N195,"&lt;"&amp;FORMULACIÓN!Q195),'SEGUIMIENTO Y EVALUACIÓN'!P195)/IF($H195=Lists!$S$6,COUNTIF('SEGUIMIENTO Y EVALUACIÓN'!K195:N195,"&gt;"&amp;0),FORMULACIÓN!P195),0),0)</f>
        <v>0</v>
      </c>
      <c r="AV195" s="93" t="str">
        <f t="shared" ca="1" si="24"/>
        <v/>
      </c>
      <c r="AW195" s="93" cm="1">
        <f t="array" ref="AW195">IF(INDEX(AO195:AU195,1,$AV$3)&gt;1,IF($AU$2=1,1,INDEX(AO195:AU195,1,$AV$3)),INDEX(AO195:AU195,1,$AV$3))</f>
        <v>1</v>
      </c>
      <c r="AX195" s="3"/>
      <c r="AY195" s="119" t="str">
        <f>IFERROR(IF((W195/FORMULACIÓN!X195)&lt;&gt;0,W195/FORMULACIÓN!X195,0),"")</f>
        <v/>
      </c>
      <c r="AZ195" s="119" t="str">
        <f>IFERROR(IF((AA195/FORMULACIÓN!AB195)&lt;&gt;0,AA195/FORMULACIÓN!AB195,0),"")</f>
        <v/>
      </c>
      <c r="BA195" s="119" t="str">
        <f>IFERROR(IF((AE195/FORMULACIÓN!AF195)&lt;&gt;0,(AE195/FORMULACIÓN!AF195),0),"")</f>
        <v/>
      </c>
      <c r="BB195" s="119" t="str">
        <f>IFERROR(IF((AI195/FORMULACIÓN!AJ195)&lt;&gt;0,AI195/FORMULACIÓN!AJ195,0),"")</f>
        <v/>
      </c>
      <c r="BC195" s="120" t="str">
        <f>IF('SEGUIMIENTO Y EVALUACIÓN'!AI195=0,0,TEXT('SEGUIMIENTO Y EVALUACIÓN'!AI195,"$ ##.###")&amp;" / "&amp;TEXT(FORMULACIÓN!AK195,"$ ##.###"))</f>
        <v xml:space="preserve"> / </v>
      </c>
      <c r="BD195" s="57">
        <f>IFERROR(IF((AJ195/FORMULACIÓN!AK195)&lt;&gt;0,AJ195/FORMULACIÓN!AK195,0),0)</f>
        <v>0</v>
      </c>
      <c r="CL195" s="7"/>
    </row>
    <row r="196" spans="1:90" s="1" customFormat="1" ht="99.95" customHeight="1">
      <c r="A196" s="45" t="str">
        <f>IF(FORMULACIÓN!A196="","",FORMULACIÓN!A196)</f>
        <v/>
      </c>
      <c r="B196" s="45" t="str">
        <f>IF(FORMULACIÓN!B196="","",FORMULACIÓN!B196)</f>
        <v/>
      </c>
      <c r="C196" s="45" t="str">
        <f>IF(FORMULACIÓN!E196="","",FORMULACIÓN!E196)</f>
        <v/>
      </c>
      <c r="D196" s="45" t="str">
        <f>IF(FORMULACIÓN!F196="","",FORMULACIÓN!F196)</f>
        <v/>
      </c>
      <c r="E196" s="45" t="str">
        <f>IF(FORMULACIÓN!G196="","",FORMULACIÓN!G196)</f>
        <v/>
      </c>
      <c r="F196" s="45" t="str">
        <f>IF(FORMULACIÓN!H196="","",FORMULACIÓN!H196)</f>
        <v/>
      </c>
      <c r="G196" s="45" t="str">
        <f>IF(FORMULACIÓN!I196="","",FORMULACIÓN!I196)</f>
        <v/>
      </c>
      <c r="H196" s="45" t="str">
        <f>IF(FORMULACIÓN!J196="","",FORMULACIÓN!J196)</f>
        <v/>
      </c>
      <c r="I196" s="188" t="str">
        <f ca="1">IF($G196=Lists!$R$3,"PDI: "&amp;TEXT(FORMULACIÓN!Q196,"00,00%")&amp;CHAR(10)&amp;CHAR(10)&amp;"T1: "&amp;TEXT(FORMULACIÓN!L196,"00,00%")&amp;CHAR(10)&amp;"T2: "&amp;TEXT(FORMULACIÓN!M196,"00,00%")&amp;CHAR(10)&amp;"T3: "&amp;TEXT(FORMULACIÓN!N196,"00,00%")&amp;CHAR(10)&amp;"Tn: "&amp;TEXT(FORMULACIÓN!O196,"00,00%"),IF(FORMULACIÓN!Q196=0,0,"PDI: "&amp;TEXT(FORMULACIÓN!Q196,"##.###")&amp;CHAR(10)&amp;CHAR(10)&amp;"T1: "&amp;TEXT(FORMULACIÓN!L196,"##.###")&amp;CHAR(10)&amp;"T2: "&amp;TEXT(FORMULACIÓN!M196,"##.###")&amp;CHAR(10)&amp;"T3: "&amp;TEXT(FORMULACIÓN!N196,"##.###")&amp;CHAR(10)&amp;"Tn: "&amp;TEXT(FORMULACIÓN!O196,"##.###")))</f>
        <v xml:space="preserve">PDI: 
T1: 
T2: 
T3: 
Tn: </v>
      </c>
      <c r="J196" s="122" t="str">
        <f>IF(FORMULACIÓN!K196&lt;&gt;"",FORMULACIÓN!K196,"")</f>
        <v/>
      </c>
      <c r="K196" s="58"/>
      <c r="L196" s="58"/>
      <c r="M196" s="58"/>
      <c r="N196" s="58"/>
      <c r="O196" s="47" t="str">
        <f ca="1">IFERROR(IF($H196=Lists!$S$2,SUM('SEGUIMIENTO Y EVALUACIÓN'!J196:N196),IF('SEGUIMIENTO Y EVALUACIÓN'!$H196=Lists!$S$3,SUM('SEGUIMIENTO Y EVALUACIÓN'!K196:N196),IF('SEGUIMIENTO Y EVALUACIÓN'!$H196=Lists!$S$4,AVERAGE('SEGUIMIENTO Y EVALUACIÓN'!K196:N196),IF('SEGUIMIENTO Y EVALUACIÓN'!$H196=Lists!$S$5,OFFSET(J196,0,COUNTA(K196:N196)),IF($H196=Lists!$S$6,COUNTIF(K196:N196,"&lt;"&amp;FORMULACIÓN!Q196)/COUNT('SEGUIMIENTO Y EVALUACIÓN'!K196:N196),""))))),"")</f>
        <v/>
      </c>
      <c r="P196" s="51" t="str">
        <f ca="1">IF($G196=Lists!$R$3,TEXT('SEGUIMIENTO Y EVALUACIÓN'!O196,"00,00%"),IF('SEGUIMIENTO Y EVALUACIÓN'!O196=0,0,TEXT('SEGUIMIENTO Y EVALUACIÓN'!O196,"##.###")))</f>
        <v/>
      </c>
      <c r="Q196" s="209" t="str">
        <f>IF(FORMULACIÓN!R196&lt;&gt;"",FORMULACIÓN!R196,"")</f>
        <v/>
      </c>
      <c r="R196" s="209" t="str">
        <f>IF(FORMULACIÓN!S196&lt;&gt;"",FORMULACIÓN!S196,"")</f>
        <v/>
      </c>
      <c r="S196" s="209" t="str">
        <f>IF(FORMULACIÓN!T196&lt;&gt;"",FORMULACIÓN!T196,"")</f>
        <v/>
      </c>
      <c r="T196" s="42"/>
      <c r="U196" s="42"/>
      <c r="V196" s="42"/>
      <c r="W196" s="43" t="str">
        <f t="shared" si="18"/>
        <v/>
      </c>
      <c r="X196" s="42"/>
      <c r="Y196" s="42"/>
      <c r="Z196" s="42"/>
      <c r="AA196" s="43" t="str">
        <f t="shared" si="19"/>
        <v/>
      </c>
      <c r="AB196" s="42"/>
      <c r="AC196" s="42"/>
      <c r="AD196" s="42"/>
      <c r="AE196" s="43" t="str">
        <f t="shared" si="20"/>
        <v/>
      </c>
      <c r="AF196" s="42"/>
      <c r="AG196" s="42"/>
      <c r="AH196" s="42"/>
      <c r="AI196" s="46" t="str">
        <f t="shared" si="21"/>
        <v/>
      </c>
      <c r="AJ196" s="46" t="str">
        <f>IF(SUM(AA196,AE196,W196,AI196)=0,"",SUM((AA196,AE196,W196,AI196)))</f>
        <v/>
      </c>
      <c r="AK196" s="2"/>
      <c r="AL196" s="1" t="str">
        <f t="shared" si="25"/>
        <v/>
      </c>
      <c r="AM196" s="56" t="str">
        <f t="shared" si="26"/>
        <v/>
      </c>
      <c r="AN196" s="112" t="str">
        <f ca="1">IF($G196=Lists!$R$3,"T1: "&amp;TEXT(FORMULACIÓN!L196,"00,00%")&amp;CHAR(10)&amp;"T2: "&amp;TEXT(FORMULACIÓN!M196,"00,00%")&amp;CHAR(10)&amp;"T3: "&amp;TEXT(FORMULACIÓN!N196,"00,00%")&amp;CHAR(10)&amp;"Tn: "&amp;TEXT(FORMULACIÓN!O196,"00,00%"),IF(FORMULACIÓN!Q196=0,0,"T1: "&amp;TEXT(FORMULACIÓN!L196,"##.###")&amp;CHAR(10)&amp;"T2: "&amp;TEXT(FORMULACIÓN!M196,"##.###")&amp;CHAR(10)&amp;"T3: "&amp;TEXT(FORMULACIÓN!N196,"##.###")&amp;CHAR(10)&amp;"Tn: "&amp;TEXT(FORMULACIÓN!O196,"##.###")))</f>
        <v xml:space="preserve">T1: 
T2: 
T3: 
Tn: </v>
      </c>
      <c r="AO196" s="117" t="str">
        <f>IFERROR(IF($H196=Lists!$S$6,IF(AND(FORMULACIÓN!L196&gt;K196,K196&gt;0),1,0),IF((K196/FORMULACIÓN!L196)&lt;&gt;0,K196/FORMULACIÓN!L196,0)),"")</f>
        <v/>
      </c>
      <c r="AP196" s="117" t="str">
        <f>IFERROR(IF($H196=Lists!$S$6,IF(AND(FORMULACIÓN!M196&gt;L196,L196&gt;0),1,0),IF((L196/FORMULACIÓN!M196)&lt;&gt;0,L196/FORMULACIÓN!M196,0)),"")</f>
        <v/>
      </c>
      <c r="AQ196" s="117" t="str">
        <f>IFERROR(IF($H196=Lists!$S$6,IF(AND(FORMULACIÓN!N196&gt;M196,M196&gt;0),1,0),IF((M196/FORMULACIÓN!N196)&lt;&gt;0,M196/FORMULACIÓN!N196,0)),"")</f>
        <v/>
      </c>
      <c r="AR196" s="117" t="str">
        <f>IFERROR(IF($H196=Lists!$S$6,IF(AND(FORMULACIÓN!O196&gt;N196,N196&gt;0),1,0),IF((N196/FORMULACIÓN!O196)&lt;&gt;0,N196/FORMULACIÓN!O196,0)),"")</f>
        <v/>
      </c>
      <c r="AS196" s="110"/>
      <c r="AT196" s="118" t="str">
        <f ca="1">IF($H196=Lists!$S$6,TEXT(COUNTIF('SEGUIMIENTO Y EVALUACIÓN'!K196:N196,"&lt;"&amp;FORMULACIÓN!Q196),"##.###")&amp;" / "&amp;TEXT(COUNTIF('SEGUIMIENTO Y EVALUACIÓN'!K196:N196,"&gt;"&amp;0),"##.###"),IF($G196=Lists!$R$3,TEXT('SEGUIMIENTO Y EVALUACIÓN'!O196,"00,00%")&amp;" / "&amp;TEXT(FORMULACIÓN!P196,"00,00%"),IF('SEGUIMIENTO Y EVALUACIÓN'!O196=0,0,TEXT('SEGUIMIENTO Y EVALUACIÓN'!O196,"##.###")&amp;" / "&amp;TEXT(FORMULACIÓN!P196,"##.###"))))</f>
        <v xml:space="preserve"> / </v>
      </c>
      <c r="AU196" s="57">
        <f ca="1">IFERROR(IF((P196/FORMULACIÓN!Q196)&lt;&gt;0,IF($H196=Lists!$S$6,COUNTIF('SEGUIMIENTO Y EVALUACIÓN'!K196:N196,"&lt;"&amp;FORMULACIÓN!Q196),'SEGUIMIENTO Y EVALUACIÓN'!P196)/IF($H196=Lists!$S$6,COUNTIF('SEGUIMIENTO Y EVALUACIÓN'!K196:N196,"&gt;"&amp;0),FORMULACIÓN!P196),0),0)</f>
        <v>0</v>
      </c>
      <c r="AV196" s="93" t="str">
        <f t="shared" ca="1" si="24"/>
        <v/>
      </c>
      <c r="AW196" s="93" cm="1">
        <f t="array" ref="AW196">IF(INDEX(AO196:AU196,1,$AV$3)&gt;1,IF($AU$2=1,1,INDEX(AO196:AU196,1,$AV$3)),INDEX(AO196:AU196,1,$AV$3))</f>
        <v>1</v>
      </c>
      <c r="AX196" s="3"/>
      <c r="AY196" s="119" t="str">
        <f>IFERROR(IF((W196/FORMULACIÓN!X196)&lt;&gt;0,W196/FORMULACIÓN!X196,0),"")</f>
        <v/>
      </c>
      <c r="AZ196" s="119" t="str">
        <f>IFERROR(IF((AA196/FORMULACIÓN!AB196)&lt;&gt;0,AA196/FORMULACIÓN!AB196,0),"")</f>
        <v/>
      </c>
      <c r="BA196" s="119" t="str">
        <f>IFERROR(IF((AE196/FORMULACIÓN!AF196)&lt;&gt;0,(AE196/FORMULACIÓN!AF196),0),"")</f>
        <v/>
      </c>
      <c r="BB196" s="119" t="str">
        <f>IFERROR(IF((AI196/FORMULACIÓN!AJ196)&lt;&gt;0,AI196/FORMULACIÓN!AJ196,0),"")</f>
        <v/>
      </c>
      <c r="BC196" s="120" t="str">
        <f>IF('SEGUIMIENTO Y EVALUACIÓN'!AI196=0,0,TEXT('SEGUIMIENTO Y EVALUACIÓN'!AI196,"$ ##.###")&amp;" / "&amp;TEXT(FORMULACIÓN!AK196,"$ ##.###"))</f>
        <v xml:space="preserve"> / </v>
      </c>
      <c r="BD196" s="57">
        <f>IFERROR(IF((AJ196/FORMULACIÓN!AK196)&lt;&gt;0,AJ196/FORMULACIÓN!AK196,0),0)</f>
        <v>0</v>
      </c>
      <c r="CL196" s="7"/>
    </row>
    <row r="197" spans="1:90" s="1" customFormat="1" ht="99.95" customHeight="1">
      <c r="A197" s="45" t="str">
        <f>IF(FORMULACIÓN!A197="","",FORMULACIÓN!A197)</f>
        <v/>
      </c>
      <c r="B197" s="45" t="str">
        <f>IF(FORMULACIÓN!B197="","",FORMULACIÓN!B197)</f>
        <v/>
      </c>
      <c r="C197" s="45" t="str">
        <f>IF(FORMULACIÓN!E197="","",FORMULACIÓN!E197)</f>
        <v/>
      </c>
      <c r="D197" s="45" t="str">
        <f>IF(FORMULACIÓN!F197="","",FORMULACIÓN!F197)</f>
        <v/>
      </c>
      <c r="E197" s="45" t="str">
        <f>IF(FORMULACIÓN!G197="","",FORMULACIÓN!G197)</f>
        <v/>
      </c>
      <c r="F197" s="45" t="str">
        <f>IF(FORMULACIÓN!H197="","",FORMULACIÓN!H197)</f>
        <v/>
      </c>
      <c r="G197" s="45" t="str">
        <f>IF(FORMULACIÓN!I197="","",FORMULACIÓN!I197)</f>
        <v/>
      </c>
      <c r="H197" s="45" t="str">
        <f>IF(FORMULACIÓN!J197="","",FORMULACIÓN!J197)</f>
        <v/>
      </c>
      <c r="I197" s="188" t="str">
        <f ca="1">IF($G197=Lists!$R$3,"PDI: "&amp;TEXT(FORMULACIÓN!Q197,"00,00%")&amp;CHAR(10)&amp;CHAR(10)&amp;"T1: "&amp;TEXT(FORMULACIÓN!L197,"00,00%")&amp;CHAR(10)&amp;"T2: "&amp;TEXT(FORMULACIÓN!M197,"00,00%")&amp;CHAR(10)&amp;"T3: "&amp;TEXT(FORMULACIÓN!N197,"00,00%")&amp;CHAR(10)&amp;"Tn: "&amp;TEXT(FORMULACIÓN!O197,"00,00%"),IF(FORMULACIÓN!Q197=0,0,"PDI: "&amp;TEXT(FORMULACIÓN!Q197,"##.###")&amp;CHAR(10)&amp;CHAR(10)&amp;"T1: "&amp;TEXT(FORMULACIÓN!L197,"##.###")&amp;CHAR(10)&amp;"T2: "&amp;TEXT(FORMULACIÓN!M197,"##.###")&amp;CHAR(10)&amp;"T3: "&amp;TEXT(FORMULACIÓN!N197,"##.###")&amp;CHAR(10)&amp;"Tn: "&amp;TEXT(FORMULACIÓN!O197,"##.###")))</f>
        <v xml:space="preserve">PDI: 
T1: 
T2: 
T3: 
Tn: </v>
      </c>
      <c r="J197" s="122" t="str">
        <f>IF(FORMULACIÓN!K197&lt;&gt;"",FORMULACIÓN!K197,"")</f>
        <v/>
      </c>
      <c r="K197" s="58"/>
      <c r="L197" s="58"/>
      <c r="M197" s="58"/>
      <c r="N197" s="58"/>
      <c r="O197" s="47" t="str">
        <f ca="1">IFERROR(IF($H197=Lists!$S$2,SUM('SEGUIMIENTO Y EVALUACIÓN'!J197:N197),IF('SEGUIMIENTO Y EVALUACIÓN'!$H197=Lists!$S$3,SUM('SEGUIMIENTO Y EVALUACIÓN'!K197:N197),IF('SEGUIMIENTO Y EVALUACIÓN'!$H197=Lists!$S$4,AVERAGE('SEGUIMIENTO Y EVALUACIÓN'!K197:N197),IF('SEGUIMIENTO Y EVALUACIÓN'!$H197=Lists!$S$5,OFFSET(J197,0,COUNTA(K197:N197)),IF($H197=Lists!$S$6,COUNTIF(K197:N197,"&lt;"&amp;FORMULACIÓN!Q197)/COUNT('SEGUIMIENTO Y EVALUACIÓN'!K197:N197),""))))),"")</f>
        <v/>
      </c>
      <c r="P197" s="51" t="str">
        <f ca="1">IF($G197=Lists!$R$3,TEXT('SEGUIMIENTO Y EVALUACIÓN'!O197,"00,00%"),IF('SEGUIMIENTO Y EVALUACIÓN'!O197=0,0,TEXT('SEGUIMIENTO Y EVALUACIÓN'!O197,"##.###")))</f>
        <v/>
      </c>
      <c r="Q197" s="209" t="str">
        <f>IF(FORMULACIÓN!R197&lt;&gt;"",FORMULACIÓN!R197,"")</f>
        <v/>
      </c>
      <c r="R197" s="209" t="str">
        <f>IF(FORMULACIÓN!S197&lt;&gt;"",FORMULACIÓN!S197,"")</f>
        <v/>
      </c>
      <c r="S197" s="209" t="str">
        <f>IF(FORMULACIÓN!T197&lt;&gt;"",FORMULACIÓN!T197,"")</f>
        <v/>
      </c>
      <c r="T197" s="42"/>
      <c r="U197" s="42"/>
      <c r="V197" s="42"/>
      <c r="W197" s="43" t="str">
        <f t="shared" si="18"/>
        <v/>
      </c>
      <c r="X197" s="42"/>
      <c r="Y197" s="42"/>
      <c r="Z197" s="42"/>
      <c r="AA197" s="43" t="str">
        <f t="shared" si="19"/>
        <v/>
      </c>
      <c r="AB197" s="42"/>
      <c r="AC197" s="42"/>
      <c r="AD197" s="42"/>
      <c r="AE197" s="43" t="str">
        <f t="shared" si="20"/>
        <v/>
      </c>
      <c r="AF197" s="42"/>
      <c r="AG197" s="42"/>
      <c r="AH197" s="42"/>
      <c r="AI197" s="46" t="str">
        <f t="shared" si="21"/>
        <v/>
      </c>
      <c r="AJ197" s="46" t="str">
        <f>IF(SUM(AA197,AE197,W197,AI197)=0,"",SUM((AA197,AE197,W197,AI197)))</f>
        <v/>
      </c>
      <c r="AK197" s="2"/>
      <c r="AL197" s="1" t="str">
        <f t="shared" si="25"/>
        <v/>
      </c>
      <c r="AM197" s="56" t="str">
        <f t="shared" si="26"/>
        <v/>
      </c>
      <c r="AN197" s="112" t="str">
        <f ca="1">IF($G197=Lists!$R$3,"T1: "&amp;TEXT(FORMULACIÓN!L197,"00,00%")&amp;CHAR(10)&amp;"T2: "&amp;TEXT(FORMULACIÓN!M197,"00,00%")&amp;CHAR(10)&amp;"T3: "&amp;TEXT(FORMULACIÓN!N197,"00,00%")&amp;CHAR(10)&amp;"Tn: "&amp;TEXT(FORMULACIÓN!O197,"00,00%"),IF(FORMULACIÓN!Q197=0,0,"T1: "&amp;TEXT(FORMULACIÓN!L197,"##.###")&amp;CHAR(10)&amp;"T2: "&amp;TEXT(FORMULACIÓN!M197,"##.###")&amp;CHAR(10)&amp;"T3: "&amp;TEXT(FORMULACIÓN!N197,"##.###")&amp;CHAR(10)&amp;"Tn: "&amp;TEXT(FORMULACIÓN!O197,"##.###")))</f>
        <v xml:space="preserve">T1: 
T2: 
T3: 
Tn: </v>
      </c>
      <c r="AO197" s="117" t="str">
        <f>IFERROR(IF($H197=Lists!$S$6,IF(AND(FORMULACIÓN!L197&gt;K197,K197&gt;0),1,0),IF((K197/FORMULACIÓN!L197)&lt;&gt;0,K197/FORMULACIÓN!L197,0)),"")</f>
        <v/>
      </c>
      <c r="AP197" s="117" t="str">
        <f>IFERROR(IF($H197=Lists!$S$6,IF(AND(FORMULACIÓN!M197&gt;L197,L197&gt;0),1,0),IF((L197/FORMULACIÓN!M197)&lt;&gt;0,L197/FORMULACIÓN!M197,0)),"")</f>
        <v/>
      </c>
      <c r="AQ197" s="117" t="str">
        <f>IFERROR(IF($H197=Lists!$S$6,IF(AND(FORMULACIÓN!N197&gt;M197,M197&gt;0),1,0),IF((M197/FORMULACIÓN!N197)&lt;&gt;0,M197/FORMULACIÓN!N197,0)),"")</f>
        <v/>
      </c>
      <c r="AR197" s="117" t="str">
        <f>IFERROR(IF($H197=Lists!$S$6,IF(AND(FORMULACIÓN!O197&gt;N197,N197&gt;0),1,0),IF((N197/FORMULACIÓN!O197)&lt;&gt;0,N197/FORMULACIÓN!O197,0)),"")</f>
        <v/>
      </c>
      <c r="AS197" s="110"/>
      <c r="AT197" s="118" t="str">
        <f ca="1">IF($H197=Lists!$S$6,TEXT(COUNTIF('SEGUIMIENTO Y EVALUACIÓN'!K197:N197,"&lt;"&amp;FORMULACIÓN!Q197),"##.###")&amp;" / "&amp;TEXT(COUNTIF('SEGUIMIENTO Y EVALUACIÓN'!K197:N197,"&gt;"&amp;0),"##.###"),IF($G197=Lists!$R$3,TEXT('SEGUIMIENTO Y EVALUACIÓN'!O197,"00,00%")&amp;" / "&amp;TEXT(FORMULACIÓN!P197,"00,00%"),IF('SEGUIMIENTO Y EVALUACIÓN'!O197=0,0,TEXT('SEGUIMIENTO Y EVALUACIÓN'!O197,"##.###")&amp;" / "&amp;TEXT(FORMULACIÓN!P197,"##.###"))))</f>
        <v xml:space="preserve"> / </v>
      </c>
      <c r="AU197" s="57">
        <f ca="1">IFERROR(IF((P197/FORMULACIÓN!Q197)&lt;&gt;0,IF($H197=Lists!$S$6,COUNTIF('SEGUIMIENTO Y EVALUACIÓN'!K197:N197,"&lt;"&amp;FORMULACIÓN!Q197),'SEGUIMIENTO Y EVALUACIÓN'!P197)/IF($H197=Lists!$S$6,COUNTIF('SEGUIMIENTO Y EVALUACIÓN'!K197:N197,"&gt;"&amp;0),FORMULACIÓN!P197),0),0)</f>
        <v>0</v>
      </c>
      <c r="AV197" s="93" t="str">
        <f t="shared" ca="1" si="24"/>
        <v/>
      </c>
      <c r="AW197" s="93" cm="1">
        <f t="array" ref="AW197">IF(INDEX(AO197:AU197,1,$AV$3)&gt;1,IF($AU$2=1,1,INDEX(AO197:AU197,1,$AV$3)),INDEX(AO197:AU197,1,$AV$3))</f>
        <v>1</v>
      </c>
      <c r="AX197" s="3"/>
      <c r="AY197" s="119" t="str">
        <f>IFERROR(IF((W197/FORMULACIÓN!X197)&lt;&gt;0,W197/FORMULACIÓN!X197,0),"")</f>
        <v/>
      </c>
      <c r="AZ197" s="119" t="str">
        <f>IFERROR(IF((AA197/FORMULACIÓN!AB197)&lt;&gt;0,AA197/FORMULACIÓN!AB197,0),"")</f>
        <v/>
      </c>
      <c r="BA197" s="119" t="str">
        <f>IFERROR(IF((AE197/FORMULACIÓN!AF197)&lt;&gt;0,(AE197/FORMULACIÓN!AF197),0),"")</f>
        <v/>
      </c>
      <c r="BB197" s="119" t="str">
        <f>IFERROR(IF((AI197/FORMULACIÓN!AJ197)&lt;&gt;0,AI197/FORMULACIÓN!AJ197,0),"")</f>
        <v/>
      </c>
      <c r="BC197" s="120" t="str">
        <f>IF('SEGUIMIENTO Y EVALUACIÓN'!AI197=0,0,TEXT('SEGUIMIENTO Y EVALUACIÓN'!AI197,"$ ##.###")&amp;" / "&amp;TEXT(FORMULACIÓN!AK197,"$ ##.###"))</f>
        <v xml:space="preserve"> / </v>
      </c>
      <c r="BD197" s="57">
        <f>IFERROR(IF((AJ197/FORMULACIÓN!AK197)&lt;&gt;0,AJ197/FORMULACIÓN!AK197,0),0)</f>
        <v>0</v>
      </c>
      <c r="CL197" s="7"/>
    </row>
    <row r="198" spans="1:90" s="1" customFormat="1" ht="99.95" customHeight="1">
      <c r="A198" s="45" t="str">
        <f>IF(FORMULACIÓN!A198="","",FORMULACIÓN!A198)</f>
        <v/>
      </c>
      <c r="B198" s="45" t="str">
        <f>IF(FORMULACIÓN!B198="","",FORMULACIÓN!B198)</f>
        <v/>
      </c>
      <c r="C198" s="45" t="str">
        <f>IF(FORMULACIÓN!E198="","",FORMULACIÓN!E198)</f>
        <v/>
      </c>
      <c r="D198" s="45" t="str">
        <f>IF(FORMULACIÓN!F198="","",FORMULACIÓN!F198)</f>
        <v/>
      </c>
      <c r="E198" s="45" t="str">
        <f>IF(FORMULACIÓN!G198="","",FORMULACIÓN!G198)</f>
        <v/>
      </c>
      <c r="F198" s="45" t="str">
        <f>IF(FORMULACIÓN!H198="","",FORMULACIÓN!H198)</f>
        <v/>
      </c>
      <c r="G198" s="45" t="str">
        <f>IF(FORMULACIÓN!I198="","",FORMULACIÓN!I198)</f>
        <v/>
      </c>
      <c r="H198" s="45" t="str">
        <f>IF(FORMULACIÓN!J198="","",FORMULACIÓN!J198)</f>
        <v/>
      </c>
      <c r="I198" s="188" t="str">
        <f ca="1">IF($G198=Lists!$R$3,"PDI: "&amp;TEXT(FORMULACIÓN!Q198,"00,00%")&amp;CHAR(10)&amp;CHAR(10)&amp;"T1: "&amp;TEXT(FORMULACIÓN!L198,"00,00%")&amp;CHAR(10)&amp;"T2: "&amp;TEXT(FORMULACIÓN!M198,"00,00%")&amp;CHAR(10)&amp;"T3: "&amp;TEXT(FORMULACIÓN!N198,"00,00%")&amp;CHAR(10)&amp;"Tn: "&amp;TEXT(FORMULACIÓN!O198,"00,00%"),IF(FORMULACIÓN!Q198=0,0,"PDI: "&amp;TEXT(FORMULACIÓN!Q198,"##.###")&amp;CHAR(10)&amp;CHAR(10)&amp;"T1: "&amp;TEXT(FORMULACIÓN!L198,"##.###")&amp;CHAR(10)&amp;"T2: "&amp;TEXT(FORMULACIÓN!M198,"##.###")&amp;CHAR(10)&amp;"T3: "&amp;TEXT(FORMULACIÓN!N198,"##.###")&amp;CHAR(10)&amp;"Tn: "&amp;TEXT(FORMULACIÓN!O198,"##.###")))</f>
        <v xml:space="preserve">PDI: 
T1: 
T2: 
T3: 
Tn: </v>
      </c>
      <c r="J198" s="122" t="str">
        <f>IF(FORMULACIÓN!K198&lt;&gt;"",FORMULACIÓN!K198,"")</f>
        <v/>
      </c>
      <c r="K198" s="58"/>
      <c r="L198" s="58"/>
      <c r="M198" s="58"/>
      <c r="N198" s="58"/>
      <c r="O198" s="47" t="str">
        <f ca="1">IFERROR(IF($H198=Lists!$S$2,SUM('SEGUIMIENTO Y EVALUACIÓN'!J198:N198),IF('SEGUIMIENTO Y EVALUACIÓN'!$H198=Lists!$S$3,SUM('SEGUIMIENTO Y EVALUACIÓN'!K198:N198),IF('SEGUIMIENTO Y EVALUACIÓN'!$H198=Lists!$S$4,AVERAGE('SEGUIMIENTO Y EVALUACIÓN'!K198:N198),IF('SEGUIMIENTO Y EVALUACIÓN'!$H198=Lists!$S$5,OFFSET(J198,0,COUNTA(K198:N198)),IF($H198=Lists!$S$6,COUNTIF(K198:N198,"&lt;"&amp;FORMULACIÓN!Q198)/COUNT('SEGUIMIENTO Y EVALUACIÓN'!K198:N198),""))))),"")</f>
        <v/>
      </c>
      <c r="P198" s="51" t="str">
        <f ca="1">IF($G198=Lists!$R$3,TEXT('SEGUIMIENTO Y EVALUACIÓN'!O198,"00,00%"),IF('SEGUIMIENTO Y EVALUACIÓN'!O198=0,0,TEXT('SEGUIMIENTO Y EVALUACIÓN'!O198,"##.###")))</f>
        <v/>
      </c>
      <c r="Q198" s="209" t="str">
        <f>IF(FORMULACIÓN!R198&lt;&gt;"",FORMULACIÓN!R198,"")</f>
        <v/>
      </c>
      <c r="R198" s="209" t="str">
        <f>IF(FORMULACIÓN!S198&lt;&gt;"",FORMULACIÓN!S198,"")</f>
        <v/>
      </c>
      <c r="S198" s="209" t="str">
        <f>IF(FORMULACIÓN!T198&lt;&gt;"",FORMULACIÓN!T198,"")</f>
        <v/>
      </c>
      <c r="T198" s="42"/>
      <c r="U198" s="42"/>
      <c r="V198" s="42"/>
      <c r="W198" s="43" t="str">
        <f t="shared" si="18"/>
        <v/>
      </c>
      <c r="X198" s="42"/>
      <c r="Y198" s="42"/>
      <c r="Z198" s="42"/>
      <c r="AA198" s="43" t="str">
        <f t="shared" si="19"/>
        <v/>
      </c>
      <c r="AB198" s="42"/>
      <c r="AC198" s="42"/>
      <c r="AD198" s="42"/>
      <c r="AE198" s="43" t="str">
        <f t="shared" si="20"/>
        <v/>
      </c>
      <c r="AF198" s="42"/>
      <c r="AG198" s="42"/>
      <c r="AH198" s="42"/>
      <c r="AI198" s="46" t="str">
        <f t="shared" si="21"/>
        <v/>
      </c>
      <c r="AJ198" s="46" t="str">
        <f>IF(SUM(AA198,AE198,W198,AI198)=0,"",SUM((AA198,AE198,W198,AI198)))</f>
        <v/>
      </c>
      <c r="AK198" s="2"/>
      <c r="AL198" s="1" t="str">
        <f t="shared" si="25"/>
        <v/>
      </c>
      <c r="AM198" s="56" t="str">
        <f t="shared" si="26"/>
        <v/>
      </c>
      <c r="AN198" s="112" t="str">
        <f ca="1">IF($G198=Lists!$R$3,"T1: "&amp;TEXT(FORMULACIÓN!L198,"00,00%")&amp;CHAR(10)&amp;"T2: "&amp;TEXT(FORMULACIÓN!M198,"00,00%")&amp;CHAR(10)&amp;"T3: "&amp;TEXT(FORMULACIÓN!N198,"00,00%")&amp;CHAR(10)&amp;"Tn: "&amp;TEXT(FORMULACIÓN!O198,"00,00%"),IF(FORMULACIÓN!Q198=0,0,"T1: "&amp;TEXT(FORMULACIÓN!L198,"##.###")&amp;CHAR(10)&amp;"T2: "&amp;TEXT(FORMULACIÓN!M198,"##.###")&amp;CHAR(10)&amp;"T3: "&amp;TEXT(FORMULACIÓN!N198,"##.###")&amp;CHAR(10)&amp;"Tn: "&amp;TEXT(FORMULACIÓN!O198,"##.###")))</f>
        <v xml:space="preserve">T1: 
T2: 
T3: 
Tn: </v>
      </c>
      <c r="AO198" s="117" t="str">
        <f>IFERROR(IF($H198=Lists!$S$6,IF(AND(FORMULACIÓN!L198&gt;K198,K198&gt;0),1,0),IF((K198/FORMULACIÓN!L198)&lt;&gt;0,K198/FORMULACIÓN!L198,0)),"")</f>
        <v/>
      </c>
      <c r="AP198" s="117" t="str">
        <f>IFERROR(IF($H198=Lists!$S$6,IF(AND(FORMULACIÓN!M198&gt;L198,L198&gt;0),1,0),IF((L198/FORMULACIÓN!M198)&lt;&gt;0,L198/FORMULACIÓN!M198,0)),"")</f>
        <v/>
      </c>
      <c r="AQ198" s="117" t="str">
        <f>IFERROR(IF($H198=Lists!$S$6,IF(AND(FORMULACIÓN!N198&gt;M198,M198&gt;0),1,0),IF((M198/FORMULACIÓN!N198)&lt;&gt;0,M198/FORMULACIÓN!N198,0)),"")</f>
        <v/>
      </c>
      <c r="AR198" s="117" t="str">
        <f>IFERROR(IF($H198=Lists!$S$6,IF(AND(FORMULACIÓN!O198&gt;N198,N198&gt;0),1,0),IF((N198/FORMULACIÓN!O198)&lt;&gt;0,N198/FORMULACIÓN!O198,0)),"")</f>
        <v/>
      </c>
      <c r="AS198" s="110"/>
      <c r="AT198" s="118" t="str">
        <f ca="1">IF($H198=Lists!$S$6,TEXT(COUNTIF('SEGUIMIENTO Y EVALUACIÓN'!K198:N198,"&lt;"&amp;FORMULACIÓN!Q198),"##.###")&amp;" / "&amp;TEXT(COUNTIF('SEGUIMIENTO Y EVALUACIÓN'!K198:N198,"&gt;"&amp;0),"##.###"),IF($G198=Lists!$R$3,TEXT('SEGUIMIENTO Y EVALUACIÓN'!O198,"00,00%")&amp;" / "&amp;TEXT(FORMULACIÓN!P198,"00,00%"),IF('SEGUIMIENTO Y EVALUACIÓN'!O198=0,0,TEXT('SEGUIMIENTO Y EVALUACIÓN'!O198,"##.###")&amp;" / "&amp;TEXT(FORMULACIÓN!P198,"##.###"))))</f>
        <v xml:space="preserve"> / </v>
      </c>
      <c r="AU198" s="57">
        <f ca="1">IFERROR(IF((P198/FORMULACIÓN!Q198)&lt;&gt;0,IF($H198=Lists!$S$6,COUNTIF('SEGUIMIENTO Y EVALUACIÓN'!K198:N198,"&lt;"&amp;FORMULACIÓN!Q198),'SEGUIMIENTO Y EVALUACIÓN'!P198)/IF($H198=Lists!$S$6,COUNTIF('SEGUIMIENTO Y EVALUACIÓN'!K198:N198,"&gt;"&amp;0),FORMULACIÓN!P198),0),0)</f>
        <v>0</v>
      </c>
      <c r="AV198" s="93" t="str">
        <f t="shared" ca="1" si="24"/>
        <v/>
      </c>
      <c r="AW198" s="93" cm="1">
        <f t="array" ref="AW198">IF(INDEX(AO198:AU198,1,$AV$3)&gt;1,IF($AU$2=1,1,INDEX(AO198:AU198,1,$AV$3)),INDEX(AO198:AU198,1,$AV$3))</f>
        <v>1</v>
      </c>
      <c r="AX198" s="3"/>
      <c r="AY198" s="119" t="str">
        <f>IFERROR(IF((W198/FORMULACIÓN!X198)&lt;&gt;0,W198/FORMULACIÓN!X198,0),"")</f>
        <v/>
      </c>
      <c r="AZ198" s="119" t="str">
        <f>IFERROR(IF((AA198/FORMULACIÓN!AB198)&lt;&gt;0,AA198/FORMULACIÓN!AB198,0),"")</f>
        <v/>
      </c>
      <c r="BA198" s="119" t="str">
        <f>IFERROR(IF((AE198/FORMULACIÓN!AF198)&lt;&gt;0,(AE198/FORMULACIÓN!AF198),0),"")</f>
        <v/>
      </c>
      <c r="BB198" s="119" t="str">
        <f>IFERROR(IF((AI198/FORMULACIÓN!AJ198)&lt;&gt;0,AI198/FORMULACIÓN!AJ198,0),"")</f>
        <v/>
      </c>
      <c r="BC198" s="120" t="str">
        <f>IF('SEGUIMIENTO Y EVALUACIÓN'!AI198=0,0,TEXT('SEGUIMIENTO Y EVALUACIÓN'!AI198,"$ ##.###")&amp;" / "&amp;TEXT(FORMULACIÓN!AK198,"$ ##.###"))</f>
        <v xml:space="preserve"> / </v>
      </c>
      <c r="BD198" s="57">
        <f>IFERROR(IF((AJ198/FORMULACIÓN!AK198)&lt;&gt;0,AJ198/FORMULACIÓN!AK198,0),0)</f>
        <v>0</v>
      </c>
      <c r="CL198" s="7"/>
    </row>
    <row r="199" spans="1:90" s="1" customFormat="1" ht="99.95" customHeight="1">
      <c r="A199" s="45" t="str">
        <f>IF(FORMULACIÓN!A199="","",FORMULACIÓN!A199)</f>
        <v/>
      </c>
      <c r="B199" s="45" t="str">
        <f>IF(FORMULACIÓN!B199="","",FORMULACIÓN!B199)</f>
        <v/>
      </c>
      <c r="C199" s="45" t="str">
        <f>IF(FORMULACIÓN!E199="","",FORMULACIÓN!E199)</f>
        <v/>
      </c>
      <c r="D199" s="45" t="str">
        <f>IF(FORMULACIÓN!F199="","",FORMULACIÓN!F199)</f>
        <v/>
      </c>
      <c r="E199" s="45" t="str">
        <f>IF(FORMULACIÓN!G199="","",FORMULACIÓN!G199)</f>
        <v/>
      </c>
      <c r="F199" s="45" t="str">
        <f>IF(FORMULACIÓN!H199="","",FORMULACIÓN!H199)</f>
        <v/>
      </c>
      <c r="G199" s="45" t="str">
        <f>IF(FORMULACIÓN!I199="","",FORMULACIÓN!I199)</f>
        <v/>
      </c>
      <c r="H199" s="45" t="str">
        <f>IF(FORMULACIÓN!J199="","",FORMULACIÓN!J199)</f>
        <v/>
      </c>
      <c r="I199" s="188" t="str">
        <f ca="1">IF($G199=Lists!$R$3,"PDI: "&amp;TEXT(FORMULACIÓN!Q199,"00,00%")&amp;CHAR(10)&amp;CHAR(10)&amp;"T1: "&amp;TEXT(FORMULACIÓN!L199,"00,00%")&amp;CHAR(10)&amp;"T2: "&amp;TEXT(FORMULACIÓN!M199,"00,00%")&amp;CHAR(10)&amp;"T3: "&amp;TEXT(FORMULACIÓN!N199,"00,00%")&amp;CHAR(10)&amp;"Tn: "&amp;TEXT(FORMULACIÓN!O199,"00,00%"),IF(FORMULACIÓN!Q199=0,0,"PDI: "&amp;TEXT(FORMULACIÓN!Q199,"##.###")&amp;CHAR(10)&amp;CHAR(10)&amp;"T1: "&amp;TEXT(FORMULACIÓN!L199,"##.###")&amp;CHAR(10)&amp;"T2: "&amp;TEXT(FORMULACIÓN!M199,"##.###")&amp;CHAR(10)&amp;"T3: "&amp;TEXT(FORMULACIÓN!N199,"##.###")&amp;CHAR(10)&amp;"Tn: "&amp;TEXT(FORMULACIÓN!O199,"##.###")))</f>
        <v xml:space="preserve">PDI: 
T1: 
T2: 
T3: 
Tn: </v>
      </c>
      <c r="J199" s="122" t="str">
        <f>IF(FORMULACIÓN!K199&lt;&gt;"",FORMULACIÓN!K199,"")</f>
        <v/>
      </c>
      <c r="K199" s="58"/>
      <c r="L199" s="58"/>
      <c r="M199" s="58"/>
      <c r="N199" s="58"/>
      <c r="O199" s="47" t="str">
        <f ca="1">IFERROR(IF($H199=Lists!$S$2,SUM('SEGUIMIENTO Y EVALUACIÓN'!J199:N199),IF('SEGUIMIENTO Y EVALUACIÓN'!$H199=Lists!$S$3,SUM('SEGUIMIENTO Y EVALUACIÓN'!K199:N199),IF('SEGUIMIENTO Y EVALUACIÓN'!$H199=Lists!$S$4,AVERAGE('SEGUIMIENTO Y EVALUACIÓN'!K199:N199),IF('SEGUIMIENTO Y EVALUACIÓN'!$H199=Lists!$S$5,OFFSET(J199,0,COUNTA(K199:N199)),IF($H199=Lists!$S$6,COUNTIF(K199:N199,"&lt;"&amp;FORMULACIÓN!Q199)/COUNT('SEGUIMIENTO Y EVALUACIÓN'!K199:N199),""))))),"")</f>
        <v/>
      </c>
      <c r="P199" s="51" t="str">
        <f ca="1">IF($G199=Lists!$R$3,TEXT('SEGUIMIENTO Y EVALUACIÓN'!O199,"00,00%"),IF('SEGUIMIENTO Y EVALUACIÓN'!O199=0,0,TEXT('SEGUIMIENTO Y EVALUACIÓN'!O199,"##.###")))</f>
        <v/>
      </c>
      <c r="Q199" s="209" t="str">
        <f>IF(FORMULACIÓN!R199&lt;&gt;"",FORMULACIÓN!R199,"")</f>
        <v/>
      </c>
      <c r="R199" s="209" t="str">
        <f>IF(FORMULACIÓN!S199&lt;&gt;"",FORMULACIÓN!S199,"")</f>
        <v/>
      </c>
      <c r="S199" s="209" t="str">
        <f>IF(FORMULACIÓN!T199&lt;&gt;"",FORMULACIÓN!T199,"")</f>
        <v/>
      </c>
      <c r="T199" s="42"/>
      <c r="U199" s="42"/>
      <c r="V199" s="42"/>
      <c r="W199" s="43" t="str">
        <f t="shared" si="18"/>
        <v/>
      </c>
      <c r="X199" s="42"/>
      <c r="Y199" s="42"/>
      <c r="Z199" s="42"/>
      <c r="AA199" s="43" t="str">
        <f t="shared" si="19"/>
        <v/>
      </c>
      <c r="AB199" s="42"/>
      <c r="AC199" s="42"/>
      <c r="AD199" s="42"/>
      <c r="AE199" s="43" t="str">
        <f t="shared" si="20"/>
        <v/>
      </c>
      <c r="AF199" s="42"/>
      <c r="AG199" s="42"/>
      <c r="AH199" s="42"/>
      <c r="AI199" s="46" t="str">
        <f t="shared" si="21"/>
        <v/>
      </c>
      <c r="AJ199" s="46" t="str">
        <f>IF(SUM(AA199,AE199,W199,AI199)=0,"",SUM((AA199,AE199,W199,AI199)))</f>
        <v/>
      </c>
      <c r="AK199" s="2"/>
      <c r="AL199" s="1" t="str">
        <f t="shared" si="25"/>
        <v/>
      </c>
      <c r="AM199" s="56" t="str">
        <f t="shared" si="26"/>
        <v/>
      </c>
      <c r="AN199" s="112" t="str">
        <f ca="1">IF($G199=Lists!$R$3,"T1: "&amp;TEXT(FORMULACIÓN!L199,"00,00%")&amp;CHAR(10)&amp;"T2: "&amp;TEXT(FORMULACIÓN!M199,"00,00%")&amp;CHAR(10)&amp;"T3: "&amp;TEXT(FORMULACIÓN!N199,"00,00%")&amp;CHAR(10)&amp;"Tn: "&amp;TEXT(FORMULACIÓN!O199,"00,00%"),IF(FORMULACIÓN!Q199=0,0,"T1: "&amp;TEXT(FORMULACIÓN!L199,"##.###")&amp;CHAR(10)&amp;"T2: "&amp;TEXT(FORMULACIÓN!M199,"##.###")&amp;CHAR(10)&amp;"T3: "&amp;TEXT(FORMULACIÓN!N199,"##.###")&amp;CHAR(10)&amp;"Tn: "&amp;TEXT(FORMULACIÓN!O199,"##.###")))</f>
        <v xml:space="preserve">T1: 
T2: 
T3: 
Tn: </v>
      </c>
      <c r="AO199" s="117" t="str">
        <f>IFERROR(IF($H199=Lists!$S$6,IF(AND(FORMULACIÓN!L199&gt;K199,K199&gt;0),1,0),IF((K199/FORMULACIÓN!L199)&lt;&gt;0,K199/FORMULACIÓN!L199,0)),"")</f>
        <v/>
      </c>
      <c r="AP199" s="117" t="str">
        <f>IFERROR(IF($H199=Lists!$S$6,IF(AND(FORMULACIÓN!M199&gt;L199,L199&gt;0),1,0),IF((L199/FORMULACIÓN!M199)&lt;&gt;0,L199/FORMULACIÓN!M199,0)),"")</f>
        <v/>
      </c>
      <c r="AQ199" s="117" t="str">
        <f>IFERROR(IF($H199=Lists!$S$6,IF(AND(FORMULACIÓN!N199&gt;M199,M199&gt;0),1,0),IF((M199/FORMULACIÓN!N199)&lt;&gt;0,M199/FORMULACIÓN!N199,0)),"")</f>
        <v/>
      </c>
      <c r="AR199" s="117" t="str">
        <f>IFERROR(IF($H199=Lists!$S$6,IF(AND(FORMULACIÓN!O199&gt;N199,N199&gt;0),1,0),IF((N199/FORMULACIÓN!O199)&lt;&gt;0,N199/FORMULACIÓN!O199,0)),"")</f>
        <v/>
      </c>
      <c r="AS199" s="110"/>
      <c r="AT199" s="118" t="str">
        <f ca="1">IF($H199=Lists!$S$6,TEXT(COUNTIF('SEGUIMIENTO Y EVALUACIÓN'!K199:N199,"&lt;"&amp;FORMULACIÓN!Q199),"##.###")&amp;" / "&amp;TEXT(COUNTIF('SEGUIMIENTO Y EVALUACIÓN'!K199:N199,"&gt;"&amp;0),"##.###"),IF($G199=Lists!$R$3,TEXT('SEGUIMIENTO Y EVALUACIÓN'!O199,"00,00%")&amp;" / "&amp;TEXT(FORMULACIÓN!P199,"00,00%"),IF('SEGUIMIENTO Y EVALUACIÓN'!O199=0,0,TEXT('SEGUIMIENTO Y EVALUACIÓN'!O199,"##.###")&amp;" / "&amp;TEXT(FORMULACIÓN!P199,"##.###"))))</f>
        <v xml:space="preserve"> / </v>
      </c>
      <c r="AU199" s="57">
        <f ca="1">IFERROR(IF((P199/FORMULACIÓN!Q199)&lt;&gt;0,IF($H199=Lists!$S$6,COUNTIF('SEGUIMIENTO Y EVALUACIÓN'!K199:N199,"&lt;"&amp;FORMULACIÓN!Q199),'SEGUIMIENTO Y EVALUACIÓN'!P199)/IF($H199=Lists!$S$6,COUNTIF('SEGUIMIENTO Y EVALUACIÓN'!K199:N199,"&gt;"&amp;0),FORMULACIÓN!P199),0),0)</f>
        <v>0</v>
      </c>
      <c r="AV199" s="93" t="str">
        <f t="shared" ca="1" si="24"/>
        <v/>
      </c>
      <c r="AW199" s="93" cm="1">
        <f t="array" ref="AW199">IF(INDEX(AO199:AU199,1,$AV$3)&gt;1,IF($AU$2=1,1,INDEX(AO199:AU199,1,$AV$3)),INDEX(AO199:AU199,1,$AV$3))</f>
        <v>1</v>
      </c>
      <c r="AX199" s="3"/>
      <c r="AY199" s="119" t="str">
        <f>IFERROR(IF((W199/FORMULACIÓN!X199)&lt;&gt;0,W199/FORMULACIÓN!X199,0),"")</f>
        <v/>
      </c>
      <c r="AZ199" s="119" t="str">
        <f>IFERROR(IF((AA199/FORMULACIÓN!AB199)&lt;&gt;0,AA199/FORMULACIÓN!AB199,0),"")</f>
        <v/>
      </c>
      <c r="BA199" s="119" t="str">
        <f>IFERROR(IF((AE199/FORMULACIÓN!AF199)&lt;&gt;0,(AE199/FORMULACIÓN!AF199),0),"")</f>
        <v/>
      </c>
      <c r="BB199" s="119" t="str">
        <f>IFERROR(IF((AI199/FORMULACIÓN!AJ199)&lt;&gt;0,AI199/FORMULACIÓN!AJ199,0),"")</f>
        <v/>
      </c>
      <c r="BC199" s="120" t="str">
        <f>IF('SEGUIMIENTO Y EVALUACIÓN'!AI199=0,0,TEXT('SEGUIMIENTO Y EVALUACIÓN'!AI199,"$ ##.###")&amp;" / "&amp;TEXT(FORMULACIÓN!AK199,"$ ##.###"))</f>
        <v xml:space="preserve"> / </v>
      </c>
      <c r="BD199" s="57">
        <f>IFERROR(IF((AJ199/FORMULACIÓN!AK199)&lt;&gt;0,AJ199/FORMULACIÓN!AK199,0),0)</f>
        <v>0</v>
      </c>
      <c r="CL199" s="7"/>
    </row>
    <row r="200" spans="1:90" s="1" customFormat="1" ht="99.95" customHeight="1">
      <c r="A200" s="45" t="str">
        <f>IF(FORMULACIÓN!A200="","",FORMULACIÓN!A200)</f>
        <v/>
      </c>
      <c r="B200" s="45" t="str">
        <f>IF(FORMULACIÓN!B200="","",FORMULACIÓN!B200)</f>
        <v/>
      </c>
      <c r="C200" s="45" t="str">
        <f>IF(FORMULACIÓN!E200="","",FORMULACIÓN!E200)</f>
        <v/>
      </c>
      <c r="D200" s="45" t="str">
        <f>IF(FORMULACIÓN!F200="","",FORMULACIÓN!F200)</f>
        <v/>
      </c>
      <c r="E200" s="45" t="str">
        <f>IF(FORMULACIÓN!G200="","",FORMULACIÓN!G200)</f>
        <v/>
      </c>
      <c r="F200" s="45" t="str">
        <f>IF(FORMULACIÓN!H200="","",FORMULACIÓN!H200)</f>
        <v/>
      </c>
      <c r="G200" s="45" t="str">
        <f>IF(FORMULACIÓN!I200="","",FORMULACIÓN!I200)</f>
        <v/>
      </c>
      <c r="H200" s="45" t="str">
        <f>IF(FORMULACIÓN!J200="","",FORMULACIÓN!J200)</f>
        <v/>
      </c>
      <c r="I200" s="188" t="str">
        <f ca="1">IF($G200=Lists!$R$3,"PDI: "&amp;TEXT(FORMULACIÓN!Q200,"00,00%")&amp;CHAR(10)&amp;CHAR(10)&amp;"T1: "&amp;TEXT(FORMULACIÓN!L200,"00,00%")&amp;CHAR(10)&amp;"T2: "&amp;TEXT(FORMULACIÓN!M200,"00,00%")&amp;CHAR(10)&amp;"T3: "&amp;TEXT(FORMULACIÓN!N200,"00,00%")&amp;CHAR(10)&amp;"Tn: "&amp;TEXT(FORMULACIÓN!O200,"00,00%"),IF(FORMULACIÓN!Q200=0,0,"PDI: "&amp;TEXT(FORMULACIÓN!Q200,"##.###")&amp;CHAR(10)&amp;CHAR(10)&amp;"T1: "&amp;TEXT(FORMULACIÓN!L200,"##.###")&amp;CHAR(10)&amp;"T2: "&amp;TEXT(FORMULACIÓN!M200,"##.###")&amp;CHAR(10)&amp;"T3: "&amp;TEXT(FORMULACIÓN!N200,"##.###")&amp;CHAR(10)&amp;"Tn: "&amp;TEXT(FORMULACIÓN!O200,"##.###")))</f>
        <v xml:space="preserve">PDI: 
T1: 
T2: 
T3: 
Tn: </v>
      </c>
      <c r="J200" s="122" t="str">
        <f>IF(FORMULACIÓN!K200&lt;&gt;"",FORMULACIÓN!K200,"")</f>
        <v/>
      </c>
      <c r="K200" s="58"/>
      <c r="L200" s="58"/>
      <c r="M200" s="58"/>
      <c r="N200" s="58"/>
      <c r="O200" s="47" t="str">
        <f ca="1">IFERROR(IF($H200=Lists!$S$2,SUM('SEGUIMIENTO Y EVALUACIÓN'!J200:N200),IF('SEGUIMIENTO Y EVALUACIÓN'!$H200=Lists!$S$3,SUM('SEGUIMIENTO Y EVALUACIÓN'!K200:N200),IF('SEGUIMIENTO Y EVALUACIÓN'!$H200=Lists!$S$4,AVERAGE('SEGUIMIENTO Y EVALUACIÓN'!K200:N200),IF('SEGUIMIENTO Y EVALUACIÓN'!$H200=Lists!$S$5,OFFSET(J200,0,COUNTA(K200:N200)),IF($H200=Lists!$S$6,COUNTIF(K200:N200,"&lt;"&amp;FORMULACIÓN!Q200)/COUNT('SEGUIMIENTO Y EVALUACIÓN'!K200:N200),""))))),"")</f>
        <v/>
      </c>
      <c r="P200" s="51" t="str">
        <f ca="1">IF($G200=Lists!$R$3,TEXT('SEGUIMIENTO Y EVALUACIÓN'!O200,"00,00%"),IF('SEGUIMIENTO Y EVALUACIÓN'!O200=0,0,TEXT('SEGUIMIENTO Y EVALUACIÓN'!O200,"##.###")))</f>
        <v/>
      </c>
      <c r="Q200" s="209" t="str">
        <f>IF(FORMULACIÓN!R200&lt;&gt;"",FORMULACIÓN!R200,"")</f>
        <v/>
      </c>
      <c r="R200" s="209" t="str">
        <f>IF(FORMULACIÓN!S200&lt;&gt;"",FORMULACIÓN!S200,"")</f>
        <v/>
      </c>
      <c r="S200" s="209" t="str">
        <f>IF(FORMULACIÓN!T200&lt;&gt;"",FORMULACIÓN!T200,"")</f>
        <v/>
      </c>
      <c r="T200" s="42"/>
      <c r="U200" s="42"/>
      <c r="V200" s="42"/>
      <c r="W200" s="43" t="str">
        <f t="shared" si="18"/>
        <v/>
      </c>
      <c r="X200" s="42"/>
      <c r="Y200" s="42"/>
      <c r="Z200" s="42"/>
      <c r="AA200" s="43" t="str">
        <f t="shared" si="19"/>
        <v/>
      </c>
      <c r="AB200" s="42"/>
      <c r="AC200" s="42"/>
      <c r="AD200" s="42"/>
      <c r="AE200" s="43" t="str">
        <f t="shared" si="20"/>
        <v/>
      </c>
      <c r="AF200" s="42"/>
      <c r="AG200" s="42"/>
      <c r="AH200" s="42"/>
      <c r="AI200" s="46" t="str">
        <f t="shared" si="21"/>
        <v/>
      </c>
      <c r="AJ200" s="46" t="str">
        <f>IF(SUM(AA200,AE200,W200,AI200)=0,"",SUM((AA200,AE200,W200,AI200)))</f>
        <v/>
      </c>
      <c r="AK200" s="2"/>
      <c r="AL200" s="1" t="str">
        <f t="shared" si="25"/>
        <v/>
      </c>
      <c r="AM200" s="56" t="str">
        <f t="shared" si="26"/>
        <v/>
      </c>
      <c r="AN200" s="112" t="str">
        <f ca="1">IF($G200=Lists!$R$3,"T1: "&amp;TEXT(FORMULACIÓN!L200,"00,00%")&amp;CHAR(10)&amp;"T2: "&amp;TEXT(FORMULACIÓN!M200,"00,00%")&amp;CHAR(10)&amp;"T3: "&amp;TEXT(FORMULACIÓN!N200,"00,00%")&amp;CHAR(10)&amp;"Tn: "&amp;TEXT(FORMULACIÓN!O200,"00,00%"),IF(FORMULACIÓN!Q200=0,0,"T1: "&amp;TEXT(FORMULACIÓN!L200,"##.###")&amp;CHAR(10)&amp;"T2: "&amp;TEXT(FORMULACIÓN!M200,"##.###")&amp;CHAR(10)&amp;"T3: "&amp;TEXT(FORMULACIÓN!N200,"##.###")&amp;CHAR(10)&amp;"Tn: "&amp;TEXT(FORMULACIÓN!O200,"##.###")))</f>
        <v xml:space="preserve">T1: 
T2: 
T3: 
Tn: </v>
      </c>
      <c r="AO200" s="117" t="str">
        <f>IFERROR(IF($H200=Lists!$S$6,IF(AND(FORMULACIÓN!L200&gt;K200,K200&gt;0),1,0),IF((K200/FORMULACIÓN!L200)&lt;&gt;0,K200/FORMULACIÓN!L200,0)),"")</f>
        <v/>
      </c>
      <c r="AP200" s="117" t="str">
        <f>IFERROR(IF($H200=Lists!$S$6,IF(AND(FORMULACIÓN!M200&gt;L200,L200&gt;0),1,0),IF((L200/FORMULACIÓN!M200)&lt;&gt;0,L200/FORMULACIÓN!M200,0)),"")</f>
        <v/>
      </c>
      <c r="AQ200" s="117" t="str">
        <f>IFERROR(IF($H200=Lists!$S$6,IF(AND(FORMULACIÓN!N200&gt;M200,M200&gt;0),1,0),IF((M200/FORMULACIÓN!N200)&lt;&gt;0,M200/FORMULACIÓN!N200,0)),"")</f>
        <v/>
      </c>
      <c r="AR200" s="117" t="str">
        <f>IFERROR(IF($H200=Lists!$S$6,IF(AND(FORMULACIÓN!O200&gt;N200,N200&gt;0),1,0),IF((N200/FORMULACIÓN!O200)&lt;&gt;0,N200/FORMULACIÓN!O200,0)),"")</f>
        <v/>
      </c>
      <c r="AS200" s="110"/>
      <c r="AT200" s="118" t="str">
        <f ca="1">IF($H200=Lists!$S$6,TEXT(COUNTIF('SEGUIMIENTO Y EVALUACIÓN'!K200:N200,"&lt;"&amp;FORMULACIÓN!Q200),"##.###")&amp;" / "&amp;TEXT(COUNTIF('SEGUIMIENTO Y EVALUACIÓN'!K200:N200,"&gt;"&amp;0),"##.###"),IF($G200=Lists!$R$3,TEXT('SEGUIMIENTO Y EVALUACIÓN'!O200,"00,00%")&amp;" / "&amp;TEXT(FORMULACIÓN!P200,"00,00%"),IF('SEGUIMIENTO Y EVALUACIÓN'!O200=0,0,TEXT('SEGUIMIENTO Y EVALUACIÓN'!O200,"##.###")&amp;" / "&amp;TEXT(FORMULACIÓN!P200,"##.###"))))</f>
        <v xml:space="preserve"> / </v>
      </c>
      <c r="AU200" s="57">
        <f ca="1">IFERROR(IF((P200/FORMULACIÓN!Q200)&lt;&gt;0,IF($H200=Lists!$S$6,COUNTIF('SEGUIMIENTO Y EVALUACIÓN'!K200:N200,"&lt;"&amp;FORMULACIÓN!Q200),'SEGUIMIENTO Y EVALUACIÓN'!P200)/IF($H200=Lists!$S$6,COUNTIF('SEGUIMIENTO Y EVALUACIÓN'!K200:N200,"&gt;"&amp;0),FORMULACIÓN!P200),0),0)</f>
        <v>0</v>
      </c>
      <c r="AV200" s="93" t="str">
        <f t="shared" ca="1" si="24"/>
        <v/>
      </c>
      <c r="AW200" s="93" cm="1">
        <f t="array" ref="AW200">IF(INDEX(AO200:AU200,1,$AV$3)&gt;1,IF($AU$2=1,1,INDEX(AO200:AU200,1,$AV$3)),INDEX(AO200:AU200,1,$AV$3))</f>
        <v>1</v>
      </c>
      <c r="AX200" s="3"/>
      <c r="AY200" s="119" t="str">
        <f>IFERROR(IF((W200/FORMULACIÓN!X200)&lt;&gt;0,W200/FORMULACIÓN!X200,0),"")</f>
        <v/>
      </c>
      <c r="AZ200" s="119" t="str">
        <f>IFERROR(IF((AA200/FORMULACIÓN!AB200)&lt;&gt;0,AA200/FORMULACIÓN!AB200,0),"")</f>
        <v/>
      </c>
      <c r="BA200" s="119" t="str">
        <f>IFERROR(IF((AE200/FORMULACIÓN!AF200)&lt;&gt;0,(AE200/FORMULACIÓN!AF200),0),"")</f>
        <v/>
      </c>
      <c r="BB200" s="119" t="str">
        <f>IFERROR(IF((AI200/FORMULACIÓN!AJ200)&lt;&gt;0,AI200/FORMULACIÓN!AJ200,0),"")</f>
        <v/>
      </c>
      <c r="BC200" s="120" t="str">
        <f>IF('SEGUIMIENTO Y EVALUACIÓN'!AI200=0,0,TEXT('SEGUIMIENTO Y EVALUACIÓN'!AI200,"$ ##.###")&amp;" / "&amp;TEXT(FORMULACIÓN!AK200,"$ ##.###"))</f>
        <v xml:space="preserve"> / </v>
      </c>
      <c r="BD200" s="57">
        <f>IFERROR(IF((AJ200/FORMULACIÓN!AK200)&lt;&gt;0,AJ200/FORMULACIÓN!AK200,0),0)</f>
        <v>0</v>
      </c>
      <c r="CL200" s="7"/>
    </row>
    <row r="201" spans="1:90" s="1" customFormat="1" ht="99.95" customHeight="1">
      <c r="A201" s="45" t="str">
        <f>IF(FORMULACIÓN!A201="","",FORMULACIÓN!A201)</f>
        <v/>
      </c>
      <c r="B201" s="45" t="str">
        <f>IF(FORMULACIÓN!B201="","",FORMULACIÓN!B201)</f>
        <v/>
      </c>
      <c r="C201" s="45" t="str">
        <f>IF(FORMULACIÓN!E201="","",FORMULACIÓN!E201)</f>
        <v/>
      </c>
      <c r="D201" s="45" t="str">
        <f>IF(FORMULACIÓN!F201="","",FORMULACIÓN!F201)</f>
        <v/>
      </c>
      <c r="E201" s="45" t="str">
        <f>IF(FORMULACIÓN!G201="","",FORMULACIÓN!G201)</f>
        <v/>
      </c>
      <c r="F201" s="45" t="str">
        <f>IF(FORMULACIÓN!H201="","",FORMULACIÓN!H201)</f>
        <v/>
      </c>
      <c r="G201" s="45" t="str">
        <f>IF(FORMULACIÓN!I201="","",FORMULACIÓN!I201)</f>
        <v/>
      </c>
      <c r="H201" s="45" t="str">
        <f>IF(FORMULACIÓN!J201="","",FORMULACIÓN!J201)</f>
        <v/>
      </c>
      <c r="I201" s="188" t="str">
        <f ca="1">IF($G201=Lists!$R$3,"PDI: "&amp;TEXT(FORMULACIÓN!Q201,"00,00%")&amp;CHAR(10)&amp;CHAR(10)&amp;"T1: "&amp;TEXT(FORMULACIÓN!L201,"00,00%")&amp;CHAR(10)&amp;"T2: "&amp;TEXT(FORMULACIÓN!M201,"00,00%")&amp;CHAR(10)&amp;"T3: "&amp;TEXT(FORMULACIÓN!N201,"00,00%")&amp;CHAR(10)&amp;"Tn: "&amp;TEXT(FORMULACIÓN!O201,"00,00%"),IF(FORMULACIÓN!Q201=0,0,"PDI: "&amp;TEXT(FORMULACIÓN!Q201,"##.###")&amp;CHAR(10)&amp;CHAR(10)&amp;"T1: "&amp;TEXT(FORMULACIÓN!L201,"##.###")&amp;CHAR(10)&amp;"T2: "&amp;TEXT(FORMULACIÓN!M201,"##.###")&amp;CHAR(10)&amp;"T3: "&amp;TEXT(FORMULACIÓN!N201,"##.###")&amp;CHAR(10)&amp;"Tn: "&amp;TEXT(FORMULACIÓN!O201,"##.###")))</f>
        <v xml:space="preserve">PDI: 
T1: 
T2: 
T3: 
Tn: </v>
      </c>
      <c r="J201" s="122" t="str">
        <f>IF(FORMULACIÓN!K201&lt;&gt;"",FORMULACIÓN!K201,"")</f>
        <v/>
      </c>
      <c r="K201" s="58"/>
      <c r="L201" s="58"/>
      <c r="M201" s="58"/>
      <c r="N201" s="58"/>
      <c r="O201" s="47" t="str">
        <f ca="1">IFERROR(IF($H201=Lists!$S$2,SUM('SEGUIMIENTO Y EVALUACIÓN'!J201:N201),IF('SEGUIMIENTO Y EVALUACIÓN'!$H201=Lists!$S$3,SUM('SEGUIMIENTO Y EVALUACIÓN'!K201:N201),IF('SEGUIMIENTO Y EVALUACIÓN'!$H201=Lists!$S$4,AVERAGE('SEGUIMIENTO Y EVALUACIÓN'!K201:N201),IF('SEGUIMIENTO Y EVALUACIÓN'!$H201=Lists!$S$5,OFFSET(J201,0,COUNTA(K201:N201)),IF($H201=Lists!$S$6,COUNTIF(K201:N201,"&lt;"&amp;FORMULACIÓN!Q201)/COUNT('SEGUIMIENTO Y EVALUACIÓN'!K201:N201),""))))),"")</f>
        <v/>
      </c>
      <c r="P201" s="51" t="str">
        <f ca="1">IF($G201=Lists!$R$3,TEXT('SEGUIMIENTO Y EVALUACIÓN'!O201,"00,00%"),IF('SEGUIMIENTO Y EVALUACIÓN'!O201=0,0,TEXT('SEGUIMIENTO Y EVALUACIÓN'!O201,"##.###")))</f>
        <v/>
      </c>
      <c r="Q201" s="209" t="str">
        <f>IF(FORMULACIÓN!R201&lt;&gt;"",FORMULACIÓN!R201,"")</f>
        <v/>
      </c>
      <c r="R201" s="209" t="str">
        <f>IF(FORMULACIÓN!S201&lt;&gt;"",FORMULACIÓN!S201,"")</f>
        <v/>
      </c>
      <c r="S201" s="209" t="str">
        <f>IF(FORMULACIÓN!T201&lt;&gt;"",FORMULACIÓN!T201,"")</f>
        <v/>
      </c>
      <c r="T201" s="42"/>
      <c r="U201" s="42"/>
      <c r="V201" s="42"/>
      <c r="W201" s="43" t="str">
        <f t="shared" si="18"/>
        <v/>
      </c>
      <c r="X201" s="42"/>
      <c r="Y201" s="42"/>
      <c r="Z201" s="42"/>
      <c r="AA201" s="43" t="str">
        <f t="shared" si="19"/>
        <v/>
      </c>
      <c r="AB201" s="42"/>
      <c r="AC201" s="42"/>
      <c r="AD201" s="42"/>
      <c r="AE201" s="43" t="str">
        <f t="shared" si="20"/>
        <v/>
      </c>
      <c r="AF201" s="42"/>
      <c r="AG201" s="42"/>
      <c r="AH201" s="42"/>
      <c r="AI201" s="46" t="str">
        <f t="shared" si="21"/>
        <v/>
      </c>
      <c r="AJ201" s="46" t="str">
        <f>IF(SUM(AA201,AE201,W201,AI201)=0,"",SUM((AA201,AE201,W201,AI201)))</f>
        <v/>
      </c>
      <c r="AK201" s="2"/>
      <c r="AL201" s="1" t="str">
        <f t="shared" si="25"/>
        <v/>
      </c>
      <c r="AM201" s="56" t="str">
        <f t="shared" si="26"/>
        <v/>
      </c>
      <c r="AN201" s="112" t="str">
        <f ca="1">IF($G201=Lists!$R$3,"T1: "&amp;TEXT(FORMULACIÓN!L201,"00,00%")&amp;CHAR(10)&amp;"T2: "&amp;TEXT(FORMULACIÓN!M201,"00,00%")&amp;CHAR(10)&amp;"T3: "&amp;TEXT(FORMULACIÓN!N201,"00,00%")&amp;CHAR(10)&amp;"Tn: "&amp;TEXT(FORMULACIÓN!O201,"00,00%"),IF(FORMULACIÓN!Q201=0,0,"T1: "&amp;TEXT(FORMULACIÓN!L201,"##.###")&amp;CHAR(10)&amp;"T2: "&amp;TEXT(FORMULACIÓN!M201,"##.###")&amp;CHAR(10)&amp;"T3: "&amp;TEXT(FORMULACIÓN!N201,"##.###")&amp;CHAR(10)&amp;"Tn: "&amp;TEXT(FORMULACIÓN!O201,"##.###")))</f>
        <v xml:space="preserve">T1: 
T2: 
T3: 
Tn: </v>
      </c>
      <c r="AO201" s="117" t="str">
        <f>IFERROR(IF($H201=Lists!$S$6,IF(AND(FORMULACIÓN!L201&gt;K201,K201&gt;0),1,0),IF((K201/FORMULACIÓN!L201)&lt;&gt;0,K201/FORMULACIÓN!L201,0)),"")</f>
        <v/>
      </c>
      <c r="AP201" s="117" t="str">
        <f>IFERROR(IF($H201=Lists!$S$6,IF(AND(FORMULACIÓN!M201&gt;L201,L201&gt;0),1,0),IF((L201/FORMULACIÓN!M201)&lt;&gt;0,L201/FORMULACIÓN!M201,0)),"")</f>
        <v/>
      </c>
      <c r="AQ201" s="117" t="str">
        <f>IFERROR(IF($H201=Lists!$S$6,IF(AND(FORMULACIÓN!N201&gt;M201,M201&gt;0),1,0),IF((M201/FORMULACIÓN!N201)&lt;&gt;0,M201/FORMULACIÓN!N201,0)),"")</f>
        <v/>
      </c>
      <c r="AR201" s="117" t="str">
        <f>IFERROR(IF($H201=Lists!$S$6,IF(AND(FORMULACIÓN!O201&gt;N201,N201&gt;0),1,0),IF((N201/FORMULACIÓN!O201)&lt;&gt;0,N201/FORMULACIÓN!O201,0)),"")</f>
        <v/>
      </c>
      <c r="AS201" s="110"/>
      <c r="AT201" s="118" t="str">
        <f ca="1">IF($H201=Lists!$S$6,TEXT(COUNTIF('SEGUIMIENTO Y EVALUACIÓN'!K201:N201,"&lt;"&amp;FORMULACIÓN!Q201),"##.###")&amp;" / "&amp;TEXT(COUNTIF('SEGUIMIENTO Y EVALUACIÓN'!K201:N201,"&gt;"&amp;0),"##.###"),IF($G201=Lists!$R$3,TEXT('SEGUIMIENTO Y EVALUACIÓN'!O201,"00,00%")&amp;" / "&amp;TEXT(FORMULACIÓN!P201,"00,00%"),IF('SEGUIMIENTO Y EVALUACIÓN'!O201=0,0,TEXT('SEGUIMIENTO Y EVALUACIÓN'!O201,"##.###")&amp;" / "&amp;TEXT(FORMULACIÓN!P201,"##.###"))))</f>
        <v xml:space="preserve"> / </v>
      </c>
      <c r="AU201" s="57">
        <f ca="1">IFERROR(IF((P201/FORMULACIÓN!Q201)&lt;&gt;0,IF($H201=Lists!$S$6,COUNTIF('SEGUIMIENTO Y EVALUACIÓN'!K201:N201,"&lt;"&amp;FORMULACIÓN!Q201),'SEGUIMIENTO Y EVALUACIÓN'!P201)/IF($H201=Lists!$S$6,COUNTIF('SEGUIMIENTO Y EVALUACIÓN'!K201:N201,"&gt;"&amp;0),FORMULACIÓN!P201),0),0)</f>
        <v>0</v>
      </c>
      <c r="AV201" s="93" t="str">
        <f t="shared" ca="1" si="24"/>
        <v/>
      </c>
      <c r="AW201" s="93" cm="1">
        <f t="array" ref="AW201">IF(INDEX(AO201:AU201,1,$AV$3)&gt;1,IF($AU$2=1,1,INDEX(AO201:AU201,1,$AV$3)),INDEX(AO201:AU201,1,$AV$3))</f>
        <v>1</v>
      </c>
      <c r="AX201" s="3"/>
      <c r="AY201" s="119" t="str">
        <f>IFERROR(IF((W201/FORMULACIÓN!X201)&lt;&gt;0,W201/FORMULACIÓN!X201,0),"")</f>
        <v/>
      </c>
      <c r="AZ201" s="119" t="str">
        <f>IFERROR(IF((AA201/FORMULACIÓN!AB201)&lt;&gt;0,AA201/FORMULACIÓN!AB201,0),"")</f>
        <v/>
      </c>
      <c r="BA201" s="119" t="str">
        <f>IFERROR(IF((AE201/FORMULACIÓN!AF201)&lt;&gt;0,(AE201/FORMULACIÓN!AF201),0),"")</f>
        <v/>
      </c>
      <c r="BB201" s="119" t="str">
        <f>IFERROR(IF((AI201/FORMULACIÓN!AJ201)&lt;&gt;0,AI201/FORMULACIÓN!AJ201,0),"")</f>
        <v/>
      </c>
      <c r="BC201" s="120" t="str">
        <f>IF('SEGUIMIENTO Y EVALUACIÓN'!AI201=0,0,TEXT('SEGUIMIENTO Y EVALUACIÓN'!AI201,"$ ##.###")&amp;" / "&amp;TEXT(FORMULACIÓN!AK201,"$ ##.###"))</f>
        <v xml:space="preserve"> / </v>
      </c>
      <c r="BD201" s="57">
        <f>IFERROR(IF((AJ201/FORMULACIÓN!AK201)&lt;&gt;0,AJ201/FORMULACIÓN!AK201,0),0)</f>
        <v>0</v>
      </c>
      <c r="CL201" s="7"/>
    </row>
    <row r="202" spans="1:90" s="1" customFormat="1" ht="99.95" customHeight="1">
      <c r="A202" s="45" t="str">
        <f>IF(FORMULACIÓN!A202="","",FORMULACIÓN!A202)</f>
        <v/>
      </c>
      <c r="B202" s="45" t="str">
        <f>IF(FORMULACIÓN!B202="","",FORMULACIÓN!B202)</f>
        <v/>
      </c>
      <c r="C202" s="45" t="str">
        <f>IF(FORMULACIÓN!E202="","",FORMULACIÓN!E202)</f>
        <v/>
      </c>
      <c r="D202" s="45" t="str">
        <f>IF(FORMULACIÓN!F202="","",FORMULACIÓN!F202)</f>
        <v/>
      </c>
      <c r="E202" s="45" t="str">
        <f>IF(FORMULACIÓN!G202="","",FORMULACIÓN!G202)</f>
        <v/>
      </c>
      <c r="F202" s="45" t="str">
        <f>IF(FORMULACIÓN!H202="","",FORMULACIÓN!H202)</f>
        <v/>
      </c>
      <c r="G202" s="45" t="str">
        <f>IF(FORMULACIÓN!I202="","",FORMULACIÓN!I202)</f>
        <v/>
      </c>
      <c r="H202" s="45" t="str">
        <f>IF(FORMULACIÓN!J202="","",FORMULACIÓN!J202)</f>
        <v/>
      </c>
      <c r="I202" s="188" t="str">
        <f ca="1">IF($G202=Lists!$R$3,"PDI: "&amp;TEXT(FORMULACIÓN!Q202,"00,00%")&amp;CHAR(10)&amp;CHAR(10)&amp;"T1: "&amp;TEXT(FORMULACIÓN!L202,"00,00%")&amp;CHAR(10)&amp;"T2: "&amp;TEXT(FORMULACIÓN!M202,"00,00%")&amp;CHAR(10)&amp;"T3: "&amp;TEXT(FORMULACIÓN!N202,"00,00%")&amp;CHAR(10)&amp;"Tn: "&amp;TEXT(FORMULACIÓN!O202,"00,00%"),IF(FORMULACIÓN!Q202=0,0,"PDI: "&amp;TEXT(FORMULACIÓN!Q202,"##.###")&amp;CHAR(10)&amp;CHAR(10)&amp;"T1: "&amp;TEXT(FORMULACIÓN!L202,"##.###")&amp;CHAR(10)&amp;"T2: "&amp;TEXT(FORMULACIÓN!M202,"##.###")&amp;CHAR(10)&amp;"T3: "&amp;TEXT(FORMULACIÓN!N202,"##.###")&amp;CHAR(10)&amp;"Tn: "&amp;TEXT(FORMULACIÓN!O202,"##.###")))</f>
        <v xml:space="preserve">PDI: 
T1: 
T2: 
T3: 
Tn: </v>
      </c>
      <c r="J202" s="122" t="str">
        <f>IF(FORMULACIÓN!K202&lt;&gt;"",FORMULACIÓN!K202,"")</f>
        <v/>
      </c>
      <c r="K202" s="58"/>
      <c r="L202" s="58"/>
      <c r="M202" s="58"/>
      <c r="N202" s="58"/>
      <c r="O202" s="47" t="str">
        <f ca="1">IFERROR(IF($H202=Lists!$S$2,SUM('SEGUIMIENTO Y EVALUACIÓN'!J202:N202),IF('SEGUIMIENTO Y EVALUACIÓN'!$H202=Lists!$S$3,SUM('SEGUIMIENTO Y EVALUACIÓN'!K202:N202),IF('SEGUIMIENTO Y EVALUACIÓN'!$H202=Lists!$S$4,AVERAGE('SEGUIMIENTO Y EVALUACIÓN'!K202:N202),IF('SEGUIMIENTO Y EVALUACIÓN'!$H202=Lists!$S$5,OFFSET(J202,0,COUNTA(K202:N202)),IF($H202=Lists!$S$6,COUNTIF(K202:N202,"&lt;"&amp;FORMULACIÓN!Q202)/COUNT('SEGUIMIENTO Y EVALUACIÓN'!K202:N202),""))))),"")</f>
        <v/>
      </c>
      <c r="P202" s="51" t="str">
        <f ca="1">IF($G202=Lists!$R$3,TEXT('SEGUIMIENTO Y EVALUACIÓN'!O202,"00,00%"),IF('SEGUIMIENTO Y EVALUACIÓN'!O202=0,0,TEXT('SEGUIMIENTO Y EVALUACIÓN'!O202,"##.###")))</f>
        <v/>
      </c>
      <c r="Q202" s="209" t="str">
        <f>IF(FORMULACIÓN!R202&lt;&gt;"",FORMULACIÓN!R202,"")</f>
        <v/>
      </c>
      <c r="R202" s="209" t="str">
        <f>IF(FORMULACIÓN!S202&lt;&gt;"",FORMULACIÓN!S202,"")</f>
        <v/>
      </c>
      <c r="S202" s="209" t="str">
        <f>IF(FORMULACIÓN!T202&lt;&gt;"",FORMULACIÓN!T202,"")</f>
        <v/>
      </c>
      <c r="T202" s="42"/>
      <c r="U202" s="42"/>
      <c r="V202" s="42"/>
      <c r="W202" s="43" t="str">
        <f t="shared" si="18"/>
        <v/>
      </c>
      <c r="X202" s="42"/>
      <c r="Y202" s="42"/>
      <c r="Z202" s="42"/>
      <c r="AA202" s="43" t="str">
        <f t="shared" si="19"/>
        <v/>
      </c>
      <c r="AB202" s="42"/>
      <c r="AC202" s="42"/>
      <c r="AD202" s="42"/>
      <c r="AE202" s="43" t="str">
        <f t="shared" si="20"/>
        <v/>
      </c>
      <c r="AF202" s="42"/>
      <c r="AG202" s="42"/>
      <c r="AH202" s="42"/>
      <c r="AI202" s="46" t="str">
        <f t="shared" si="21"/>
        <v/>
      </c>
      <c r="AJ202" s="46" t="str">
        <f>IF(SUM(AA202,AE202,W202,AI202)=0,"",SUM((AA202,AE202,W202,AI202)))</f>
        <v/>
      </c>
      <c r="AK202" s="2"/>
      <c r="AL202" s="1" t="str">
        <f t="shared" si="25"/>
        <v/>
      </c>
      <c r="AM202" s="56" t="str">
        <f t="shared" si="26"/>
        <v/>
      </c>
      <c r="AN202" s="112" t="str">
        <f ca="1">IF($G202=Lists!$R$3,"T1: "&amp;TEXT(FORMULACIÓN!L202,"00,00%")&amp;CHAR(10)&amp;"T2: "&amp;TEXT(FORMULACIÓN!M202,"00,00%")&amp;CHAR(10)&amp;"T3: "&amp;TEXT(FORMULACIÓN!N202,"00,00%")&amp;CHAR(10)&amp;"Tn: "&amp;TEXT(FORMULACIÓN!O202,"00,00%"),IF(FORMULACIÓN!Q202=0,0,"T1: "&amp;TEXT(FORMULACIÓN!L202,"##.###")&amp;CHAR(10)&amp;"T2: "&amp;TEXT(FORMULACIÓN!M202,"##.###")&amp;CHAR(10)&amp;"T3: "&amp;TEXT(FORMULACIÓN!N202,"##.###")&amp;CHAR(10)&amp;"Tn: "&amp;TEXT(FORMULACIÓN!O202,"##.###")))</f>
        <v xml:space="preserve">T1: 
T2: 
T3: 
Tn: </v>
      </c>
      <c r="AO202" s="117" t="str">
        <f>IFERROR(IF($H202=Lists!$S$6,IF(AND(FORMULACIÓN!L202&gt;K202,K202&gt;0),1,0),IF((K202/FORMULACIÓN!L202)&lt;&gt;0,K202/FORMULACIÓN!L202,0)),"")</f>
        <v/>
      </c>
      <c r="AP202" s="117" t="str">
        <f>IFERROR(IF($H202=Lists!$S$6,IF(AND(FORMULACIÓN!M202&gt;L202,L202&gt;0),1,0),IF((L202/FORMULACIÓN!M202)&lt;&gt;0,L202/FORMULACIÓN!M202,0)),"")</f>
        <v/>
      </c>
      <c r="AQ202" s="117" t="str">
        <f>IFERROR(IF($H202=Lists!$S$6,IF(AND(FORMULACIÓN!N202&gt;M202,M202&gt;0),1,0),IF((M202/FORMULACIÓN!N202)&lt;&gt;0,M202/FORMULACIÓN!N202,0)),"")</f>
        <v/>
      </c>
      <c r="AR202" s="117" t="str">
        <f>IFERROR(IF($H202=Lists!$S$6,IF(AND(FORMULACIÓN!O202&gt;N202,N202&gt;0),1,0),IF((N202/FORMULACIÓN!O202)&lt;&gt;0,N202/FORMULACIÓN!O202,0)),"")</f>
        <v/>
      </c>
      <c r="AS202" s="110"/>
      <c r="AT202" s="118" t="str">
        <f ca="1">IF($H202=Lists!$S$6,TEXT(COUNTIF('SEGUIMIENTO Y EVALUACIÓN'!K202:N202,"&lt;"&amp;FORMULACIÓN!Q202),"##.###")&amp;" / "&amp;TEXT(COUNTIF('SEGUIMIENTO Y EVALUACIÓN'!K202:N202,"&gt;"&amp;0),"##.###"),IF($G202=Lists!$R$3,TEXT('SEGUIMIENTO Y EVALUACIÓN'!O202,"00,00%")&amp;" / "&amp;TEXT(FORMULACIÓN!P202,"00,00%"),IF('SEGUIMIENTO Y EVALUACIÓN'!O202=0,0,TEXT('SEGUIMIENTO Y EVALUACIÓN'!O202,"##.###")&amp;" / "&amp;TEXT(FORMULACIÓN!P202,"##.###"))))</f>
        <v xml:space="preserve"> / </v>
      </c>
      <c r="AU202" s="57">
        <f ca="1">IFERROR(IF((P202/FORMULACIÓN!Q202)&lt;&gt;0,IF($H202=Lists!$S$6,COUNTIF('SEGUIMIENTO Y EVALUACIÓN'!K202:N202,"&lt;"&amp;FORMULACIÓN!Q202),'SEGUIMIENTO Y EVALUACIÓN'!P202)/IF($H202=Lists!$S$6,COUNTIF('SEGUIMIENTO Y EVALUACIÓN'!K202:N202,"&gt;"&amp;0),FORMULACIÓN!P202),0),0)</f>
        <v>0</v>
      </c>
      <c r="AV202" s="93" t="str">
        <f t="shared" ca="1" si="24"/>
        <v/>
      </c>
      <c r="AW202" s="93" cm="1">
        <f t="array" ref="AW202">IF(INDEX(AO202:AU202,1,$AV$3)&gt;1,IF($AU$2=1,1,INDEX(AO202:AU202,1,$AV$3)),INDEX(AO202:AU202,1,$AV$3))</f>
        <v>1</v>
      </c>
      <c r="AX202" s="3"/>
      <c r="AY202" s="119" t="str">
        <f>IFERROR(IF((W202/FORMULACIÓN!X202)&lt;&gt;0,W202/FORMULACIÓN!X202,0),"")</f>
        <v/>
      </c>
      <c r="AZ202" s="119" t="str">
        <f>IFERROR(IF((AA202/FORMULACIÓN!AB202)&lt;&gt;0,AA202/FORMULACIÓN!AB202,0),"")</f>
        <v/>
      </c>
      <c r="BA202" s="119" t="str">
        <f>IFERROR(IF((AE202/FORMULACIÓN!AF202)&lt;&gt;0,(AE202/FORMULACIÓN!AF202),0),"")</f>
        <v/>
      </c>
      <c r="BB202" s="119" t="str">
        <f>IFERROR(IF((AI202/FORMULACIÓN!AJ202)&lt;&gt;0,AI202/FORMULACIÓN!AJ202,0),"")</f>
        <v/>
      </c>
      <c r="BC202" s="120" t="str">
        <f>IF('SEGUIMIENTO Y EVALUACIÓN'!AI202=0,0,TEXT('SEGUIMIENTO Y EVALUACIÓN'!AI202,"$ ##.###")&amp;" / "&amp;TEXT(FORMULACIÓN!AK202,"$ ##.###"))</f>
        <v xml:space="preserve"> / </v>
      </c>
      <c r="BD202" s="57">
        <f>IFERROR(IF((AJ202/FORMULACIÓN!AK202)&lt;&gt;0,AJ202/FORMULACIÓN!AK202,0),0)</f>
        <v>0</v>
      </c>
      <c r="CL202" s="7"/>
    </row>
    <row r="203" spans="1:90" s="1" customFormat="1" ht="99.95" customHeight="1">
      <c r="A203" s="45" t="str">
        <f>IF(FORMULACIÓN!A203="","",FORMULACIÓN!A203)</f>
        <v/>
      </c>
      <c r="B203" s="45" t="str">
        <f>IF(FORMULACIÓN!B203="","",FORMULACIÓN!B203)</f>
        <v/>
      </c>
      <c r="C203" s="45" t="str">
        <f>IF(FORMULACIÓN!E203="","",FORMULACIÓN!E203)</f>
        <v/>
      </c>
      <c r="D203" s="45" t="str">
        <f>IF(FORMULACIÓN!F203="","",FORMULACIÓN!F203)</f>
        <v/>
      </c>
      <c r="E203" s="45" t="str">
        <f>IF(FORMULACIÓN!G203="","",FORMULACIÓN!G203)</f>
        <v/>
      </c>
      <c r="F203" s="45" t="str">
        <f>IF(FORMULACIÓN!H203="","",FORMULACIÓN!H203)</f>
        <v/>
      </c>
      <c r="G203" s="45" t="str">
        <f>IF(FORMULACIÓN!I203="","",FORMULACIÓN!I203)</f>
        <v/>
      </c>
      <c r="H203" s="45" t="str">
        <f>IF(FORMULACIÓN!J203="","",FORMULACIÓN!J203)</f>
        <v/>
      </c>
      <c r="I203" s="188" t="str">
        <f ca="1">IF($G203=Lists!$R$3,"PDI: "&amp;TEXT(FORMULACIÓN!Q203,"00,00%")&amp;CHAR(10)&amp;CHAR(10)&amp;"T1: "&amp;TEXT(FORMULACIÓN!L203,"00,00%")&amp;CHAR(10)&amp;"T2: "&amp;TEXT(FORMULACIÓN!M203,"00,00%")&amp;CHAR(10)&amp;"T3: "&amp;TEXT(FORMULACIÓN!N203,"00,00%")&amp;CHAR(10)&amp;"Tn: "&amp;TEXT(FORMULACIÓN!O203,"00,00%"),IF(FORMULACIÓN!Q203=0,0,"PDI: "&amp;TEXT(FORMULACIÓN!Q203,"##.###")&amp;CHAR(10)&amp;CHAR(10)&amp;"T1: "&amp;TEXT(FORMULACIÓN!L203,"##.###")&amp;CHAR(10)&amp;"T2: "&amp;TEXT(FORMULACIÓN!M203,"##.###")&amp;CHAR(10)&amp;"T3: "&amp;TEXT(FORMULACIÓN!N203,"##.###")&amp;CHAR(10)&amp;"Tn: "&amp;TEXT(FORMULACIÓN!O203,"##.###")))</f>
        <v xml:space="preserve">PDI: 
T1: 
T2: 
T3: 
Tn: </v>
      </c>
      <c r="J203" s="122" t="str">
        <f>IF(FORMULACIÓN!K203&lt;&gt;"",FORMULACIÓN!K203,"")</f>
        <v/>
      </c>
      <c r="K203" s="58"/>
      <c r="L203" s="58"/>
      <c r="M203" s="58"/>
      <c r="N203" s="58"/>
      <c r="O203" s="47" t="str">
        <f ca="1">IFERROR(IF($H203=Lists!$S$2,SUM('SEGUIMIENTO Y EVALUACIÓN'!J203:N203),IF('SEGUIMIENTO Y EVALUACIÓN'!$H203=Lists!$S$3,SUM('SEGUIMIENTO Y EVALUACIÓN'!K203:N203),IF('SEGUIMIENTO Y EVALUACIÓN'!$H203=Lists!$S$4,AVERAGE('SEGUIMIENTO Y EVALUACIÓN'!K203:N203),IF('SEGUIMIENTO Y EVALUACIÓN'!$H203=Lists!$S$5,OFFSET(J203,0,COUNTA(K203:N203)),IF($H203=Lists!$S$6,COUNTIF(K203:N203,"&lt;"&amp;FORMULACIÓN!Q203)/COUNT('SEGUIMIENTO Y EVALUACIÓN'!K203:N203),""))))),"")</f>
        <v/>
      </c>
      <c r="P203" s="51" t="str">
        <f ca="1">IF($G203=Lists!$R$3,TEXT('SEGUIMIENTO Y EVALUACIÓN'!O203,"00,00%"),IF('SEGUIMIENTO Y EVALUACIÓN'!O203=0,0,TEXT('SEGUIMIENTO Y EVALUACIÓN'!O203,"##.###")))</f>
        <v/>
      </c>
      <c r="Q203" s="209" t="str">
        <f>IF(FORMULACIÓN!R203&lt;&gt;"",FORMULACIÓN!R203,"")</f>
        <v/>
      </c>
      <c r="R203" s="209" t="str">
        <f>IF(FORMULACIÓN!S203&lt;&gt;"",FORMULACIÓN!S203,"")</f>
        <v/>
      </c>
      <c r="S203" s="209" t="str">
        <f>IF(FORMULACIÓN!T203&lt;&gt;"",FORMULACIÓN!T203,"")</f>
        <v/>
      </c>
      <c r="T203" s="42"/>
      <c r="U203" s="42"/>
      <c r="V203" s="42"/>
      <c r="W203" s="43" t="str">
        <f t="shared" si="18"/>
        <v/>
      </c>
      <c r="X203" s="42"/>
      <c r="Y203" s="42"/>
      <c r="Z203" s="42"/>
      <c r="AA203" s="43" t="str">
        <f t="shared" si="19"/>
        <v/>
      </c>
      <c r="AB203" s="42"/>
      <c r="AC203" s="42"/>
      <c r="AD203" s="42"/>
      <c r="AE203" s="43" t="str">
        <f t="shared" si="20"/>
        <v/>
      </c>
      <c r="AF203" s="42"/>
      <c r="AG203" s="42"/>
      <c r="AH203" s="42"/>
      <c r="AI203" s="46" t="str">
        <f t="shared" si="21"/>
        <v/>
      </c>
      <c r="AJ203" s="46" t="str">
        <f>IF(SUM(AA203,AE203,W203,AI203)=0,"",SUM((AA203,AE203,W203,AI203)))</f>
        <v/>
      </c>
      <c r="AK203" s="2"/>
      <c r="AL203" s="1" t="str">
        <f t="shared" si="25"/>
        <v/>
      </c>
      <c r="AM203" s="56" t="str">
        <f t="shared" si="26"/>
        <v/>
      </c>
      <c r="AN203" s="112" t="str">
        <f ca="1">IF($G203=Lists!$R$3,"T1: "&amp;TEXT(FORMULACIÓN!L203,"00,00%")&amp;CHAR(10)&amp;"T2: "&amp;TEXT(FORMULACIÓN!M203,"00,00%")&amp;CHAR(10)&amp;"T3: "&amp;TEXT(FORMULACIÓN!N203,"00,00%")&amp;CHAR(10)&amp;"Tn: "&amp;TEXT(FORMULACIÓN!O203,"00,00%"),IF(FORMULACIÓN!Q203=0,0,"T1: "&amp;TEXT(FORMULACIÓN!L203,"##.###")&amp;CHAR(10)&amp;"T2: "&amp;TEXT(FORMULACIÓN!M203,"##.###")&amp;CHAR(10)&amp;"T3: "&amp;TEXT(FORMULACIÓN!N203,"##.###")&amp;CHAR(10)&amp;"Tn: "&amp;TEXT(FORMULACIÓN!O203,"##.###")))</f>
        <v xml:space="preserve">T1: 
T2: 
T3: 
Tn: </v>
      </c>
      <c r="AO203" s="117" t="str">
        <f>IFERROR(IF($H203=Lists!$S$6,IF(AND(FORMULACIÓN!L203&gt;K203,K203&gt;0),1,0),IF((K203/FORMULACIÓN!L203)&lt;&gt;0,K203/FORMULACIÓN!L203,0)),"")</f>
        <v/>
      </c>
      <c r="AP203" s="117" t="str">
        <f>IFERROR(IF($H203=Lists!$S$6,IF(AND(FORMULACIÓN!M203&gt;L203,L203&gt;0),1,0),IF((L203/FORMULACIÓN!M203)&lt;&gt;0,L203/FORMULACIÓN!M203,0)),"")</f>
        <v/>
      </c>
      <c r="AQ203" s="117" t="str">
        <f>IFERROR(IF($H203=Lists!$S$6,IF(AND(FORMULACIÓN!N203&gt;M203,M203&gt;0),1,0),IF((M203/FORMULACIÓN!N203)&lt;&gt;0,M203/FORMULACIÓN!N203,0)),"")</f>
        <v/>
      </c>
      <c r="AR203" s="117" t="str">
        <f>IFERROR(IF($H203=Lists!$S$6,IF(AND(FORMULACIÓN!O203&gt;N203,N203&gt;0),1,0),IF((N203/FORMULACIÓN!O203)&lt;&gt;0,N203/FORMULACIÓN!O203,0)),"")</f>
        <v/>
      </c>
      <c r="AS203" s="110"/>
      <c r="AT203" s="118" t="str">
        <f ca="1">IF($H203=Lists!$S$6,TEXT(COUNTIF('SEGUIMIENTO Y EVALUACIÓN'!K203:N203,"&lt;"&amp;FORMULACIÓN!Q203),"##.###")&amp;" / "&amp;TEXT(COUNTIF('SEGUIMIENTO Y EVALUACIÓN'!K203:N203,"&gt;"&amp;0),"##.###"),IF($G203=Lists!$R$3,TEXT('SEGUIMIENTO Y EVALUACIÓN'!O203,"00,00%")&amp;" / "&amp;TEXT(FORMULACIÓN!P203,"00,00%"),IF('SEGUIMIENTO Y EVALUACIÓN'!O203=0,0,TEXT('SEGUIMIENTO Y EVALUACIÓN'!O203,"##.###")&amp;" / "&amp;TEXT(FORMULACIÓN!P203,"##.###"))))</f>
        <v xml:space="preserve"> / </v>
      </c>
      <c r="AU203" s="57">
        <f ca="1">IFERROR(IF((P203/FORMULACIÓN!Q203)&lt;&gt;0,IF($H203=Lists!$S$6,COUNTIF('SEGUIMIENTO Y EVALUACIÓN'!K203:N203,"&lt;"&amp;FORMULACIÓN!Q203),'SEGUIMIENTO Y EVALUACIÓN'!P203)/IF($H203=Lists!$S$6,COUNTIF('SEGUIMIENTO Y EVALUACIÓN'!K203:N203,"&gt;"&amp;0),FORMULACIÓN!P203),0),0)</f>
        <v>0</v>
      </c>
      <c r="AV203" s="93" t="str">
        <f t="shared" ca="1" si="24"/>
        <v/>
      </c>
      <c r="AW203" s="93" cm="1">
        <f t="array" ref="AW203">IF(INDEX(AO203:AU203,1,$AV$3)&gt;1,IF($AU$2=1,1,INDEX(AO203:AU203,1,$AV$3)),INDEX(AO203:AU203,1,$AV$3))</f>
        <v>1</v>
      </c>
      <c r="AX203" s="3"/>
      <c r="AY203" s="119" t="str">
        <f>IFERROR(IF((W203/FORMULACIÓN!X203)&lt;&gt;0,W203/FORMULACIÓN!X203,0),"")</f>
        <v/>
      </c>
      <c r="AZ203" s="119" t="str">
        <f>IFERROR(IF((AA203/FORMULACIÓN!AB203)&lt;&gt;0,AA203/FORMULACIÓN!AB203,0),"")</f>
        <v/>
      </c>
      <c r="BA203" s="119" t="str">
        <f>IFERROR(IF((AE203/FORMULACIÓN!AF203)&lt;&gt;0,(AE203/FORMULACIÓN!AF203),0),"")</f>
        <v/>
      </c>
      <c r="BB203" s="119" t="str">
        <f>IFERROR(IF((AI203/FORMULACIÓN!AJ203)&lt;&gt;0,AI203/FORMULACIÓN!AJ203,0),"")</f>
        <v/>
      </c>
      <c r="BC203" s="120" t="str">
        <f>IF('SEGUIMIENTO Y EVALUACIÓN'!AI203=0,0,TEXT('SEGUIMIENTO Y EVALUACIÓN'!AI203,"$ ##.###")&amp;" / "&amp;TEXT(FORMULACIÓN!AK203,"$ ##.###"))</f>
        <v xml:space="preserve"> / </v>
      </c>
      <c r="BD203" s="57">
        <f>IFERROR(IF((AJ203/FORMULACIÓN!AK203)&lt;&gt;0,AJ203/FORMULACIÓN!AK203,0),0)</f>
        <v>0</v>
      </c>
      <c r="CL203" s="7"/>
    </row>
    <row r="204" spans="1:90" s="1" customFormat="1" ht="99.95" customHeight="1">
      <c r="A204" s="45" t="str">
        <f>IF(FORMULACIÓN!A204="","",FORMULACIÓN!A204)</f>
        <v/>
      </c>
      <c r="B204" s="45" t="str">
        <f>IF(FORMULACIÓN!B204="","",FORMULACIÓN!B204)</f>
        <v/>
      </c>
      <c r="C204" s="45" t="str">
        <f>IF(FORMULACIÓN!E204="","",FORMULACIÓN!E204)</f>
        <v/>
      </c>
      <c r="D204" s="45" t="str">
        <f>IF(FORMULACIÓN!F204="","",FORMULACIÓN!F204)</f>
        <v/>
      </c>
      <c r="E204" s="45" t="str">
        <f>IF(FORMULACIÓN!G204="","",FORMULACIÓN!G204)</f>
        <v/>
      </c>
      <c r="F204" s="45" t="str">
        <f>IF(FORMULACIÓN!H204="","",FORMULACIÓN!H204)</f>
        <v/>
      </c>
      <c r="G204" s="45" t="str">
        <f>IF(FORMULACIÓN!I204="","",FORMULACIÓN!I204)</f>
        <v/>
      </c>
      <c r="H204" s="45" t="str">
        <f>IF(FORMULACIÓN!J204="","",FORMULACIÓN!J204)</f>
        <v/>
      </c>
      <c r="I204" s="188" t="str">
        <f ca="1">IF($G204=Lists!$R$3,"PDI: "&amp;TEXT(FORMULACIÓN!Q204,"00,00%")&amp;CHAR(10)&amp;CHAR(10)&amp;"T1: "&amp;TEXT(FORMULACIÓN!L204,"00,00%")&amp;CHAR(10)&amp;"T2: "&amp;TEXT(FORMULACIÓN!M204,"00,00%")&amp;CHAR(10)&amp;"T3: "&amp;TEXT(FORMULACIÓN!N204,"00,00%")&amp;CHAR(10)&amp;"Tn: "&amp;TEXT(FORMULACIÓN!O204,"00,00%"),IF(FORMULACIÓN!Q204=0,0,"PDI: "&amp;TEXT(FORMULACIÓN!Q204,"##.###")&amp;CHAR(10)&amp;CHAR(10)&amp;"T1: "&amp;TEXT(FORMULACIÓN!L204,"##.###")&amp;CHAR(10)&amp;"T2: "&amp;TEXT(FORMULACIÓN!M204,"##.###")&amp;CHAR(10)&amp;"T3: "&amp;TEXT(FORMULACIÓN!N204,"##.###")&amp;CHAR(10)&amp;"Tn: "&amp;TEXT(FORMULACIÓN!O204,"##.###")))</f>
        <v xml:space="preserve">PDI: 
T1: 
T2: 
T3: 
Tn: </v>
      </c>
      <c r="J204" s="122" t="str">
        <f>IF(FORMULACIÓN!K204&lt;&gt;"",FORMULACIÓN!K204,"")</f>
        <v/>
      </c>
      <c r="K204" s="58"/>
      <c r="L204" s="58"/>
      <c r="M204" s="58"/>
      <c r="N204" s="58"/>
      <c r="O204" s="47" t="str">
        <f ca="1">IFERROR(IF($H204=Lists!$S$2,SUM('SEGUIMIENTO Y EVALUACIÓN'!J204:N204),IF('SEGUIMIENTO Y EVALUACIÓN'!$H204=Lists!$S$3,SUM('SEGUIMIENTO Y EVALUACIÓN'!K204:N204),IF('SEGUIMIENTO Y EVALUACIÓN'!$H204=Lists!$S$4,AVERAGE('SEGUIMIENTO Y EVALUACIÓN'!K204:N204),IF('SEGUIMIENTO Y EVALUACIÓN'!$H204=Lists!$S$5,OFFSET(J204,0,COUNTA(K204:N204)),IF($H204=Lists!$S$6,COUNTIF(K204:N204,"&lt;"&amp;FORMULACIÓN!Q204)/COUNT('SEGUIMIENTO Y EVALUACIÓN'!K204:N204),""))))),"")</f>
        <v/>
      </c>
      <c r="P204" s="51" t="str">
        <f ca="1">IF($G204=Lists!$R$3,TEXT('SEGUIMIENTO Y EVALUACIÓN'!O204,"00,00%"),IF('SEGUIMIENTO Y EVALUACIÓN'!O204=0,0,TEXT('SEGUIMIENTO Y EVALUACIÓN'!O204,"##.###")))</f>
        <v/>
      </c>
      <c r="Q204" s="209" t="str">
        <f>IF(FORMULACIÓN!R204&lt;&gt;"",FORMULACIÓN!R204,"")</f>
        <v/>
      </c>
      <c r="R204" s="209" t="str">
        <f>IF(FORMULACIÓN!S204&lt;&gt;"",FORMULACIÓN!S204,"")</f>
        <v/>
      </c>
      <c r="S204" s="209" t="str">
        <f>IF(FORMULACIÓN!T204&lt;&gt;"",FORMULACIÓN!T204,"")</f>
        <v/>
      </c>
      <c r="T204" s="42"/>
      <c r="U204" s="42"/>
      <c r="V204" s="42"/>
      <c r="W204" s="43" t="str">
        <f t="shared" ref="W204:W261" si="27">IF(SUM(T204:V204)=0,"",SUM(T204:V204))</f>
        <v/>
      </c>
      <c r="X204" s="42"/>
      <c r="Y204" s="42"/>
      <c r="Z204" s="42"/>
      <c r="AA204" s="43" t="str">
        <f t="shared" ref="AA204:AA260" si="28">IF(SUM(X204:Z204)=0,"",SUM(X204:Z204))</f>
        <v/>
      </c>
      <c r="AB204" s="42"/>
      <c r="AC204" s="42"/>
      <c r="AD204" s="42"/>
      <c r="AE204" s="43" t="str">
        <f t="shared" ref="AE204:AE260" si="29">IF(SUM(AB204:AD204)=0,"",SUM(AB204:AD204))</f>
        <v/>
      </c>
      <c r="AF204" s="42"/>
      <c r="AG204" s="42"/>
      <c r="AH204" s="42"/>
      <c r="AI204" s="46" t="str">
        <f t="shared" ref="AI204:AI261" si="30">IF(SUM(AF204:AH204)=0,"",SUM(AF204:AH204))</f>
        <v/>
      </c>
      <c r="AJ204" s="46" t="str">
        <f>IF(SUM(AA204,AE204,W204,AI204)=0,"",SUM((AA204,AE204,W204,AI204)))</f>
        <v/>
      </c>
      <c r="AK204" s="2"/>
      <c r="AL204" s="1" t="str">
        <f t="shared" si="25"/>
        <v/>
      </c>
      <c r="AM204" s="56" t="str">
        <f t="shared" si="26"/>
        <v/>
      </c>
      <c r="AN204" s="112" t="str">
        <f ca="1">IF($G204=Lists!$R$3,"T1: "&amp;TEXT(FORMULACIÓN!L204,"00,00%")&amp;CHAR(10)&amp;"T2: "&amp;TEXT(FORMULACIÓN!M204,"00,00%")&amp;CHAR(10)&amp;"T3: "&amp;TEXT(FORMULACIÓN!N204,"00,00%")&amp;CHAR(10)&amp;"Tn: "&amp;TEXT(FORMULACIÓN!O204,"00,00%"),IF(FORMULACIÓN!Q204=0,0,"T1: "&amp;TEXT(FORMULACIÓN!L204,"##.###")&amp;CHAR(10)&amp;"T2: "&amp;TEXT(FORMULACIÓN!M204,"##.###")&amp;CHAR(10)&amp;"T3: "&amp;TEXT(FORMULACIÓN!N204,"##.###")&amp;CHAR(10)&amp;"Tn: "&amp;TEXT(FORMULACIÓN!O204,"##.###")))</f>
        <v xml:space="preserve">T1: 
T2: 
T3: 
Tn: </v>
      </c>
      <c r="AO204" s="117" t="str">
        <f>IFERROR(IF($H204=Lists!$S$6,IF(AND(FORMULACIÓN!L204&gt;K204,K204&gt;0),1,0),IF((K204/FORMULACIÓN!L204)&lt;&gt;0,K204/FORMULACIÓN!L204,0)),"")</f>
        <v/>
      </c>
      <c r="AP204" s="117" t="str">
        <f>IFERROR(IF($H204=Lists!$S$6,IF(AND(FORMULACIÓN!M204&gt;L204,L204&gt;0),1,0),IF((L204/FORMULACIÓN!M204)&lt;&gt;0,L204/FORMULACIÓN!M204,0)),"")</f>
        <v/>
      </c>
      <c r="AQ204" s="117" t="str">
        <f>IFERROR(IF($H204=Lists!$S$6,IF(AND(FORMULACIÓN!N204&gt;M204,M204&gt;0),1,0),IF((M204/FORMULACIÓN!N204)&lt;&gt;0,M204/FORMULACIÓN!N204,0)),"")</f>
        <v/>
      </c>
      <c r="AR204" s="117" t="str">
        <f>IFERROR(IF($H204=Lists!$S$6,IF(AND(FORMULACIÓN!O204&gt;N204,N204&gt;0),1,0),IF((N204/FORMULACIÓN!O204)&lt;&gt;0,N204/FORMULACIÓN!O204,0)),"")</f>
        <v/>
      </c>
      <c r="AS204" s="110"/>
      <c r="AT204" s="118" t="str">
        <f ca="1">IF($H204=Lists!$S$6,TEXT(COUNTIF('SEGUIMIENTO Y EVALUACIÓN'!K204:N204,"&lt;"&amp;FORMULACIÓN!Q204),"##.###")&amp;" / "&amp;TEXT(COUNTIF('SEGUIMIENTO Y EVALUACIÓN'!K204:N204,"&gt;"&amp;0),"##.###"),IF($G204=Lists!$R$3,TEXT('SEGUIMIENTO Y EVALUACIÓN'!O204,"00,00%")&amp;" / "&amp;TEXT(FORMULACIÓN!P204,"00,00%"),IF('SEGUIMIENTO Y EVALUACIÓN'!O204=0,0,TEXT('SEGUIMIENTO Y EVALUACIÓN'!O204,"##.###")&amp;" / "&amp;TEXT(FORMULACIÓN!P204,"##.###"))))</f>
        <v xml:space="preserve"> / </v>
      </c>
      <c r="AU204" s="57">
        <f ca="1">IFERROR(IF((P204/FORMULACIÓN!Q204)&lt;&gt;0,IF($H204=Lists!$S$6,COUNTIF('SEGUIMIENTO Y EVALUACIÓN'!K204:N204,"&lt;"&amp;FORMULACIÓN!Q204),'SEGUIMIENTO Y EVALUACIÓN'!P204)/IF($H204=Lists!$S$6,COUNTIF('SEGUIMIENTO Y EVALUACIÓN'!K204:N204,"&gt;"&amp;0),FORMULACIÓN!P204),0),0)</f>
        <v>0</v>
      </c>
      <c r="AV204" s="93" t="str">
        <f t="shared" ca="1" si="24"/>
        <v/>
      </c>
      <c r="AW204" s="93" cm="1">
        <f t="array" ref="AW204">IF(INDEX(AO204:AU204,1,$AV$3)&gt;1,IF($AU$2=1,1,INDEX(AO204:AU204,1,$AV$3)),INDEX(AO204:AU204,1,$AV$3))</f>
        <v>1</v>
      </c>
      <c r="AX204" s="3"/>
      <c r="AY204" s="119" t="str">
        <f>IFERROR(IF((W204/FORMULACIÓN!X204)&lt;&gt;0,W204/FORMULACIÓN!X204,0),"")</f>
        <v/>
      </c>
      <c r="AZ204" s="119" t="str">
        <f>IFERROR(IF((AA204/FORMULACIÓN!AB204)&lt;&gt;0,AA204/FORMULACIÓN!AB204,0),"")</f>
        <v/>
      </c>
      <c r="BA204" s="119" t="str">
        <f>IFERROR(IF((AE204/FORMULACIÓN!AF204)&lt;&gt;0,(AE204/FORMULACIÓN!AF204),0),"")</f>
        <v/>
      </c>
      <c r="BB204" s="119" t="str">
        <f>IFERROR(IF((AI204/FORMULACIÓN!AJ204)&lt;&gt;0,AI204/FORMULACIÓN!AJ204,0),"")</f>
        <v/>
      </c>
      <c r="BC204" s="120" t="str">
        <f>IF('SEGUIMIENTO Y EVALUACIÓN'!AI204=0,0,TEXT('SEGUIMIENTO Y EVALUACIÓN'!AI204,"$ ##.###")&amp;" / "&amp;TEXT(FORMULACIÓN!AK204,"$ ##.###"))</f>
        <v xml:space="preserve"> / </v>
      </c>
      <c r="BD204" s="57">
        <f>IFERROR(IF((AJ204/FORMULACIÓN!AK204)&lt;&gt;0,AJ204/FORMULACIÓN!AK204,0),0)</f>
        <v>0</v>
      </c>
      <c r="CL204" s="7"/>
    </row>
    <row r="205" spans="1:90" s="1" customFormat="1" ht="99.95" customHeight="1">
      <c r="A205" s="45" t="str">
        <f>IF(FORMULACIÓN!A205="","",FORMULACIÓN!A205)</f>
        <v/>
      </c>
      <c r="B205" s="45" t="str">
        <f>IF(FORMULACIÓN!B205="","",FORMULACIÓN!B205)</f>
        <v/>
      </c>
      <c r="C205" s="45" t="str">
        <f>IF(FORMULACIÓN!E205="","",FORMULACIÓN!E205)</f>
        <v/>
      </c>
      <c r="D205" s="45" t="str">
        <f>IF(FORMULACIÓN!F205="","",FORMULACIÓN!F205)</f>
        <v/>
      </c>
      <c r="E205" s="45" t="str">
        <f>IF(FORMULACIÓN!G205="","",FORMULACIÓN!G205)</f>
        <v/>
      </c>
      <c r="F205" s="45" t="str">
        <f>IF(FORMULACIÓN!H205="","",FORMULACIÓN!H205)</f>
        <v/>
      </c>
      <c r="G205" s="45" t="str">
        <f>IF(FORMULACIÓN!I205="","",FORMULACIÓN!I205)</f>
        <v/>
      </c>
      <c r="H205" s="45" t="str">
        <f>IF(FORMULACIÓN!J205="","",FORMULACIÓN!J205)</f>
        <v/>
      </c>
      <c r="I205" s="188" t="str">
        <f ca="1">IF($G205=Lists!$R$3,"PDI: "&amp;TEXT(FORMULACIÓN!Q205,"00,00%")&amp;CHAR(10)&amp;CHAR(10)&amp;"T1: "&amp;TEXT(FORMULACIÓN!L205,"00,00%")&amp;CHAR(10)&amp;"T2: "&amp;TEXT(FORMULACIÓN!M205,"00,00%")&amp;CHAR(10)&amp;"T3: "&amp;TEXT(FORMULACIÓN!N205,"00,00%")&amp;CHAR(10)&amp;"Tn: "&amp;TEXT(FORMULACIÓN!O205,"00,00%"),IF(FORMULACIÓN!Q205=0,0,"PDI: "&amp;TEXT(FORMULACIÓN!Q205,"##.###")&amp;CHAR(10)&amp;CHAR(10)&amp;"T1: "&amp;TEXT(FORMULACIÓN!L205,"##.###")&amp;CHAR(10)&amp;"T2: "&amp;TEXT(FORMULACIÓN!M205,"##.###")&amp;CHAR(10)&amp;"T3: "&amp;TEXT(FORMULACIÓN!N205,"##.###")&amp;CHAR(10)&amp;"Tn: "&amp;TEXT(FORMULACIÓN!O205,"##.###")))</f>
        <v xml:space="preserve">PDI: 
T1: 
T2: 
T3: 
Tn: </v>
      </c>
      <c r="J205" s="122" t="str">
        <f>IF(FORMULACIÓN!K205&lt;&gt;"",FORMULACIÓN!K205,"")</f>
        <v/>
      </c>
      <c r="K205" s="58"/>
      <c r="L205" s="58"/>
      <c r="M205" s="58"/>
      <c r="N205" s="58"/>
      <c r="O205" s="47" t="str">
        <f ca="1">IFERROR(IF($H205=Lists!$S$2,SUM('SEGUIMIENTO Y EVALUACIÓN'!J205:N205),IF('SEGUIMIENTO Y EVALUACIÓN'!$H205=Lists!$S$3,SUM('SEGUIMIENTO Y EVALUACIÓN'!K205:N205),IF('SEGUIMIENTO Y EVALUACIÓN'!$H205=Lists!$S$4,AVERAGE('SEGUIMIENTO Y EVALUACIÓN'!K205:N205),IF('SEGUIMIENTO Y EVALUACIÓN'!$H205=Lists!$S$5,OFFSET(J205,0,COUNTA(K205:N205)),IF($H205=Lists!$S$6,COUNTIF(K205:N205,"&lt;"&amp;FORMULACIÓN!Q205)/COUNT('SEGUIMIENTO Y EVALUACIÓN'!K205:N205),""))))),"")</f>
        <v/>
      </c>
      <c r="P205" s="51" t="str">
        <f ca="1">IF($G205=Lists!$R$3,TEXT('SEGUIMIENTO Y EVALUACIÓN'!O205,"00,00%"),IF('SEGUIMIENTO Y EVALUACIÓN'!O205=0,0,TEXT('SEGUIMIENTO Y EVALUACIÓN'!O205,"##.###")))</f>
        <v/>
      </c>
      <c r="Q205" s="209" t="str">
        <f>IF(FORMULACIÓN!R205&lt;&gt;"",FORMULACIÓN!R205,"")</f>
        <v/>
      </c>
      <c r="R205" s="209" t="str">
        <f>IF(FORMULACIÓN!S205&lt;&gt;"",FORMULACIÓN!S205,"")</f>
        <v/>
      </c>
      <c r="S205" s="209" t="str">
        <f>IF(FORMULACIÓN!T205&lt;&gt;"",FORMULACIÓN!T205,"")</f>
        <v/>
      </c>
      <c r="T205" s="42"/>
      <c r="U205" s="42"/>
      <c r="V205" s="42"/>
      <c r="W205" s="43" t="str">
        <f t="shared" si="27"/>
        <v/>
      </c>
      <c r="X205" s="42"/>
      <c r="Y205" s="42"/>
      <c r="Z205" s="42"/>
      <c r="AA205" s="43" t="str">
        <f t="shared" si="28"/>
        <v/>
      </c>
      <c r="AB205" s="42"/>
      <c r="AC205" s="42"/>
      <c r="AD205" s="42"/>
      <c r="AE205" s="43" t="str">
        <f t="shared" si="29"/>
        <v/>
      </c>
      <c r="AF205" s="42"/>
      <c r="AG205" s="42"/>
      <c r="AH205" s="42"/>
      <c r="AI205" s="46" t="str">
        <f t="shared" si="30"/>
        <v/>
      </c>
      <c r="AJ205" s="46" t="str">
        <f>IF(SUM(AA205,AE205,W205,AI205)=0,"",SUM((AA205,AE205,W205,AI205)))</f>
        <v/>
      </c>
      <c r="AK205" s="2"/>
      <c r="AL205" s="1" t="str">
        <f t="shared" ref="AL205:AL261" si="31">LEFT($B205,2)&amp;LEFT($C205,2)&amp;LEFT($Q205,2)</f>
        <v/>
      </c>
      <c r="AM205" s="56" t="str">
        <f t="shared" si="26"/>
        <v/>
      </c>
      <c r="AN205" s="112" t="str">
        <f ca="1">IF($G205=Lists!$R$3,"T1: "&amp;TEXT(FORMULACIÓN!L205,"00,00%")&amp;CHAR(10)&amp;"T2: "&amp;TEXT(FORMULACIÓN!M205,"00,00%")&amp;CHAR(10)&amp;"T3: "&amp;TEXT(FORMULACIÓN!N205,"00,00%")&amp;CHAR(10)&amp;"Tn: "&amp;TEXT(FORMULACIÓN!O205,"00,00%"),IF(FORMULACIÓN!Q205=0,0,"T1: "&amp;TEXT(FORMULACIÓN!L205,"##.###")&amp;CHAR(10)&amp;"T2: "&amp;TEXT(FORMULACIÓN!M205,"##.###")&amp;CHAR(10)&amp;"T3: "&amp;TEXT(FORMULACIÓN!N205,"##.###")&amp;CHAR(10)&amp;"Tn: "&amp;TEXT(FORMULACIÓN!O205,"##.###")))</f>
        <v xml:space="preserve">T1: 
T2: 
T3: 
Tn: </v>
      </c>
      <c r="AO205" s="117" t="str">
        <f>IFERROR(IF($H205=Lists!$S$6,IF(AND(FORMULACIÓN!L205&gt;K205,K205&gt;0),1,0),IF((K205/FORMULACIÓN!L205)&lt;&gt;0,K205/FORMULACIÓN!L205,0)),"")</f>
        <v/>
      </c>
      <c r="AP205" s="117" t="str">
        <f>IFERROR(IF($H205=Lists!$S$6,IF(AND(FORMULACIÓN!M205&gt;L205,L205&gt;0),1,0),IF((L205/FORMULACIÓN!M205)&lt;&gt;0,L205/FORMULACIÓN!M205,0)),"")</f>
        <v/>
      </c>
      <c r="AQ205" s="117" t="str">
        <f>IFERROR(IF($H205=Lists!$S$6,IF(AND(FORMULACIÓN!N205&gt;M205,M205&gt;0),1,0),IF((M205/FORMULACIÓN!N205)&lt;&gt;0,M205/FORMULACIÓN!N205,0)),"")</f>
        <v/>
      </c>
      <c r="AR205" s="117" t="str">
        <f>IFERROR(IF($H205=Lists!$S$6,IF(AND(FORMULACIÓN!O205&gt;N205,N205&gt;0),1,0),IF((N205/FORMULACIÓN!O205)&lt;&gt;0,N205/FORMULACIÓN!O205,0)),"")</f>
        <v/>
      </c>
      <c r="AS205" s="110"/>
      <c r="AT205" s="118" t="str">
        <f ca="1">IF($H205=Lists!$S$6,TEXT(COUNTIF('SEGUIMIENTO Y EVALUACIÓN'!K205:N205,"&lt;"&amp;FORMULACIÓN!Q205),"##.###")&amp;" / "&amp;TEXT(COUNTIF('SEGUIMIENTO Y EVALUACIÓN'!K205:N205,"&gt;"&amp;0),"##.###"),IF($G205=Lists!$R$3,TEXT('SEGUIMIENTO Y EVALUACIÓN'!O205,"00,00%")&amp;" / "&amp;TEXT(FORMULACIÓN!P205,"00,00%"),IF('SEGUIMIENTO Y EVALUACIÓN'!O205=0,0,TEXT('SEGUIMIENTO Y EVALUACIÓN'!O205,"##.###")&amp;" / "&amp;TEXT(FORMULACIÓN!P205,"##.###"))))</f>
        <v xml:space="preserve"> / </v>
      </c>
      <c r="AU205" s="57">
        <f ca="1">IFERROR(IF((P205/FORMULACIÓN!Q205)&lt;&gt;0,IF($H205=Lists!$S$6,COUNTIF('SEGUIMIENTO Y EVALUACIÓN'!K205:N205,"&lt;"&amp;FORMULACIÓN!Q205),'SEGUIMIENTO Y EVALUACIÓN'!P205)/IF($H205=Lists!$S$6,COUNTIF('SEGUIMIENTO Y EVALUACIÓN'!K205:N205,"&gt;"&amp;0),FORMULACIÓN!P205),0),0)</f>
        <v>0</v>
      </c>
      <c r="AV205" s="93" t="str">
        <f t="shared" ref="AV205:AV261" ca="1" si="32">IFERROR(IF(AU205&gt;1,IF($AU$2=1,1,AU205),AU205)*R205,"")</f>
        <v/>
      </c>
      <c r="AW205" s="93" cm="1">
        <f t="array" ref="AW205">IF(INDEX(AO205:AU205,1,$AV$3)&gt;1,1,INDEX(AO205:AU205,1,$AV$3))</f>
        <v>1</v>
      </c>
      <c r="AX205" s="3"/>
      <c r="AY205" s="119" t="str">
        <f>IFERROR(IF((W205/FORMULACIÓN!X205)&lt;&gt;0,W205/FORMULACIÓN!X205,0),"")</f>
        <v/>
      </c>
      <c r="AZ205" s="119" t="str">
        <f>IFERROR(IF((AA205/FORMULACIÓN!AB205)&lt;&gt;0,AA205/FORMULACIÓN!AB205,0),"")</f>
        <v/>
      </c>
      <c r="BA205" s="119" t="str">
        <f>IFERROR(IF((AE205/FORMULACIÓN!AF205)&lt;&gt;0,(AE205/FORMULACIÓN!AF205),0),"")</f>
        <v/>
      </c>
      <c r="BB205" s="119" t="str">
        <f>IFERROR(IF((AI205/FORMULACIÓN!AJ205)&lt;&gt;0,AI205/FORMULACIÓN!AJ205,0),"")</f>
        <v/>
      </c>
      <c r="BC205" s="120" t="str">
        <f>IF('SEGUIMIENTO Y EVALUACIÓN'!AI205=0,0,TEXT('SEGUIMIENTO Y EVALUACIÓN'!AI205,"$ ##.###")&amp;" / "&amp;TEXT(FORMULACIÓN!AK205,"$ ##.###"))</f>
        <v xml:space="preserve"> / </v>
      </c>
      <c r="BD205" s="57">
        <f>IFERROR(IF((AJ205/FORMULACIÓN!AK205)&lt;&gt;0,AJ205/FORMULACIÓN!AK205,0),0)</f>
        <v>0</v>
      </c>
      <c r="CL205" s="7"/>
    </row>
    <row r="206" spans="1:90" s="1" customFormat="1" ht="99.95" customHeight="1">
      <c r="A206" s="45" t="str">
        <f>IF(FORMULACIÓN!A206="","",FORMULACIÓN!A206)</f>
        <v/>
      </c>
      <c r="B206" s="45" t="str">
        <f>IF(FORMULACIÓN!B206="","",FORMULACIÓN!B206)</f>
        <v/>
      </c>
      <c r="C206" s="45" t="str">
        <f>IF(FORMULACIÓN!E206="","",FORMULACIÓN!E206)</f>
        <v/>
      </c>
      <c r="D206" s="45" t="str">
        <f>IF(FORMULACIÓN!F206="","",FORMULACIÓN!F206)</f>
        <v/>
      </c>
      <c r="E206" s="45" t="str">
        <f>IF(FORMULACIÓN!G206="","",FORMULACIÓN!G206)</f>
        <v/>
      </c>
      <c r="F206" s="45" t="str">
        <f>IF(FORMULACIÓN!H206="","",FORMULACIÓN!H206)</f>
        <v/>
      </c>
      <c r="G206" s="45" t="str">
        <f>IF(FORMULACIÓN!I206="","",FORMULACIÓN!I206)</f>
        <v/>
      </c>
      <c r="H206" s="45" t="str">
        <f>IF(FORMULACIÓN!J206="","",FORMULACIÓN!J206)</f>
        <v/>
      </c>
      <c r="I206" s="188" t="str">
        <f ca="1">IF($G206=Lists!$R$3,"PDI: "&amp;TEXT(FORMULACIÓN!Q206,"00,00%")&amp;CHAR(10)&amp;CHAR(10)&amp;"T1: "&amp;TEXT(FORMULACIÓN!L206,"00,00%")&amp;CHAR(10)&amp;"T2: "&amp;TEXT(FORMULACIÓN!M206,"00,00%")&amp;CHAR(10)&amp;"T3: "&amp;TEXT(FORMULACIÓN!N206,"00,00%")&amp;CHAR(10)&amp;"Tn: "&amp;TEXT(FORMULACIÓN!O206,"00,00%"),IF(FORMULACIÓN!Q206=0,0,"PDI: "&amp;TEXT(FORMULACIÓN!Q206,"##.###")&amp;CHAR(10)&amp;CHAR(10)&amp;"T1: "&amp;TEXT(FORMULACIÓN!L206,"##.###")&amp;CHAR(10)&amp;"T2: "&amp;TEXT(FORMULACIÓN!M206,"##.###")&amp;CHAR(10)&amp;"T3: "&amp;TEXT(FORMULACIÓN!N206,"##.###")&amp;CHAR(10)&amp;"Tn: "&amp;TEXT(FORMULACIÓN!O206,"##.###")))</f>
        <v xml:space="preserve">PDI: 
T1: 
T2: 
T3: 
Tn: </v>
      </c>
      <c r="J206" s="122" t="str">
        <f>IF(FORMULACIÓN!K206&lt;&gt;"",FORMULACIÓN!K206,"")</f>
        <v/>
      </c>
      <c r="K206" s="58"/>
      <c r="L206" s="58"/>
      <c r="M206" s="58"/>
      <c r="N206" s="58"/>
      <c r="O206" s="47" t="str">
        <f ca="1">IFERROR(IF($H206=Lists!$S$2,SUM('SEGUIMIENTO Y EVALUACIÓN'!J206:N206),IF('SEGUIMIENTO Y EVALUACIÓN'!$H206=Lists!$S$3,SUM('SEGUIMIENTO Y EVALUACIÓN'!K206:N206),IF('SEGUIMIENTO Y EVALUACIÓN'!$H206=Lists!$S$4,AVERAGE('SEGUIMIENTO Y EVALUACIÓN'!K206:N206),IF('SEGUIMIENTO Y EVALUACIÓN'!$H206=Lists!$S$5,OFFSET(J206,0,COUNTA(K206:N206)),IF($H206=Lists!$S$6,COUNTIF(K206:N206,"&lt;"&amp;FORMULACIÓN!Q206)/COUNT('SEGUIMIENTO Y EVALUACIÓN'!K206:N206),""))))),"")</f>
        <v/>
      </c>
      <c r="P206" s="51" t="str">
        <f ca="1">IF($G206=Lists!$R$3,TEXT('SEGUIMIENTO Y EVALUACIÓN'!O206,"00,00%"),IF('SEGUIMIENTO Y EVALUACIÓN'!O206=0,0,TEXT('SEGUIMIENTO Y EVALUACIÓN'!O206,"##.###")))</f>
        <v/>
      </c>
      <c r="Q206" s="209" t="str">
        <f>IF(FORMULACIÓN!R206&lt;&gt;"",FORMULACIÓN!R206,"")</f>
        <v/>
      </c>
      <c r="R206" s="209" t="str">
        <f>IF(FORMULACIÓN!S206&lt;&gt;"",FORMULACIÓN!S206,"")</f>
        <v/>
      </c>
      <c r="S206" s="209" t="str">
        <f>IF(FORMULACIÓN!T206&lt;&gt;"",FORMULACIÓN!T206,"")</f>
        <v/>
      </c>
      <c r="T206" s="42"/>
      <c r="U206" s="42"/>
      <c r="V206" s="42"/>
      <c r="W206" s="43" t="str">
        <f t="shared" si="27"/>
        <v/>
      </c>
      <c r="X206" s="42"/>
      <c r="Y206" s="42"/>
      <c r="Z206" s="42"/>
      <c r="AA206" s="43" t="str">
        <f t="shared" si="28"/>
        <v/>
      </c>
      <c r="AB206" s="42"/>
      <c r="AC206" s="42"/>
      <c r="AD206" s="42"/>
      <c r="AE206" s="43" t="str">
        <f t="shared" si="29"/>
        <v/>
      </c>
      <c r="AF206" s="42"/>
      <c r="AG206" s="42"/>
      <c r="AH206" s="42"/>
      <c r="AI206" s="46" t="str">
        <f t="shared" si="30"/>
        <v/>
      </c>
      <c r="AJ206" s="46" t="str">
        <f>IF(SUM(AA206,AE206,W206,AI206)=0,"",SUM((AA206,AE206,W206,AI206)))</f>
        <v/>
      </c>
      <c r="AK206" s="2"/>
      <c r="AL206" s="1" t="str">
        <f t="shared" si="31"/>
        <v/>
      </c>
      <c r="AM206" s="56" t="str">
        <f t="shared" ref="AM206:AM261" si="33">E206</f>
        <v/>
      </c>
      <c r="AN206" s="112" t="str">
        <f ca="1">IF($G206=Lists!$R$3,"T1: "&amp;TEXT(FORMULACIÓN!L206,"00,00%")&amp;CHAR(10)&amp;"T2: "&amp;TEXT(FORMULACIÓN!M206,"00,00%")&amp;CHAR(10)&amp;"T3: "&amp;TEXT(FORMULACIÓN!N206,"00,00%")&amp;CHAR(10)&amp;"Tn: "&amp;TEXT(FORMULACIÓN!O206,"00,00%"),IF(FORMULACIÓN!Q206=0,0,"T1: "&amp;TEXT(FORMULACIÓN!L206,"##.###")&amp;CHAR(10)&amp;"T2: "&amp;TEXT(FORMULACIÓN!M206,"##.###")&amp;CHAR(10)&amp;"T3: "&amp;TEXT(FORMULACIÓN!N206,"##.###")&amp;CHAR(10)&amp;"Tn: "&amp;TEXT(FORMULACIÓN!O206,"##.###")))</f>
        <v xml:space="preserve">T1: 
T2: 
T3: 
Tn: </v>
      </c>
      <c r="AO206" s="117" t="str">
        <f>IFERROR(IF($H206=Lists!$S$6,IF(AND(FORMULACIÓN!L206&gt;K206,K206&gt;0),1,0),IF((K206/FORMULACIÓN!L206)&lt;&gt;0,K206/FORMULACIÓN!L206,0)),"")</f>
        <v/>
      </c>
      <c r="AP206" s="117" t="str">
        <f>IFERROR(IF($H206=Lists!$S$6,IF(AND(FORMULACIÓN!M206&gt;L206,L206&gt;0),1,0),IF((L206/FORMULACIÓN!M206)&lt;&gt;0,L206/FORMULACIÓN!M206,0)),"")</f>
        <v/>
      </c>
      <c r="AQ206" s="117" t="str">
        <f>IFERROR(IF($H206=Lists!$S$6,IF(AND(FORMULACIÓN!N206&gt;M206,M206&gt;0),1,0),IF((M206/FORMULACIÓN!N206)&lt;&gt;0,M206/FORMULACIÓN!N206,0)),"")</f>
        <v/>
      </c>
      <c r="AR206" s="117" t="str">
        <f>IFERROR(IF($H206=Lists!$S$6,IF(AND(FORMULACIÓN!O206&gt;N206,N206&gt;0),1,0),IF((N206/FORMULACIÓN!O206)&lt;&gt;0,N206/FORMULACIÓN!O206,0)),"")</f>
        <v/>
      </c>
      <c r="AS206" s="110"/>
      <c r="AT206" s="118" t="str">
        <f ca="1">IF($H206=Lists!$S$6,TEXT(COUNTIF('SEGUIMIENTO Y EVALUACIÓN'!K206:N206,"&lt;"&amp;FORMULACIÓN!Q206),"##.###")&amp;" / "&amp;TEXT(COUNTIF('SEGUIMIENTO Y EVALUACIÓN'!K206:N206,"&gt;"&amp;0),"##.###"),IF($G206=Lists!$R$3,TEXT('SEGUIMIENTO Y EVALUACIÓN'!O206,"00,00%")&amp;" / "&amp;TEXT(FORMULACIÓN!P206,"00,00%"),IF('SEGUIMIENTO Y EVALUACIÓN'!O206=0,0,TEXT('SEGUIMIENTO Y EVALUACIÓN'!O206,"##.###")&amp;" / "&amp;TEXT(FORMULACIÓN!P206,"##.###"))))</f>
        <v xml:space="preserve"> / </v>
      </c>
      <c r="AU206" s="57">
        <f ca="1">IFERROR(IF((P206/FORMULACIÓN!Q206)&lt;&gt;0,IF($H206=Lists!$S$6,COUNTIF('SEGUIMIENTO Y EVALUACIÓN'!K206:N206,"&lt;"&amp;FORMULACIÓN!Q206),'SEGUIMIENTO Y EVALUACIÓN'!P206)/IF($H206=Lists!$S$6,COUNTIF('SEGUIMIENTO Y EVALUACIÓN'!K206:N206,"&gt;"&amp;0),FORMULACIÓN!P206),0),0)</f>
        <v>0</v>
      </c>
      <c r="AV206" s="93" t="str">
        <f t="shared" ca="1" si="32"/>
        <v/>
      </c>
      <c r="AW206" s="93" cm="1">
        <f t="array" ref="AW206">IF(INDEX(AO206:AU206,1,$AV$3)&gt;1,1,INDEX(AO206:AU206,1,$AV$3))</f>
        <v>1</v>
      </c>
      <c r="AX206" s="3"/>
      <c r="AY206" s="119" t="str">
        <f>IFERROR(IF((W206/FORMULACIÓN!X206)&lt;&gt;0,W206/FORMULACIÓN!X206,0),"")</f>
        <v/>
      </c>
      <c r="AZ206" s="119" t="str">
        <f>IFERROR(IF((AA206/FORMULACIÓN!AB206)&lt;&gt;0,AA206/FORMULACIÓN!AB206,0),"")</f>
        <v/>
      </c>
      <c r="BA206" s="119" t="str">
        <f>IFERROR(IF((AE206/FORMULACIÓN!AF206)&lt;&gt;0,(AE206/FORMULACIÓN!AF206),0),"")</f>
        <v/>
      </c>
      <c r="BB206" s="119" t="str">
        <f>IFERROR(IF((AI206/FORMULACIÓN!AJ206)&lt;&gt;0,AI206/FORMULACIÓN!AJ206,0),"")</f>
        <v/>
      </c>
      <c r="BC206" s="120" t="str">
        <f>IF('SEGUIMIENTO Y EVALUACIÓN'!AI206=0,0,TEXT('SEGUIMIENTO Y EVALUACIÓN'!AI206,"$ ##.###")&amp;" / "&amp;TEXT(FORMULACIÓN!AK206,"$ ##.###"))</f>
        <v xml:space="preserve"> / </v>
      </c>
      <c r="BD206" s="57">
        <f>IFERROR(IF((AJ206/FORMULACIÓN!AK206)&lt;&gt;0,AJ206/FORMULACIÓN!AK206,0),0)</f>
        <v>0</v>
      </c>
      <c r="CL206" s="7"/>
    </row>
    <row r="207" spans="1:90" s="1" customFormat="1" ht="99.95" customHeight="1">
      <c r="A207" s="45" t="str">
        <f>IF(FORMULACIÓN!A207="","",FORMULACIÓN!A207)</f>
        <v/>
      </c>
      <c r="B207" s="45" t="str">
        <f>IF(FORMULACIÓN!B207="","",FORMULACIÓN!B207)</f>
        <v/>
      </c>
      <c r="C207" s="45" t="str">
        <f>IF(FORMULACIÓN!E207="","",FORMULACIÓN!E207)</f>
        <v/>
      </c>
      <c r="D207" s="45" t="str">
        <f>IF(FORMULACIÓN!F207="","",FORMULACIÓN!F207)</f>
        <v/>
      </c>
      <c r="E207" s="45" t="str">
        <f>IF(FORMULACIÓN!G207="","",FORMULACIÓN!G207)</f>
        <v/>
      </c>
      <c r="F207" s="45" t="str">
        <f>IF(FORMULACIÓN!H207="","",FORMULACIÓN!H207)</f>
        <v/>
      </c>
      <c r="G207" s="45" t="str">
        <f>IF(FORMULACIÓN!I207="","",FORMULACIÓN!I207)</f>
        <v/>
      </c>
      <c r="H207" s="45" t="str">
        <f>IF(FORMULACIÓN!J207="","",FORMULACIÓN!J207)</f>
        <v/>
      </c>
      <c r="I207" s="188" t="str">
        <f ca="1">IF($G207=Lists!$R$3,"PDI: "&amp;TEXT(FORMULACIÓN!Q207,"00,00%")&amp;CHAR(10)&amp;CHAR(10)&amp;"T1: "&amp;TEXT(FORMULACIÓN!L207,"00,00%")&amp;CHAR(10)&amp;"T2: "&amp;TEXT(FORMULACIÓN!M207,"00,00%")&amp;CHAR(10)&amp;"T3: "&amp;TEXT(FORMULACIÓN!N207,"00,00%")&amp;CHAR(10)&amp;"Tn: "&amp;TEXT(FORMULACIÓN!O207,"00,00%"),IF(FORMULACIÓN!Q207=0,0,"PDI: "&amp;TEXT(FORMULACIÓN!Q207,"##.###")&amp;CHAR(10)&amp;CHAR(10)&amp;"T1: "&amp;TEXT(FORMULACIÓN!L207,"##.###")&amp;CHAR(10)&amp;"T2: "&amp;TEXT(FORMULACIÓN!M207,"##.###")&amp;CHAR(10)&amp;"T3: "&amp;TEXT(FORMULACIÓN!N207,"##.###")&amp;CHAR(10)&amp;"Tn: "&amp;TEXT(FORMULACIÓN!O207,"##.###")))</f>
        <v xml:space="preserve">PDI: 
T1: 
T2: 
T3: 
Tn: </v>
      </c>
      <c r="J207" s="122" t="str">
        <f>IF(FORMULACIÓN!K207&lt;&gt;"",FORMULACIÓN!K207,"")</f>
        <v/>
      </c>
      <c r="K207" s="58"/>
      <c r="L207" s="58"/>
      <c r="M207" s="58"/>
      <c r="N207" s="58"/>
      <c r="O207" s="47" t="str">
        <f ca="1">IFERROR(IF($H207=Lists!$S$2,SUM('SEGUIMIENTO Y EVALUACIÓN'!J207:N207),IF('SEGUIMIENTO Y EVALUACIÓN'!$H207=Lists!$S$3,SUM('SEGUIMIENTO Y EVALUACIÓN'!K207:N207),IF('SEGUIMIENTO Y EVALUACIÓN'!$H207=Lists!$S$4,AVERAGE('SEGUIMIENTO Y EVALUACIÓN'!K207:N207),IF('SEGUIMIENTO Y EVALUACIÓN'!$H207=Lists!$S$5,OFFSET(J207,0,COUNTA(K207:N207)),IF($H207=Lists!$S$6,COUNTIF(K207:N207,"&lt;"&amp;FORMULACIÓN!Q207)/COUNT('SEGUIMIENTO Y EVALUACIÓN'!K207:N207),""))))),"")</f>
        <v/>
      </c>
      <c r="P207" s="51" t="str">
        <f ca="1">IF($G207=Lists!$R$3,TEXT('SEGUIMIENTO Y EVALUACIÓN'!O207,"00,00%"),IF('SEGUIMIENTO Y EVALUACIÓN'!O207=0,0,TEXT('SEGUIMIENTO Y EVALUACIÓN'!O207,"##.###")))</f>
        <v/>
      </c>
      <c r="Q207" s="209" t="str">
        <f>IF(FORMULACIÓN!R207&lt;&gt;"",FORMULACIÓN!R207,"")</f>
        <v/>
      </c>
      <c r="R207" s="209" t="str">
        <f>IF(FORMULACIÓN!S207&lt;&gt;"",FORMULACIÓN!S207,"")</f>
        <v/>
      </c>
      <c r="S207" s="209" t="str">
        <f>IF(FORMULACIÓN!T207&lt;&gt;"",FORMULACIÓN!T207,"")</f>
        <v/>
      </c>
      <c r="T207" s="42"/>
      <c r="U207" s="42"/>
      <c r="V207" s="42"/>
      <c r="W207" s="43" t="str">
        <f t="shared" si="27"/>
        <v/>
      </c>
      <c r="X207" s="42"/>
      <c r="Y207" s="42"/>
      <c r="Z207" s="42"/>
      <c r="AA207" s="43" t="str">
        <f t="shared" si="28"/>
        <v/>
      </c>
      <c r="AB207" s="42"/>
      <c r="AC207" s="42"/>
      <c r="AD207" s="42"/>
      <c r="AE207" s="43" t="str">
        <f t="shared" si="29"/>
        <v/>
      </c>
      <c r="AF207" s="42"/>
      <c r="AG207" s="42"/>
      <c r="AH207" s="42"/>
      <c r="AI207" s="46" t="str">
        <f t="shared" si="30"/>
        <v/>
      </c>
      <c r="AJ207" s="46" t="str">
        <f>IF(SUM(AA207,AE207,W207,AI207)=0,"",SUM((AA207,AE207,W207,AI207)))</f>
        <v/>
      </c>
      <c r="AK207" s="2"/>
      <c r="AL207" s="1" t="str">
        <f t="shared" si="31"/>
        <v/>
      </c>
      <c r="AM207" s="56" t="str">
        <f t="shared" si="33"/>
        <v/>
      </c>
      <c r="AN207" s="112" t="str">
        <f ca="1">IF($G207=Lists!$R$3,"T1: "&amp;TEXT(FORMULACIÓN!L207,"00,00%")&amp;CHAR(10)&amp;"T2: "&amp;TEXT(FORMULACIÓN!M207,"00,00%")&amp;CHAR(10)&amp;"T3: "&amp;TEXT(FORMULACIÓN!N207,"00,00%")&amp;CHAR(10)&amp;"Tn: "&amp;TEXT(FORMULACIÓN!O207,"00,00%"),IF(FORMULACIÓN!Q207=0,0,"T1: "&amp;TEXT(FORMULACIÓN!L207,"##.###")&amp;CHAR(10)&amp;"T2: "&amp;TEXT(FORMULACIÓN!M207,"##.###")&amp;CHAR(10)&amp;"T3: "&amp;TEXT(FORMULACIÓN!N207,"##.###")&amp;CHAR(10)&amp;"Tn: "&amp;TEXT(FORMULACIÓN!O207,"##.###")))</f>
        <v xml:space="preserve">T1: 
T2: 
T3: 
Tn: </v>
      </c>
      <c r="AO207" s="117" t="str">
        <f>IFERROR(IF($H207=Lists!$S$6,IF(AND(FORMULACIÓN!L207&gt;K207,K207&gt;0),1,0),IF((K207/FORMULACIÓN!L207)&lt;&gt;0,K207/FORMULACIÓN!L207,0)),"")</f>
        <v/>
      </c>
      <c r="AP207" s="117" t="str">
        <f>IFERROR(IF($H207=Lists!$S$6,IF(AND(FORMULACIÓN!M207&gt;L207,L207&gt;0),1,0),IF((L207/FORMULACIÓN!M207)&lt;&gt;0,L207/FORMULACIÓN!M207,0)),"")</f>
        <v/>
      </c>
      <c r="AQ207" s="117" t="str">
        <f>IFERROR(IF($H207=Lists!$S$6,IF(AND(FORMULACIÓN!N207&gt;M207,M207&gt;0),1,0),IF((M207/FORMULACIÓN!N207)&lt;&gt;0,M207/FORMULACIÓN!N207,0)),"")</f>
        <v/>
      </c>
      <c r="AR207" s="117" t="str">
        <f>IFERROR(IF($H207=Lists!$S$6,IF(AND(FORMULACIÓN!O207&gt;N207,N207&gt;0),1,0),IF((N207/FORMULACIÓN!O207)&lt;&gt;0,N207/FORMULACIÓN!O207,0)),"")</f>
        <v/>
      </c>
      <c r="AS207" s="110"/>
      <c r="AT207" s="118" t="str">
        <f ca="1">IF($H207=Lists!$S$6,TEXT(COUNTIF('SEGUIMIENTO Y EVALUACIÓN'!K207:N207,"&lt;"&amp;FORMULACIÓN!Q207),"##.###")&amp;" / "&amp;TEXT(COUNTIF('SEGUIMIENTO Y EVALUACIÓN'!K207:N207,"&gt;"&amp;0),"##.###"),IF($G207=Lists!$R$3,TEXT('SEGUIMIENTO Y EVALUACIÓN'!O207,"00,00%")&amp;" / "&amp;TEXT(FORMULACIÓN!P207,"00,00%"),IF('SEGUIMIENTO Y EVALUACIÓN'!O207=0,0,TEXT('SEGUIMIENTO Y EVALUACIÓN'!O207,"##.###")&amp;" / "&amp;TEXT(FORMULACIÓN!P207,"##.###"))))</f>
        <v xml:space="preserve"> / </v>
      </c>
      <c r="AU207" s="57">
        <f ca="1">IFERROR(IF((P207/FORMULACIÓN!Q207)&lt;&gt;0,IF($H207=Lists!$S$6,COUNTIF('SEGUIMIENTO Y EVALUACIÓN'!K207:N207,"&lt;"&amp;FORMULACIÓN!Q207),'SEGUIMIENTO Y EVALUACIÓN'!P207)/IF($H207=Lists!$S$6,COUNTIF('SEGUIMIENTO Y EVALUACIÓN'!K207:N207,"&gt;"&amp;0),FORMULACIÓN!P207),0),0)</f>
        <v>0</v>
      </c>
      <c r="AV207" s="93" t="str">
        <f t="shared" ca="1" si="32"/>
        <v/>
      </c>
      <c r="AW207" s="93" cm="1">
        <f t="array" ref="AW207">IF(INDEX(AO207:AU207,1,$AV$3)&gt;1,1,INDEX(AO207:AU207,1,$AV$3))</f>
        <v>1</v>
      </c>
      <c r="AX207" s="3"/>
      <c r="AY207" s="119" t="str">
        <f>IFERROR(IF((W207/FORMULACIÓN!X207)&lt;&gt;0,W207/FORMULACIÓN!X207,0),"")</f>
        <v/>
      </c>
      <c r="AZ207" s="119" t="str">
        <f>IFERROR(IF((AA207/FORMULACIÓN!AB207)&lt;&gt;0,AA207/FORMULACIÓN!AB207,0),"")</f>
        <v/>
      </c>
      <c r="BA207" s="119" t="str">
        <f>IFERROR(IF((AE207/FORMULACIÓN!AF207)&lt;&gt;0,(AE207/FORMULACIÓN!AF207),0),"")</f>
        <v/>
      </c>
      <c r="BB207" s="119" t="str">
        <f>IFERROR(IF((AI207/FORMULACIÓN!AJ207)&lt;&gt;0,AI207/FORMULACIÓN!AJ207,0),"")</f>
        <v/>
      </c>
      <c r="BC207" s="120" t="str">
        <f>IF('SEGUIMIENTO Y EVALUACIÓN'!AI207=0,0,TEXT('SEGUIMIENTO Y EVALUACIÓN'!AI207,"$ ##.###")&amp;" / "&amp;TEXT(FORMULACIÓN!AK207,"$ ##.###"))</f>
        <v xml:space="preserve"> / </v>
      </c>
      <c r="BD207" s="57">
        <f>IFERROR(IF((AJ207/FORMULACIÓN!AK207)&lt;&gt;0,AJ207/FORMULACIÓN!AK207,0),0)</f>
        <v>0</v>
      </c>
      <c r="CL207" s="7"/>
    </row>
    <row r="208" spans="1:90" s="1" customFormat="1" ht="99.95" customHeight="1">
      <c r="A208" s="45" t="str">
        <f>IF(FORMULACIÓN!A208="","",FORMULACIÓN!A208)</f>
        <v/>
      </c>
      <c r="B208" s="45" t="str">
        <f>IF(FORMULACIÓN!B208="","",FORMULACIÓN!B208)</f>
        <v/>
      </c>
      <c r="C208" s="45" t="str">
        <f>IF(FORMULACIÓN!E208="","",FORMULACIÓN!E208)</f>
        <v/>
      </c>
      <c r="D208" s="45" t="str">
        <f>IF(FORMULACIÓN!F208="","",FORMULACIÓN!F208)</f>
        <v/>
      </c>
      <c r="E208" s="45" t="str">
        <f>IF(FORMULACIÓN!G208="","",FORMULACIÓN!G208)</f>
        <v/>
      </c>
      <c r="F208" s="45" t="str">
        <f>IF(FORMULACIÓN!H208="","",FORMULACIÓN!H208)</f>
        <v/>
      </c>
      <c r="G208" s="45" t="str">
        <f>IF(FORMULACIÓN!I208="","",FORMULACIÓN!I208)</f>
        <v/>
      </c>
      <c r="H208" s="45" t="str">
        <f>IF(FORMULACIÓN!J208="","",FORMULACIÓN!J208)</f>
        <v/>
      </c>
      <c r="I208" s="188" t="str">
        <f ca="1">IF($G208=Lists!$R$3,"PDI: "&amp;TEXT(FORMULACIÓN!Q208,"00,00%")&amp;CHAR(10)&amp;CHAR(10)&amp;"T1: "&amp;TEXT(FORMULACIÓN!L208,"00,00%")&amp;CHAR(10)&amp;"T2: "&amp;TEXT(FORMULACIÓN!M208,"00,00%")&amp;CHAR(10)&amp;"T3: "&amp;TEXT(FORMULACIÓN!N208,"00,00%")&amp;CHAR(10)&amp;"Tn: "&amp;TEXT(FORMULACIÓN!O208,"00,00%"),IF(FORMULACIÓN!Q208=0,0,"PDI: "&amp;TEXT(FORMULACIÓN!Q208,"##.###")&amp;CHAR(10)&amp;CHAR(10)&amp;"T1: "&amp;TEXT(FORMULACIÓN!L208,"##.###")&amp;CHAR(10)&amp;"T2: "&amp;TEXT(FORMULACIÓN!M208,"##.###")&amp;CHAR(10)&amp;"T3: "&amp;TEXT(FORMULACIÓN!N208,"##.###")&amp;CHAR(10)&amp;"Tn: "&amp;TEXT(FORMULACIÓN!O208,"##.###")))</f>
        <v xml:space="preserve">PDI: 
T1: 
T2: 
T3: 
Tn: </v>
      </c>
      <c r="J208" s="122" t="str">
        <f>IF(FORMULACIÓN!K208&lt;&gt;"",FORMULACIÓN!K208,"")</f>
        <v/>
      </c>
      <c r="K208" s="58"/>
      <c r="L208" s="58"/>
      <c r="M208" s="58"/>
      <c r="N208" s="58"/>
      <c r="O208" s="47" t="str">
        <f ca="1">IFERROR(IF($H208=Lists!$S$2,SUM('SEGUIMIENTO Y EVALUACIÓN'!J208:N208),IF('SEGUIMIENTO Y EVALUACIÓN'!$H208=Lists!$S$3,SUM('SEGUIMIENTO Y EVALUACIÓN'!K208:N208),IF('SEGUIMIENTO Y EVALUACIÓN'!$H208=Lists!$S$4,AVERAGE('SEGUIMIENTO Y EVALUACIÓN'!K208:N208),IF('SEGUIMIENTO Y EVALUACIÓN'!$H208=Lists!$S$5,OFFSET(J208,0,COUNTA(K208:N208)),IF($H208=Lists!$S$6,COUNTIF(K208:N208,"&lt;"&amp;FORMULACIÓN!Q208)/COUNT('SEGUIMIENTO Y EVALUACIÓN'!K208:N208),""))))),"")</f>
        <v/>
      </c>
      <c r="P208" s="51" t="str">
        <f ca="1">IF($G208=Lists!$R$3,TEXT('SEGUIMIENTO Y EVALUACIÓN'!O208,"00,00%"),IF('SEGUIMIENTO Y EVALUACIÓN'!O208=0,0,TEXT('SEGUIMIENTO Y EVALUACIÓN'!O208,"##.###")))</f>
        <v/>
      </c>
      <c r="Q208" s="209" t="str">
        <f>IF(FORMULACIÓN!R208&lt;&gt;"",FORMULACIÓN!R208,"")</f>
        <v/>
      </c>
      <c r="R208" s="209" t="str">
        <f>IF(FORMULACIÓN!S208&lt;&gt;"",FORMULACIÓN!S208,"")</f>
        <v/>
      </c>
      <c r="S208" s="209" t="str">
        <f>IF(FORMULACIÓN!T208&lt;&gt;"",FORMULACIÓN!T208,"")</f>
        <v/>
      </c>
      <c r="T208" s="42"/>
      <c r="U208" s="42"/>
      <c r="V208" s="42"/>
      <c r="W208" s="43" t="str">
        <f t="shared" si="27"/>
        <v/>
      </c>
      <c r="X208" s="42"/>
      <c r="Y208" s="42"/>
      <c r="Z208" s="42"/>
      <c r="AA208" s="43" t="str">
        <f t="shared" si="28"/>
        <v/>
      </c>
      <c r="AB208" s="42"/>
      <c r="AC208" s="42"/>
      <c r="AD208" s="42"/>
      <c r="AE208" s="43" t="str">
        <f t="shared" si="29"/>
        <v/>
      </c>
      <c r="AF208" s="42"/>
      <c r="AG208" s="42"/>
      <c r="AH208" s="42"/>
      <c r="AI208" s="46" t="str">
        <f t="shared" si="30"/>
        <v/>
      </c>
      <c r="AJ208" s="46" t="str">
        <f>IF(SUM(AA208,AE208,W208,AI208)=0,"",SUM((AA208,AE208,W208,AI208)))</f>
        <v/>
      </c>
      <c r="AK208" s="2"/>
      <c r="AL208" s="1" t="str">
        <f t="shared" si="31"/>
        <v/>
      </c>
      <c r="AM208" s="56" t="str">
        <f t="shared" si="33"/>
        <v/>
      </c>
      <c r="AN208" s="112" t="str">
        <f ca="1">IF($G208=Lists!$R$3,"T1: "&amp;TEXT(FORMULACIÓN!L208,"00,00%")&amp;CHAR(10)&amp;"T2: "&amp;TEXT(FORMULACIÓN!M208,"00,00%")&amp;CHAR(10)&amp;"T3: "&amp;TEXT(FORMULACIÓN!N208,"00,00%")&amp;CHAR(10)&amp;"Tn: "&amp;TEXT(FORMULACIÓN!O208,"00,00%"),IF(FORMULACIÓN!Q208=0,0,"T1: "&amp;TEXT(FORMULACIÓN!L208,"##.###")&amp;CHAR(10)&amp;"T2: "&amp;TEXT(FORMULACIÓN!M208,"##.###")&amp;CHAR(10)&amp;"T3: "&amp;TEXT(FORMULACIÓN!N208,"##.###")&amp;CHAR(10)&amp;"Tn: "&amp;TEXT(FORMULACIÓN!O208,"##.###")))</f>
        <v xml:space="preserve">T1: 
T2: 
T3: 
Tn: </v>
      </c>
      <c r="AO208" s="117" t="str">
        <f>IFERROR(IF($H208=Lists!$S$6,IF(AND(FORMULACIÓN!L208&gt;K208,K208&gt;0),1,0),IF((K208/FORMULACIÓN!L208)&lt;&gt;0,K208/FORMULACIÓN!L208,0)),"")</f>
        <v/>
      </c>
      <c r="AP208" s="117" t="str">
        <f>IFERROR(IF($H208=Lists!$S$6,IF(AND(FORMULACIÓN!M208&gt;L208,L208&gt;0),1,0),IF((L208/FORMULACIÓN!M208)&lt;&gt;0,L208/FORMULACIÓN!M208,0)),"")</f>
        <v/>
      </c>
      <c r="AQ208" s="117" t="str">
        <f>IFERROR(IF($H208=Lists!$S$6,IF(AND(FORMULACIÓN!N208&gt;M208,M208&gt;0),1,0),IF((M208/FORMULACIÓN!N208)&lt;&gt;0,M208/FORMULACIÓN!N208,0)),"")</f>
        <v/>
      </c>
      <c r="AR208" s="117" t="str">
        <f>IFERROR(IF($H208=Lists!$S$6,IF(AND(FORMULACIÓN!O208&gt;N208,N208&gt;0),1,0),IF((N208/FORMULACIÓN!O208)&lt;&gt;0,N208/FORMULACIÓN!O208,0)),"")</f>
        <v/>
      </c>
      <c r="AS208" s="110"/>
      <c r="AT208" s="118" t="str">
        <f ca="1">IF($H208=Lists!$S$6,TEXT(COUNTIF('SEGUIMIENTO Y EVALUACIÓN'!K208:N208,"&lt;"&amp;FORMULACIÓN!Q208),"##.###")&amp;" / "&amp;TEXT(COUNTIF('SEGUIMIENTO Y EVALUACIÓN'!K208:N208,"&gt;"&amp;0),"##.###"),IF($G208=Lists!$R$3,TEXT('SEGUIMIENTO Y EVALUACIÓN'!O208,"00,00%")&amp;" / "&amp;TEXT(FORMULACIÓN!P208,"00,00%"),IF('SEGUIMIENTO Y EVALUACIÓN'!O208=0,0,TEXT('SEGUIMIENTO Y EVALUACIÓN'!O208,"##.###")&amp;" / "&amp;TEXT(FORMULACIÓN!P208,"##.###"))))</f>
        <v xml:space="preserve"> / </v>
      </c>
      <c r="AU208" s="57">
        <f ca="1">IFERROR(IF((P208/FORMULACIÓN!Q208)&lt;&gt;0,IF($H208=Lists!$S$6,COUNTIF('SEGUIMIENTO Y EVALUACIÓN'!K208:N208,"&lt;"&amp;FORMULACIÓN!Q208),'SEGUIMIENTO Y EVALUACIÓN'!P208)/IF($H208=Lists!$S$6,COUNTIF('SEGUIMIENTO Y EVALUACIÓN'!K208:N208,"&gt;"&amp;0),FORMULACIÓN!P208),0),0)</f>
        <v>0</v>
      </c>
      <c r="AV208" s="93" t="str">
        <f t="shared" ca="1" si="32"/>
        <v/>
      </c>
      <c r="AW208" s="93" cm="1">
        <f t="array" ref="AW208">IF(INDEX(AO208:AU208,1,$AV$3)&gt;1,1,INDEX(AO208:AU208,1,$AV$3))</f>
        <v>1</v>
      </c>
      <c r="AX208" s="3"/>
      <c r="AY208" s="119" t="str">
        <f>IFERROR(IF((W208/FORMULACIÓN!X208)&lt;&gt;0,W208/FORMULACIÓN!X208,0),"")</f>
        <v/>
      </c>
      <c r="AZ208" s="119" t="str">
        <f>IFERROR(IF((AA208/FORMULACIÓN!AB208)&lt;&gt;0,AA208/FORMULACIÓN!AB208,0),"")</f>
        <v/>
      </c>
      <c r="BA208" s="119" t="str">
        <f>IFERROR(IF((AE208/FORMULACIÓN!AF208)&lt;&gt;0,(AE208/FORMULACIÓN!AF208),0),"")</f>
        <v/>
      </c>
      <c r="BB208" s="119" t="str">
        <f>IFERROR(IF((AI208/FORMULACIÓN!AJ208)&lt;&gt;0,AI208/FORMULACIÓN!AJ208,0),"")</f>
        <v/>
      </c>
      <c r="BC208" s="120" t="str">
        <f>IF('SEGUIMIENTO Y EVALUACIÓN'!AI208=0,0,TEXT('SEGUIMIENTO Y EVALUACIÓN'!AI208,"$ ##.###")&amp;" / "&amp;TEXT(FORMULACIÓN!AK208,"$ ##.###"))</f>
        <v xml:space="preserve"> / </v>
      </c>
      <c r="BD208" s="57">
        <f>IFERROR(IF((AJ208/FORMULACIÓN!AK208)&lt;&gt;0,AJ208/FORMULACIÓN!AK208,0),0)</f>
        <v>0</v>
      </c>
      <c r="CL208" s="7"/>
    </row>
    <row r="209" spans="1:90" s="1" customFormat="1" ht="99.95" customHeight="1">
      <c r="A209" s="45" t="str">
        <f>IF(FORMULACIÓN!A209="","",FORMULACIÓN!A209)</f>
        <v/>
      </c>
      <c r="B209" s="45" t="str">
        <f>IF(FORMULACIÓN!B209="","",FORMULACIÓN!B209)</f>
        <v/>
      </c>
      <c r="C209" s="45" t="str">
        <f>IF(FORMULACIÓN!E209="","",FORMULACIÓN!E209)</f>
        <v/>
      </c>
      <c r="D209" s="45" t="str">
        <f>IF(FORMULACIÓN!F209="","",FORMULACIÓN!F209)</f>
        <v/>
      </c>
      <c r="E209" s="45" t="str">
        <f>IF(FORMULACIÓN!G209="","",FORMULACIÓN!G209)</f>
        <v/>
      </c>
      <c r="F209" s="45" t="str">
        <f>IF(FORMULACIÓN!H209="","",FORMULACIÓN!H209)</f>
        <v/>
      </c>
      <c r="G209" s="45" t="str">
        <f>IF(FORMULACIÓN!I209="","",FORMULACIÓN!I209)</f>
        <v/>
      </c>
      <c r="H209" s="45" t="str">
        <f>IF(FORMULACIÓN!J209="","",FORMULACIÓN!J209)</f>
        <v/>
      </c>
      <c r="I209" s="188" t="str">
        <f ca="1">IF($G209=Lists!$R$3,"PDI: "&amp;TEXT(FORMULACIÓN!Q209,"00,00%")&amp;CHAR(10)&amp;CHAR(10)&amp;"T1: "&amp;TEXT(FORMULACIÓN!L209,"00,00%")&amp;CHAR(10)&amp;"T2: "&amp;TEXT(FORMULACIÓN!M209,"00,00%")&amp;CHAR(10)&amp;"T3: "&amp;TEXT(FORMULACIÓN!N209,"00,00%")&amp;CHAR(10)&amp;"Tn: "&amp;TEXT(FORMULACIÓN!O209,"00,00%"),IF(FORMULACIÓN!Q209=0,0,"PDI: "&amp;TEXT(FORMULACIÓN!Q209,"##.###")&amp;CHAR(10)&amp;CHAR(10)&amp;"T1: "&amp;TEXT(FORMULACIÓN!L209,"##.###")&amp;CHAR(10)&amp;"T2: "&amp;TEXT(FORMULACIÓN!M209,"##.###")&amp;CHAR(10)&amp;"T3: "&amp;TEXT(FORMULACIÓN!N209,"##.###")&amp;CHAR(10)&amp;"Tn: "&amp;TEXT(FORMULACIÓN!O209,"##.###")))</f>
        <v xml:space="preserve">PDI: 
T1: 
T2: 
T3: 
Tn: </v>
      </c>
      <c r="J209" s="122" t="str">
        <f>IF(FORMULACIÓN!K209&lt;&gt;"",FORMULACIÓN!K209,"")</f>
        <v/>
      </c>
      <c r="K209" s="58"/>
      <c r="L209" s="58"/>
      <c r="M209" s="58"/>
      <c r="N209" s="58"/>
      <c r="O209" s="47" t="str">
        <f ca="1">IFERROR(IF($H209=Lists!$S$2,SUM('SEGUIMIENTO Y EVALUACIÓN'!J209:N209),IF('SEGUIMIENTO Y EVALUACIÓN'!$H209=Lists!$S$3,SUM('SEGUIMIENTO Y EVALUACIÓN'!K209:N209),IF('SEGUIMIENTO Y EVALUACIÓN'!$H209=Lists!$S$4,AVERAGE('SEGUIMIENTO Y EVALUACIÓN'!K209:N209),IF('SEGUIMIENTO Y EVALUACIÓN'!$H209=Lists!$S$5,OFFSET(J209,0,COUNTA(K209:N209)),IF($H209=Lists!$S$6,COUNTIF(K209:N209,"&lt;"&amp;FORMULACIÓN!Q209)/COUNT('SEGUIMIENTO Y EVALUACIÓN'!K209:N209),""))))),"")</f>
        <v/>
      </c>
      <c r="P209" s="51" t="str">
        <f ca="1">IF($G209=Lists!$R$3,TEXT('SEGUIMIENTO Y EVALUACIÓN'!O209,"00,00%"),IF('SEGUIMIENTO Y EVALUACIÓN'!O209=0,0,TEXT('SEGUIMIENTO Y EVALUACIÓN'!O209,"##.###")))</f>
        <v/>
      </c>
      <c r="Q209" s="209" t="str">
        <f>IF(FORMULACIÓN!R209&lt;&gt;"",FORMULACIÓN!R209,"")</f>
        <v/>
      </c>
      <c r="R209" s="209" t="str">
        <f>IF(FORMULACIÓN!S209&lt;&gt;"",FORMULACIÓN!S209,"")</f>
        <v/>
      </c>
      <c r="S209" s="209" t="str">
        <f>IF(FORMULACIÓN!T209&lt;&gt;"",FORMULACIÓN!T209,"")</f>
        <v/>
      </c>
      <c r="T209" s="42"/>
      <c r="U209" s="42"/>
      <c r="V209" s="42"/>
      <c r="W209" s="43" t="str">
        <f t="shared" si="27"/>
        <v/>
      </c>
      <c r="X209" s="42"/>
      <c r="Y209" s="42"/>
      <c r="Z209" s="42"/>
      <c r="AA209" s="43" t="str">
        <f t="shared" si="28"/>
        <v/>
      </c>
      <c r="AB209" s="42"/>
      <c r="AC209" s="42"/>
      <c r="AD209" s="42"/>
      <c r="AE209" s="43" t="str">
        <f t="shared" si="29"/>
        <v/>
      </c>
      <c r="AF209" s="42"/>
      <c r="AG209" s="42"/>
      <c r="AH209" s="42"/>
      <c r="AI209" s="46" t="str">
        <f t="shared" si="30"/>
        <v/>
      </c>
      <c r="AJ209" s="46" t="str">
        <f>IF(SUM(AA209,AE209,W209,AI209)=0,"",SUM((AA209,AE209,W209,AI209)))</f>
        <v/>
      </c>
      <c r="AK209" s="2"/>
      <c r="AL209" s="1" t="str">
        <f t="shared" si="31"/>
        <v/>
      </c>
      <c r="AM209" s="56" t="str">
        <f t="shared" si="33"/>
        <v/>
      </c>
      <c r="AN209" s="112" t="str">
        <f ca="1">IF($G209=Lists!$R$3,"T1: "&amp;TEXT(FORMULACIÓN!L209,"00,00%")&amp;CHAR(10)&amp;"T2: "&amp;TEXT(FORMULACIÓN!M209,"00,00%")&amp;CHAR(10)&amp;"T3: "&amp;TEXT(FORMULACIÓN!N209,"00,00%")&amp;CHAR(10)&amp;"Tn: "&amp;TEXT(FORMULACIÓN!O209,"00,00%"),IF(FORMULACIÓN!Q209=0,0,"T1: "&amp;TEXT(FORMULACIÓN!L209,"##.###")&amp;CHAR(10)&amp;"T2: "&amp;TEXT(FORMULACIÓN!M209,"##.###")&amp;CHAR(10)&amp;"T3: "&amp;TEXT(FORMULACIÓN!N209,"##.###")&amp;CHAR(10)&amp;"Tn: "&amp;TEXT(FORMULACIÓN!O209,"##.###")))</f>
        <v xml:space="preserve">T1: 
T2: 
T3: 
Tn: </v>
      </c>
      <c r="AO209" s="117" t="str">
        <f>IFERROR(IF($H209=Lists!$S$6,IF(AND(FORMULACIÓN!L209&gt;K209,K209&gt;0),1,0),IF((K209/FORMULACIÓN!L209)&lt;&gt;0,K209/FORMULACIÓN!L209,0)),"")</f>
        <v/>
      </c>
      <c r="AP209" s="117" t="str">
        <f>IFERROR(IF($H209=Lists!$S$6,IF(AND(FORMULACIÓN!M209&gt;L209,L209&gt;0),1,0),IF((L209/FORMULACIÓN!M209)&lt;&gt;0,L209/FORMULACIÓN!M209,0)),"")</f>
        <v/>
      </c>
      <c r="AQ209" s="117" t="str">
        <f>IFERROR(IF($H209=Lists!$S$6,IF(AND(FORMULACIÓN!N209&gt;M209,M209&gt;0),1,0),IF((M209/FORMULACIÓN!N209)&lt;&gt;0,M209/FORMULACIÓN!N209,0)),"")</f>
        <v/>
      </c>
      <c r="AR209" s="117" t="str">
        <f>IFERROR(IF($H209=Lists!$S$6,IF(AND(FORMULACIÓN!O209&gt;N209,N209&gt;0),1,0),IF((N209/FORMULACIÓN!O209)&lt;&gt;0,N209/FORMULACIÓN!O209,0)),"")</f>
        <v/>
      </c>
      <c r="AS209" s="110"/>
      <c r="AT209" s="118" t="str">
        <f ca="1">IF($H209=Lists!$S$6,TEXT(COUNTIF('SEGUIMIENTO Y EVALUACIÓN'!K209:N209,"&lt;"&amp;FORMULACIÓN!Q209),"##.###")&amp;" / "&amp;TEXT(COUNTIF('SEGUIMIENTO Y EVALUACIÓN'!K209:N209,"&gt;"&amp;0),"##.###"),IF($G209=Lists!$R$3,TEXT('SEGUIMIENTO Y EVALUACIÓN'!O209,"00,00%")&amp;" / "&amp;TEXT(FORMULACIÓN!P209,"00,00%"),IF('SEGUIMIENTO Y EVALUACIÓN'!O209=0,0,TEXT('SEGUIMIENTO Y EVALUACIÓN'!O209,"##.###")&amp;" / "&amp;TEXT(FORMULACIÓN!P209,"##.###"))))</f>
        <v xml:space="preserve"> / </v>
      </c>
      <c r="AU209" s="57">
        <f ca="1">IFERROR(IF((P209/FORMULACIÓN!Q209)&lt;&gt;0,IF($H209=Lists!$S$6,COUNTIF('SEGUIMIENTO Y EVALUACIÓN'!K209:N209,"&lt;"&amp;FORMULACIÓN!Q209),'SEGUIMIENTO Y EVALUACIÓN'!P209)/IF($H209=Lists!$S$6,COUNTIF('SEGUIMIENTO Y EVALUACIÓN'!K209:N209,"&gt;"&amp;0),FORMULACIÓN!P209),0),0)</f>
        <v>0</v>
      </c>
      <c r="AV209" s="93" t="str">
        <f t="shared" ca="1" si="32"/>
        <v/>
      </c>
      <c r="AW209" s="93" cm="1">
        <f t="array" ref="AW209">IF(INDEX(AO209:AU209,1,$AV$3)&gt;1,1,INDEX(AO209:AU209,1,$AV$3))</f>
        <v>1</v>
      </c>
      <c r="AX209" s="3"/>
      <c r="AY209" s="119" t="str">
        <f>IFERROR(IF((W209/FORMULACIÓN!X209)&lt;&gt;0,W209/FORMULACIÓN!X209,0),"")</f>
        <v/>
      </c>
      <c r="AZ209" s="119" t="str">
        <f>IFERROR(IF((AA209/FORMULACIÓN!AB209)&lt;&gt;0,AA209/FORMULACIÓN!AB209,0),"")</f>
        <v/>
      </c>
      <c r="BA209" s="119" t="str">
        <f>IFERROR(IF((AE209/FORMULACIÓN!AF209)&lt;&gt;0,(AE209/FORMULACIÓN!AF209),0),"")</f>
        <v/>
      </c>
      <c r="BB209" s="119" t="str">
        <f>IFERROR(IF((AI209/FORMULACIÓN!AJ209)&lt;&gt;0,AI209/FORMULACIÓN!AJ209,0),"")</f>
        <v/>
      </c>
      <c r="BC209" s="120" t="str">
        <f>IF('SEGUIMIENTO Y EVALUACIÓN'!AI209=0,0,TEXT('SEGUIMIENTO Y EVALUACIÓN'!AI209,"$ ##.###")&amp;" / "&amp;TEXT(FORMULACIÓN!AK209,"$ ##.###"))</f>
        <v xml:space="preserve"> / </v>
      </c>
      <c r="BD209" s="57">
        <f>IFERROR(IF((AJ209/FORMULACIÓN!AK209)&lt;&gt;0,AJ209/FORMULACIÓN!AK209,0),0)</f>
        <v>0</v>
      </c>
      <c r="CL209" s="7"/>
    </row>
    <row r="210" spans="1:90" s="1" customFormat="1" ht="99.95" customHeight="1">
      <c r="A210" s="45" t="str">
        <f>IF(FORMULACIÓN!A210="","",FORMULACIÓN!A210)</f>
        <v/>
      </c>
      <c r="B210" s="45" t="str">
        <f>IF(FORMULACIÓN!B210="","",FORMULACIÓN!B210)</f>
        <v/>
      </c>
      <c r="C210" s="45" t="str">
        <f>IF(FORMULACIÓN!E210="","",FORMULACIÓN!E210)</f>
        <v/>
      </c>
      <c r="D210" s="45" t="str">
        <f>IF(FORMULACIÓN!F210="","",FORMULACIÓN!F210)</f>
        <v/>
      </c>
      <c r="E210" s="45" t="str">
        <f>IF(FORMULACIÓN!G210="","",FORMULACIÓN!G210)</f>
        <v/>
      </c>
      <c r="F210" s="45" t="str">
        <f>IF(FORMULACIÓN!H210="","",FORMULACIÓN!H210)</f>
        <v/>
      </c>
      <c r="G210" s="45" t="str">
        <f>IF(FORMULACIÓN!I210="","",FORMULACIÓN!I210)</f>
        <v/>
      </c>
      <c r="H210" s="45" t="str">
        <f>IF(FORMULACIÓN!J210="","",FORMULACIÓN!J210)</f>
        <v/>
      </c>
      <c r="I210" s="188" t="str">
        <f ca="1">IF($G210=Lists!$R$3,"PDI: "&amp;TEXT(FORMULACIÓN!Q210,"00,00%")&amp;CHAR(10)&amp;CHAR(10)&amp;"T1: "&amp;TEXT(FORMULACIÓN!L210,"00,00%")&amp;CHAR(10)&amp;"T2: "&amp;TEXT(FORMULACIÓN!M210,"00,00%")&amp;CHAR(10)&amp;"T3: "&amp;TEXT(FORMULACIÓN!N210,"00,00%")&amp;CHAR(10)&amp;"Tn: "&amp;TEXT(FORMULACIÓN!O210,"00,00%"),IF(FORMULACIÓN!Q210=0,0,"PDI: "&amp;TEXT(FORMULACIÓN!Q210,"##.###")&amp;CHAR(10)&amp;CHAR(10)&amp;"T1: "&amp;TEXT(FORMULACIÓN!L210,"##.###")&amp;CHAR(10)&amp;"T2: "&amp;TEXT(FORMULACIÓN!M210,"##.###")&amp;CHAR(10)&amp;"T3: "&amp;TEXT(FORMULACIÓN!N210,"##.###")&amp;CHAR(10)&amp;"Tn: "&amp;TEXT(FORMULACIÓN!O210,"##.###")))</f>
        <v xml:space="preserve">PDI: 
T1: 
T2: 
T3: 
Tn: </v>
      </c>
      <c r="J210" s="122" t="str">
        <f>IF(FORMULACIÓN!K210&lt;&gt;"",FORMULACIÓN!K210,"")</f>
        <v/>
      </c>
      <c r="K210" s="58"/>
      <c r="L210" s="58"/>
      <c r="M210" s="58"/>
      <c r="N210" s="58"/>
      <c r="O210" s="47" t="str">
        <f ca="1">IFERROR(IF($H210=Lists!$S$2,SUM('SEGUIMIENTO Y EVALUACIÓN'!J210:N210),IF('SEGUIMIENTO Y EVALUACIÓN'!$H210=Lists!$S$3,SUM('SEGUIMIENTO Y EVALUACIÓN'!K210:N210),IF('SEGUIMIENTO Y EVALUACIÓN'!$H210=Lists!$S$4,AVERAGE('SEGUIMIENTO Y EVALUACIÓN'!K210:N210),IF('SEGUIMIENTO Y EVALUACIÓN'!$H210=Lists!$S$5,OFFSET(J210,0,COUNTA(K210:N210)),IF($H210=Lists!$S$6,COUNTIF(K210:N210,"&lt;"&amp;FORMULACIÓN!Q210)/COUNT('SEGUIMIENTO Y EVALUACIÓN'!K210:N210),""))))),"")</f>
        <v/>
      </c>
      <c r="P210" s="51" t="str">
        <f ca="1">IF($G210=Lists!$R$3,TEXT('SEGUIMIENTO Y EVALUACIÓN'!O210,"00,00%"),IF('SEGUIMIENTO Y EVALUACIÓN'!O210=0,0,TEXT('SEGUIMIENTO Y EVALUACIÓN'!O210,"##.###")))</f>
        <v/>
      </c>
      <c r="Q210" s="209" t="str">
        <f>IF(FORMULACIÓN!R210&lt;&gt;"",FORMULACIÓN!R210,"")</f>
        <v/>
      </c>
      <c r="R210" s="209" t="str">
        <f>IF(FORMULACIÓN!S210&lt;&gt;"",FORMULACIÓN!S210,"")</f>
        <v/>
      </c>
      <c r="S210" s="209" t="str">
        <f>IF(FORMULACIÓN!T210&lt;&gt;"",FORMULACIÓN!T210,"")</f>
        <v/>
      </c>
      <c r="T210" s="42"/>
      <c r="U210" s="42"/>
      <c r="V210" s="42"/>
      <c r="W210" s="43" t="str">
        <f t="shared" si="27"/>
        <v/>
      </c>
      <c r="X210" s="42"/>
      <c r="Y210" s="42"/>
      <c r="Z210" s="42"/>
      <c r="AA210" s="43" t="str">
        <f t="shared" si="28"/>
        <v/>
      </c>
      <c r="AB210" s="42"/>
      <c r="AC210" s="42"/>
      <c r="AD210" s="42"/>
      <c r="AE210" s="43" t="str">
        <f t="shared" si="29"/>
        <v/>
      </c>
      <c r="AF210" s="42"/>
      <c r="AG210" s="42"/>
      <c r="AH210" s="42"/>
      <c r="AI210" s="46" t="str">
        <f t="shared" si="30"/>
        <v/>
      </c>
      <c r="AJ210" s="46" t="str">
        <f>IF(SUM(AA210,AE210,W210,AI210)=0,"",SUM((AA210,AE210,W210,AI210)))</f>
        <v/>
      </c>
      <c r="AK210" s="2"/>
      <c r="AL210" s="1" t="str">
        <f t="shared" si="31"/>
        <v/>
      </c>
      <c r="AM210" s="56" t="str">
        <f t="shared" si="33"/>
        <v/>
      </c>
      <c r="AN210" s="112" t="str">
        <f ca="1">IF($G210=Lists!$R$3,"T1: "&amp;TEXT(FORMULACIÓN!L210,"00,00%")&amp;CHAR(10)&amp;"T2: "&amp;TEXT(FORMULACIÓN!M210,"00,00%")&amp;CHAR(10)&amp;"T3: "&amp;TEXT(FORMULACIÓN!N210,"00,00%")&amp;CHAR(10)&amp;"Tn: "&amp;TEXT(FORMULACIÓN!O210,"00,00%"),IF(FORMULACIÓN!Q210=0,0,"T1: "&amp;TEXT(FORMULACIÓN!L210,"##.###")&amp;CHAR(10)&amp;"T2: "&amp;TEXT(FORMULACIÓN!M210,"##.###")&amp;CHAR(10)&amp;"T3: "&amp;TEXT(FORMULACIÓN!N210,"##.###")&amp;CHAR(10)&amp;"Tn: "&amp;TEXT(FORMULACIÓN!O210,"##.###")))</f>
        <v xml:space="preserve">T1: 
T2: 
T3: 
Tn: </v>
      </c>
      <c r="AO210" s="117" t="str">
        <f>IFERROR(IF($H210=Lists!$S$6,IF(AND(FORMULACIÓN!L210&gt;K210,K210&gt;0),1,0),IF((K210/FORMULACIÓN!L210)&lt;&gt;0,K210/FORMULACIÓN!L210,0)),"")</f>
        <v/>
      </c>
      <c r="AP210" s="117" t="str">
        <f>IFERROR(IF($H210=Lists!$S$6,IF(AND(FORMULACIÓN!M210&gt;L210,L210&gt;0),1,0),IF((L210/FORMULACIÓN!M210)&lt;&gt;0,L210/FORMULACIÓN!M210,0)),"")</f>
        <v/>
      </c>
      <c r="AQ210" s="117" t="str">
        <f>IFERROR(IF($H210=Lists!$S$6,IF(AND(FORMULACIÓN!N210&gt;M210,M210&gt;0),1,0),IF((M210/FORMULACIÓN!N210)&lt;&gt;0,M210/FORMULACIÓN!N210,0)),"")</f>
        <v/>
      </c>
      <c r="AR210" s="117" t="str">
        <f>IFERROR(IF($H210=Lists!$S$6,IF(AND(FORMULACIÓN!O210&gt;N210,N210&gt;0),1,0),IF((N210/FORMULACIÓN!O210)&lt;&gt;0,N210/FORMULACIÓN!O210,0)),"")</f>
        <v/>
      </c>
      <c r="AS210" s="110"/>
      <c r="AT210" s="118" t="str">
        <f ca="1">IF($H210=Lists!$S$6,TEXT(COUNTIF('SEGUIMIENTO Y EVALUACIÓN'!K210:N210,"&lt;"&amp;FORMULACIÓN!Q210),"##.###")&amp;" / "&amp;TEXT(COUNTIF('SEGUIMIENTO Y EVALUACIÓN'!K210:N210,"&gt;"&amp;0),"##.###"),IF($G210=Lists!$R$3,TEXT('SEGUIMIENTO Y EVALUACIÓN'!O210,"00,00%")&amp;" / "&amp;TEXT(FORMULACIÓN!P210,"00,00%"),IF('SEGUIMIENTO Y EVALUACIÓN'!O210=0,0,TEXT('SEGUIMIENTO Y EVALUACIÓN'!O210,"##.###")&amp;" / "&amp;TEXT(FORMULACIÓN!P210,"##.###"))))</f>
        <v xml:space="preserve"> / </v>
      </c>
      <c r="AU210" s="57">
        <f ca="1">IFERROR(IF((P210/FORMULACIÓN!Q210)&lt;&gt;0,IF($H210=Lists!$S$6,COUNTIF('SEGUIMIENTO Y EVALUACIÓN'!K210:N210,"&lt;"&amp;FORMULACIÓN!Q210),'SEGUIMIENTO Y EVALUACIÓN'!P210)/IF($H210=Lists!$S$6,COUNTIF('SEGUIMIENTO Y EVALUACIÓN'!K210:N210,"&gt;"&amp;0),FORMULACIÓN!P210),0),0)</f>
        <v>0</v>
      </c>
      <c r="AV210" s="93" t="str">
        <f t="shared" ca="1" si="32"/>
        <v/>
      </c>
      <c r="AW210" s="93" cm="1">
        <f t="array" ref="AW210">IF(INDEX(AO210:AU210,1,$AV$3)&gt;1,1,INDEX(AO210:AU210,1,$AV$3))</f>
        <v>1</v>
      </c>
      <c r="AX210" s="3"/>
      <c r="AY210" s="119" t="str">
        <f>IFERROR(IF((W210/FORMULACIÓN!X210)&lt;&gt;0,W210/FORMULACIÓN!X210,0),"")</f>
        <v/>
      </c>
      <c r="AZ210" s="119" t="str">
        <f>IFERROR(IF((AA210/FORMULACIÓN!AB210)&lt;&gt;0,AA210/FORMULACIÓN!AB210,0),"")</f>
        <v/>
      </c>
      <c r="BA210" s="119" t="str">
        <f>IFERROR(IF((AE210/FORMULACIÓN!AF210)&lt;&gt;0,(AE210/FORMULACIÓN!AF210),0),"")</f>
        <v/>
      </c>
      <c r="BB210" s="119" t="str">
        <f>IFERROR(IF((AI210/FORMULACIÓN!AJ210)&lt;&gt;0,AI210/FORMULACIÓN!AJ210,0),"")</f>
        <v/>
      </c>
      <c r="BC210" s="120" t="str">
        <f>IF('SEGUIMIENTO Y EVALUACIÓN'!AI210=0,0,TEXT('SEGUIMIENTO Y EVALUACIÓN'!AI210,"$ ##.###")&amp;" / "&amp;TEXT(FORMULACIÓN!AK210,"$ ##.###"))</f>
        <v xml:space="preserve"> / </v>
      </c>
      <c r="BD210" s="57">
        <f>IFERROR(IF((AJ210/FORMULACIÓN!AK210)&lt;&gt;0,AJ210/FORMULACIÓN!AK210,0),0)</f>
        <v>0</v>
      </c>
      <c r="CL210" s="7"/>
    </row>
    <row r="211" spans="1:90" s="1" customFormat="1" ht="99.95" customHeight="1">
      <c r="A211" s="45" t="str">
        <f>IF(FORMULACIÓN!A211="","",FORMULACIÓN!A211)</f>
        <v/>
      </c>
      <c r="B211" s="45" t="str">
        <f>IF(FORMULACIÓN!B211="","",FORMULACIÓN!B211)</f>
        <v/>
      </c>
      <c r="C211" s="45" t="str">
        <f>IF(FORMULACIÓN!E211="","",FORMULACIÓN!E211)</f>
        <v/>
      </c>
      <c r="D211" s="45" t="str">
        <f>IF(FORMULACIÓN!F211="","",FORMULACIÓN!F211)</f>
        <v/>
      </c>
      <c r="E211" s="45" t="str">
        <f>IF(FORMULACIÓN!G211="","",FORMULACIÓN!G211)</f>
        <v/>
      </c>
      <c r="F211" s="45" t="str">
        <f>IF(FORMULACIÓN!H211="","",FORMULACIÓN!H211)</f>
        <v/>
      </c>
      <c r="G211" s="45" t="str">
        <f>IF(FORMULACIÓN!I211="","",FORMULACIÓN!I211)</f>
        <v/>
      </c>
      <c r="H211" s="45" t="str">
        <f>IF(FORMULACIÓN!J211="","",FORMULACIÓN!J211)</f>
        <v/>
      </c>
      <c r="I211" s="188" t="str">
        <f ca="1">IF($G211=Lists!$R$3,"PDI: "&amp;TEXT(FORMULACIÓN!Q211,"00,00%")&amp;CHAR(10)&amp;CHAR(10)&amp;"T1: "&amp;TEXT(FORMULACIÓN!L211,"00,00%")&amp;CHAR(10)&amp;"T2: "&amp;TEXT(FORMULACIÓN!M211,"00,00%")&amp;CHAR(10)&amp;"T3: "&amp;TEXT(FORMULACIÓN!N211,"00,00%")&amp;CHAR(10)&amp;"Tn: "&amp;TEXT(FORMULACIÓN!O211,"00,00%"),IF(FORMULACIÓN!Q211=0,0,"PDI: "&amp;TEXT(FORMULACIÓN!Q211,"##.###")&amp;CHAR(10)&amp;CHAR(10)&amp;"T1: "&amp;TEXT(FORMULACIÓN!L211,"##.###")&amp;CHAR(10)&amp;"T2: "&amp;TEXT(FORMULACIÓN!M211,"##.###")&amp;CHAR(10)&amp;"T3: "&amp;TEXT(FORMULACIÓN!N211,"##.###")&amp;CHAR(10)&amp;"Tn: "&amp;TEXT(FORMULACIÓN!O211,"##.###")))</f>
        <v xml:space="preserve">PDI: 
T1: 
T2: 
T3: 
Tn: </v>
      </c>
      <c r="J211" s="122" t="str">
        <f>IF(FORMULACIÓN!K211&lt;&gt;"",FORMULACIÓN!K211,"")</f>
        <v/>
      </c>
      <c r="K211" s="58"/>
      <c r="L211" s="58"/>
      <c r="M211" s="58"/>
      <c r="N211" s="58"/>
      <c r="O211" s="47" t="str">
        <f ca="1">IFERROR(IF($H211=Lists!$S$2,SUM('SEGUIMIENTO Y EVALUACIÓN'!J211:N211),IF('SEGUIMIENTO Y EVALUACIÓN'!$H211=Lists!$S$3,SUM('SEGUIMIENTO Y EVALUACIÓN'!K211:N211),IF('SEGUIMIENTO Y EVALUACIÓN'!$H211=Lists!$S$4,AVERAGE('SEGUIMIENTO Y EVALUACIÓN'!K211:N211),IF('SEGUIMIENTO Y EVALUACIÓN'!$H211=Lists!$S$5,OFFSET(J211,0,COUNTA(K211:N211)),IF($H211=Lists!$S$6,COUNTIF(K211:N211,"&lt;"&amp;FORMULACIÓN!Q211)/COUNT('SEGUIMIENTO Y EVALUACIÓN'!K211:N211),""))))),"")</f>
        <v/>
      </c>
      <c r="P211" s="51" t="str">
        <f ca="1">IF($G211=Lists!$R$3,TEXT('SEGUIMIENTO Y EVALUACIÓN'!O211,"00,00%"),IF('SEGUIMIENTO Y EVALUACIÓN'!O211=0,0,TEXT('SEGUIMIENTO Y EVALUACIÓN'!O211,"##.###")))</f>
        <v/>
      </c>
      <c r="Q211" s="209" t="str">
        <f>IF(FORMULACIÓN!R211&lt;&gt;"",FORMULACIÓN!R211,"")</f>
        <v/>
      </c>
      <c r="R211" s="209" t="str">
        <f>IF(FORMULACIÓN!S211&lt;&gt;"",FORMULACIÓN!S211,"")</f>
        <v/>
      </c>
      <c r="S211" s="209" t="str">
        <f>IF(FORMULACIÓN!T211&lt;&gt;"",FORMULACIÓN!T211,"")</f>
        <v/>
      </c>
      <c r="T211" s="42"/>
      <c r="U211" s="42"/>
      <c r="V211" s="42"/>
      <c r="W211" s="43" t="str">
        <f t="shared" si="27"/>
        <v/>
      </c>
      <c r="X211" s="42"/>
      <c r="Y211" s="42"/>
      <c r="Z211" s="42"/>
      <c r="AA211" s="43" t="str">
        <f t="shared" si="28"/>
        <v/>
      </c>
      <c r="AB211" s="42"/>
      <c r="AC211" s="42"/>
      <c r="AD211" s="42"/>
      <c r="AE211" s="43" t="str">
        <f t="shared" si="29"/>
        <v/>
      </c>
      <c r="AF211" s="42"/>
      <c r="AG211" s="42"/>
      <c r="AH211" s="42"/>
      <c r="AI211" s="46" t="str">
        <f t="shared" si="30"/>
        <v/>
      </c>
      <c r="AJ211" s="46" t="str">
        <f>IF(SUM(AA211,AE211,W211,AI211)=0,"",SUM((AA211,AE211,W211,AI211)))</f>
        <v/>
      </c>
      <c r="AK211" s="2"/>
      <c r="AL211" s="1" t="str">
        <f t="shared" si="31"/>
        <v/>
      </c>
      <c r="AM211" s="56" t="str">
        <f t="shared" si="33"/>
        <v/>
      </c>
      <c r="AN211" s="112" t="str">
        <f ca="1">IF($G211=Lists!$R$3,"T1: "&amp;TEXT(FORMULACIÓN!L211,"00,00%")&amp;CHAR(10)&amp;"T2: "&amp;TEXT(FORMULACIÓN!M211,"00,00%")&amp;CHAR(10)&amp;"T3: "&amp;TEXT(FORMULACIÓN!N211,"00,00%")&amp;CHAR(10)&amp;"Tn: "&amp;TEXT(FORMULACIÓN!O211,"00,00%"),IF(FORMULACIÓN!Q211=0,0,"T1: "&amp;TEXT(FORMULACIÓN!L211,"##.###")&amp;CHAR(10)&amp;"T2: "&amp;TEXT(FORMULACIÓN!M211,"##.###")&amp;CHAR(10)&amp;"T3: "&amp;TEXT(FORMULACIÓN!N211,"##.###")&amp;CHAR(10)&amp;"Tn: "&amp;TEXT(FORMULACIÓN!O211,"##.###")))</f>
        <v xml:space="preserve">T1: 
T2: 
T3: 
Tn: </v>
      </c>
      <c r="AO211" s="117" t="str">
        <f>IFERROR(IF($H211=Lists!$S$6,IF(AND(FORMULACIÓN!L211&gt;K211,K211&gt;0),1,0),IF((K211/FORMULACIÓN!L211)&lt;&gt;0,K211/FORMULACIÓN!L211,0)),"")</f>
        <v/>
      </c>
      <c r="AP211" s="117" t="str">
        <f>IFERROR(IF($H211=Lists!$S$6,IF(AND(FORMULACIÓN!M211&gt;L211,L211&gt;0),1,0),IF((L211/FORMULACIÓN!M211)&lt;&gt;0,L211/FORMULACIÓN!M211,0)),"")</f>
        <v/>
      </c>
      <c r="AQ211" s="117" t="str">
        <f>IFERROR(IF($H211=Lists!$S$6,IF(AND(FORMULACIÓN!N211&gt;M211,M211&gt;0),1,0),IF((M211/FORMULACIÓN!N211)&lt;&gt;0,M211/FORMULACIÓN!N211,0)),"")</f>
        <v/>
      </c>
      <c r="AR211" s="117" t="str">
        <f>IFERROR(IF($H211=Lists!$S$6,IF(AND(FORMULACIÓN!O211&gt;N211,N211&gt;0),1,0),IF((N211/FORMULACIÓN!O211)&lt;&gt;0,N211/FORMULACIÓN!O211,0)),"")</f>
        <v/>
      </c>
      <c r="AS211" s="110"/>
      <c r="AT211" s="118" t="str">
        <f ca="1">IF($H211=Lists!$S$6,TEXT(COUNTIF('SEGUIMIENTO Y EVALUACIÓN'!K211:N211,"&lt;"&amp;FORMULACIÓN!Q211),"##.###")&amp;" / "&amp;TEXT(COUNTIF('SEGUIMIENTO Y EVALUACIÓN'!K211:N211,"&gt;"&amp;0),"##.###"),IF($G211=Lists!$R$3,TEXT('SEGUIMIENTO Y EVALUACIÓN'!O211,"00,00%")&amp;" / "&amp;TEXT(FORMULACIÓN!P211,"00,00%"),IF('SEGUIMIENTO Y EVALUACIÓN'!O211=0,0,TEXT('SEGUIMIENTO Y EVALUACIÓN'!O211,"##.###")&amp;" / "&amp;TEXT(FORMULACIÓN!P211,"##.###"))))</f>
        <v xml:space="preserve"> / </v>
      </c>
      <c r="AU211" s="57">
        <f ca="1">IFERROR(IF((P211/FORMULACIÓN!Q211)&lt;&gt;0,IF($H211=Lists!$S$6,COUNTIF('SEGUIMIENTO Y EVALUACIÓN'!K211:N211,"&lt;"&amp;FORMULACIÓN!Q211),'SEGUIMIENTO Y EVALUACIÓN'!P211)/IF($H211=Lists!$S$6,COUNTIF('SEGUIMIENTO Y EVALUACIÓN'!K211:N211,"&gt;"&amp;0),FORMULACIÓN!P211),0),0)</f>
        <v>0</v>
      </c>
      <c r="AV211" s="93" t="str">
        <f t="shared" ca="1" si="32"/>
        <v/>
      </c>
      <c r="AW211" s="93" cm="1">
        <f t="array" ref="AW211">IF(INDEX(AO211:AU211,1,$AV$3)&gt;1,1,INDEX(AO211:AU211,1,$AV$3))</f>
        <v>1</v>
      </c>
      <c r="AX211" s="3"/>
      <c r="AY211" s="119" t="str">
        <f>IFERROR(IF((W211/FORMULACIÓN!X211)&lt;&gt;0,W211/FORMULACIÓN!X211,0),"")</f>
        <v/>
      </c>
      <c r="AZ211" s="119" t="str">
        <f>IFERROR(IF((AA211/FORMULACIÓN!AB211)&lt;&gt;0,AA211/FORMULACIÓN!AB211,0),"")</f>
        <v/>
      </c>
      <c r="BA211" s="119" t="str">
        <f>IFERROR(IF((AE211/FORMULACIÓN!AF211)&lt;&gt;0,(AE211/FORMULACIÓN!AF211),0),"")</f>
        <v/>
      </c>
      <c r="BB211" s="119" t="str">
        <f>IFERROR(IF((AI211/FORMULACIÓN!AJ211)&lt;&gt;0,AI211/FORMULACIÓN!AJ211,0),"")</f>
        <v/>
      </c>
      <c r="BC211" s="120" t="str">
        <f>IF('SEGUIMIENTO Y EVALUACIÓN'!AI211=0,0,TEXT('SEGUIMIENTO Y EVALUACIÓN'!AI211,"$ ##.###")&amp;" / "&amp;TEXT(FORMULACIÓN!AK211,"$ ##.###"))</f>
        <v xml:space="preserve"> / </v>
      </c>
      <c r="BD211" s="57">
        <f>IFERROR(IF((AJ211/FORMULACIÓN!AK211)&lt;&gt;0,AJ211/FORMULACIÓN!AK211,0),0)</f>
        <v>0</v>
      </c>
      <c r="CL211" s="7"/>
    </row>
    <row r="212" spans="1:90" s="1" customFormat="1" ht="99.95" customHeight="1">
      <c r="A212" s="45" t="str">
        <f>IF(FORMULACIÓN!A212="","",FORMULACIÓN!A212)</f>
        <v/>
      </c>
      <c r="B212" s="45" t="str">
        <f>IF(FORMULACIÓN!B212="","",FORMULACIÓN!B212)</f>
        <v/>
      </c>
      <c r="C212" s="45" t="str">
        <f>IF(FORMULACIÓN!E212="","",FORMULACIÓN!E212)</f>
        <v/>
      </c>
      <c r="D212" s="45" t="str">
        <f>IF(FORMULACIÓN!F212="","",FORMULACIÓN!F212)</f>
        <v/>
      </c>
      <c r="E212" s="45" t="str">
        <f>IF(FORMULACIÓN!G212="","",FORMULACIÓN!G212)</f>
        <v/>
      </c>
      <c r="F212" s="45" t="str">
        <f>IF(FORMULACIÓN!H212="","",FORMULACIÓN!H212)</f>
        <v/>
      </c>
      <c r="G212" s="45" t="str">
        <f>IF(FORMULACIÓN!I212="","",FORMULACIÓN!I212)</f>
        <v/>
      </c>
      <c r="H212" s="45" t="str">
        <f>IF(FORMULACIÓN!J212="","",FORMULACIÓN!J212)</f>
        <v/>
      </c>
      <c r="I212" s="188" t="str">
        <f ca="1">IF($G212=Lists!$R$3,"PDI: "&amp;TEXT(FORMULACIÓN!Q212,"00,00%")&amp;CHAR(10)&amp;CHAR(10)&amp;"T1: "&amp;TEXT(FORMULACIÓN!L212,"00,00%")&amp;CHAR(10)&amp;"T2: "&amp;TEXT(FORMULACIÓN!M212,"00,00%")&amp;CHAR(10)&amp;"T3: "&amp;TEXT(FORMULACIÓN!N212,"00,00%")&amp;CHAR(10)&amp;"Tn: "&amp;TEXT(FORMULACIÓN!O212,"00,00%"),IF(FORMULACIÓN!Q212=0,0,"PDI: "&amp;TEXT(FORMULACIÓN!Q212,"##.###")&amp;CHAR(10)&amp;CHAR(10)&amp;"T1: "&amp;TEXT(FORMULACIÓN!L212,"##.###")&amp;CHAR(10)&amp;"T2: "&amp;TEXT(FORMULACIÓN!M212,"##.###")&amp;CHAR(10)&amp;"T3: "&amp;TEXT(FORMULACIÓN!N212,"##.###")&amp;CHAR(10)&amp;"Tn: "&amp;TEXT(FORMULACIÓN!O212,"##.###")))</f>
        <v xml:space="preserve">PDI: 
T1: 
T2: 
T3: 
Tn: </v>
      </c>
      <c r="J212" s="122" t="str">
        <f>IF(FORMULACIÓN!K212&lt;&gt;"",FORMULACIÓN!K212,"")</f>
        <v/>
      </c>
      <c r="K212" s="58"/>
      <c r="L212" s="58"/>
      <c r="M212" s="58"/>
      <c r="N212" s="58"/>
      <c r="O212" s="47" t="str">
        <f ca="1">IFERROR(IF($H212=Lists!$S$2,SUM('SEGUIMIENTO Y EVALUACIÓN'!J212:N212),IF('SEGUIMIENTO Y EVALUACIÓN'!$H212=Lists!$S$3,SUM('SEGUIMIENTO Y EVALUACIÓN'!K212:N212),IF('SEGUIMIENTO Y EVALUACIÓN'!$H212=Lists!$S$4,AVERAGE('SEGUIMIENTO Y EVALUACIÓN'!K212:N212),IF('SEGUIMIENTO Y EVALUACIÓN'!$H212=Lists!$S$5,OFFSET(J212,0,COUNTA(K212:N212)),IF($H212=Lists!$S$6,COUNTIF(K212:N212,"&lt;"&amp;FORMULACIÓN!Q212)/COUNT('SEGUIMIENTO Y EVALUACIÓN'!K212:N212),""))))),"")</f>
        <v/>
      </c>
      <c r="P212" s="51" t="str">
        <f ca="1">IF($G212=Lists!$R$3,TEXT('SEGUIMIENTO Y EVALUACIÓN'!O212,"00,00%"),IF('SEGUIMIENTO Y EVALUACIÓN'!O212=0,0,TEXT('SEGUIMIENTO Y EVALUACIÓN'!O212,"##.###")))</f>
        <v/>
      </c>
      <c r="Q212" s="209" t="str">
        <f>IF(FORMULACIÓN!R212&lt;&gt;"",FORMULACIÓN!R212,"")</f>
        <v/>
      </c>
      <c r="R212" s="209" t="str">
        <f>IF(FORMULACIÓN!S212&lt;&gt;"",FORMULACIÓN!S212,"")</f>
        <v/>
      </c>
      <c r="S212" s="209" t="str">
        <f>IF(FORMULACIÓN!T212&lt;&gt;"",FORMULACIÓN!T212,"")</f>
        <v/>
      </c>
      <c r="T212" s="42"/>
      <c r="U212" s="42"/>
      <c r="V212" s="42"/>
      <c r="W212" s="43" t="str">
        <f t="shared" si="27"/>
        <v/>
      </c>
      <c r="X212" s="42"/>
      <c r="Y212" s="42"/>
      <c r="Z212" s="42"/>
      <c r="AA212" s="43" t="str">
        <f t="shared" si="28"/>
        <v/>
      </c>
      <c r="AB212" s="42"/>
      <c r="AC212" s="42"/>
      <c r="AD212" s="42"/>
      <c r="AE212" s="43" t="str">
        <f t="shared" si="29"/>
        <v/>
      </c>
      <c r="AF212" s="42"/>
      <c r="AG212" s="42"/>
      <c r="AH212" s="42"/>
      <c r="AI212" s="46" t="str">
        <f t="shared" si="30"/>
        <v/>
      </c>
      <c r="AJ212" s="46" t="str">
        <f>IF(SUM(AA212,AE212,W212,AI212)=0,"",SUM((AA212,AE212,W212,AI212)))</f>
        <v/>
      </c>
      <c r="AK212" s="2"/>
      <c r="AL212" s="1" t="str">
        <f t="shared" si="31"/>
        <v/>
      </c>
      <c r="AM212" s="56" t="str">
        <f t="shared" si="33"/>
        <v/>
      </c>
      <c r="AN212" s="112" t="str">
        <f ca="1">IF($G212=Lists!$R$3,"T1: "&amp;TEXT(FORMULACIÓN!L212,"00,00%")&amp;CHAR(10)&amp;"T2: "&amp;TEXT(FORMULACIÓN!M212,"00,00%")&amp;CHAR(10)&amp;"T3: "&amp;TEXT(FORMULACIÓN!N212,"00,00%")&amp;CHAR(10)&amp;"Tn: "&amp;TEXT(FORMULACIÓN!O212,"00,00%"),IF(FORMULACIÓN!Q212=0,0,"T1: "&amp;TEXT(FORMULACIÓN!L212,"##.###")&amp;CHAR(10)&amp;"T2: "&amp;TEXT(FORMULACIÓN!M212,"##.###")&amp;CHAR(10)&amp;"T3: "&amp;TEXT(FORMULACIÓN!N212,"##.###")&amp;CHAR(10)&amp;"Tn: "&amp;TEXT(FORMULACIÓN!O212,"##.###")))</f>
        <v xml:space="preserve">T1: 
T2: 
T3: 
Tn: </v>
      </c>
      <c r="AO212" s="117" t="str">
        <f>IFERROR(IF($H212=Lists!$S$6,IF(AND(FORMULACIÓN!L212&gt;K212,K212&gt;0),1,0),IF((K212/FORMULACIÓN!L212)&lt;&gt;0,K212/FORMULACIÓN!L212,0)),"")</f>
        <v/>
      </c>
      <c r="AP212" s="117" t="str">
        <f>IFERROR(IF($H212=Lists!$S$6,IF(AND(FORMULACIÓN!M212&gt;L212,L212&gt;0),1,0),IF((L212/FORMULACIÓN!M212)&lt;&gt;0,L212/FORMULACIÓN!M212,0)),"")</f>
        <v/>
      </c>
      <c r="AQ212" s="117" t="str">
        <f>IFERROR(IF($H212=Lists!$S$6,IF(AND(FORMULACIÓN!N212&gt;M212,M212&gt;0),1,0),IF((M212/FORMULACIÓN!N212)&lt;&gt;0,M212/FORMULACIÓN!N212,0)),"")</f>
        <v/>
      </c>
      <c r="AR212" s="117" t="str">
        <f>IFERROR(IF($H212=Lists!$S$6,IF(AND(FORMULACIÓN!O212&gt;N212,N212&gt;0),1,0),IF((N212/FORMULACIÓN!O212)&lt;&gt;0,N212/FORMULACIÓN!O212,0)),"")</f>
        <v/>
      </c>
      <c r="AS212" s="110"/>
      <c r="AT212" s="118" t="str">
        <f ca="1">IF($H212=Lists!$S$6,TEXT(COUNTIF('SEGUIMIENTO Y EVALUACIÓN'!K212:N212,"&lt;"&amp;FORMULACIÓN!Q212),"##.###")&amp;" / "&amp;TEXT(COUNTIF('SEGUIMIENTO Y EVALUACIÓN'!K212:N212,"&gt;"&amp;0),"##.###"),IF($G212=Lists!$R$3,TEXT('SEGUIMIENTO Y EVALUACIÓN'!O212,"00,00%")&amp;" / "&amp;TEXT(FORMULACIÓN!P212,"00,00%"),IF('SEGUIMIENTO Y EVALUACIÓN'!O212=0,0,TEXT('SEGUIMIENTO Y EVALUACIÓN'!O212,"##.###")&amp;" / "&amp;TEXT(FORMULACIÓN!P212,"##.###"))))</f>
        <v xml:space="preserve"> / </v>
      </c>
      <c r="AU212" s="57">
        <f ca="1">IFERROR(IF((P212/FORMULACIÓN!Q212)&lt;&gt;0,IF($H212=Lists!$S$6,COUNTIF('SEGUIMIENTO Y EVALUACIÓN'!K212:N212,"&lt;"&amp;FORMULACIÓN!Q212),'SEGUIMIENTO Y EVALUACIÓN'!P212)/IF($H212=Lists!$S$6,COUNTIF('SEGUIMIENTO Y EVALUACIÓN'!K212:N212,"&gt;"&amp;0),FORMULACIÓN!P212),0),0)</f>
        <v>0</v>
      </c>
      <c r="AV212" s="93" t="str">
        <f t="shared" ca="1" si="32"/>
        <v/>
      </c>
      <c r="AW212" s="93" cm="1">
        <f t="array" ref="AW212">IF(INDEX(AO212:AU212,1,$AV$3)&gt;1,1,INDEX(AO212:AU212,1,$AV$3))</f>
        <v>1</v>
      </c>
      <c r="AX212" s="3"/>
      <c r="AY212" s="119" t="str">
        <f>IFERROR(IF((W212/FORMULACIÓN!X212)&lt;&gt;0,W212/FORMULACIÓN!X212,0),"")</f>
        <v/>
      </c>
      <c r="AZ212" s="119" t="str">
        <f>IFERROR(IF((AA212/FORMULACIÓN!AB212)&lt;&gt;0,AA212/FORMULACIÓN!AB212,0),"")</f>
        <v/>
      </c>
      <c r="BA212" s="119" t="str">
        <f>IFERROR(IF((AE212/FORMULACIÓN!AF212)&lt;&gt;0,(AE212/FORMULACIÓN!AF212),0),"")</f>
        <v/>
      </c>
      <c r="BB212" s="119" t="str">
        <f>IFERROR(IF((AI212/FORMULACIÓN!AJ212)&lt;&gt;0,AI212/FORMULACIÓN!AJ212,0),"")</f>
        <v/>
      </c>
      <c r="BC212" s="120" t="str">
        <f>IF('SEGUIMIENTO Y EVALUACIÓN'!AI212=0,0,TEXT('SEGUIMIENTO Y EVALUACIÓN'!AI212,"$ ##.###")&amp;" / "&amp;TEXT(FORMULACIÓN!AK212,"$ ##.###"))</f>
        <v xml:space="preserve"> / </v>
      </c>
      <c r="BD212" s="57">
        <f>IFERROR(IF((AJ212/FORMULACIÓN!AK212)&lt;&gt;0,AJ212/FORMULACIÓN!AK212,0),0)</f>
        <v>0</v>
      </c>
      <c r="CL212" s="7"/>
    </row>
    <row r="213" spans="1:90" s="1" customFormat="1" ht="99.95" customHeight="1">
      <c r="A213" s="45" t="str">
        <f>IF(FORMULACIÓN!A213="","",FORMULACIÓN!A213)</f>
        <v/>
      </c>
      <c r="B213" s="45" t="str">
        <f>IF(FORMULACIÓN!B213="","",FORMULACIÓN!B213)</f>
        <v/>
      </c>
      <c r="C213" s="45" t="str">
        <f>IF(FORMULACIÓN!E213="","",FORMULACIÓN!E213)</f>
        <v/>
      </c>
      <c r="D213" s="45" t="str">
        <f>IF(FORMULACIÓN!F213="","",FORMULACIÓN!F213)</f>
        <v/>
      </c>
      <c r="E213" s="45" t="str">
        <f>IF(FORMULACIÓN!G213="","",FORMULACIÓN!G213)</f>
        <v/>
      </c>
      <c r="F213" s="45" t="str">
        <f>IF(FORMULACIÓN!H213="","",FORMULACIÓN!H213)</f>
        <v/>
      </c>
      <c r="G213" s="45" t="str">
        <f>IF(FORMULACIÓN!I213="","",FORMULACIÓN!I213)</f>
        <v/>
      </c>
      <c r="H213" s="45" t="str">
        <f>IF(FORMULACIÓN!J213="","",FORMULACIÓN!J213)</f>
        <v/>
      </c>
      <c r="I213" s="188" t="str">
        <f ca="1">IF($G213=Lists!$R$3,"PDI: "&amp;TEXT(FORMULACIÓN!Q213,"00,00%")&amp;CHAR(10)&amp;CHAR(10)&amp;"T1: "&amp;TEXT(FORMULACIÓN!L213,"00,00%")&amp;CHAR(10)&amp;"T2: "&amp;TEXT(FORMULACIÓN!M213,"00,00%")&amp;CHAR(10)&amp;"T3: "&amp;TEXT(FORMULACIÓN!N213,"00,00%")&amp;CHAR(10)&amp;"Tn: "&amp;TEXT(FORMULACIÓN!O213,"00,00%"),IF(FORMULACIÓN!Q213=0,0,"PDI: "&amp;TEXT(FORMULACIÓN!Q213,"##.###")&amp;CHAR(10)&amp;CHAR(10)&amp;"T1: "&amp;TEXT(FORMULACIÓN!L213,"##.###")&amp;CHAR(10)&amp;"T2: "&amp;TEXT(FORMULACIÓN!M213,"##.###")&amp;CHAR(10)&amp;"T3: "&amp;TEXT(FORMULACIÓN!N213,"##.###")&amp;CHAR(10)&amp;"Tn: "&amp;TEXT(FORMULACIÓN!O213,"##.###")))</f>
        <v xml:space="preserve">PDI: 
T1: 
T2: 
T3: 
Tn: </v>
      </c>
      <c r="J213" s="122" t="str">
        <f>IF(FORMULACIÓN!K213&lt;&gt;"",FORMULACIÓN!K213,"")</f>
        <v/>
      </c>
      <c r="K213" s="58"/>
      <c r="L213" s="58"/>
      <c r="M213" s="58"/>
      <c r="N213" s="58"/>
      <c r="O213" s="47" t="str">
        <f ca="1">IFERROR(IF($H213=Lists!$S$2,SUM('SEGUIMIENTO Y EVALUACIÓN'!J213:N213),IF('SEGUIMIENTO Y EVALUACIÓN'!$H213=Lists!$S$3,SUM('SEGUIMIENTO Y EVALUACIÓN'!K213:N213),IF('SEGUIMIENTO Y EVALUACIÓN'!$H213=Lists!$S$4,AVERAGE('SEGUIMIENTO Y EVALUACIÓN'!K213:N213),IF('SEGUIMIENTO Y EVALUACIÓN'!$H213=Lists!$S$5,OFFSET(J213,0,COUNTA(K213:N213)),IF($H213=Lists!$S$6,COUNTIF(K213:N213,"&lt;"&amp;FORMULACIÓN!Q213)/COUNT('SEGUIMIENTO Y EVALUACIÓN'!K213:N213),""))))),"")</f>
        <v/>
      </c>
      <c r="P213" s="51" t="str">
        <f ca="1">IF($G213=Lists!$R$3,TEXT('SEGUIMIENTO Y EVALUACIÓN'!O213,"00,00%"),IF('SEGUIMIENTO Y EVALUACIÓN'!O213=0,0,TEXT('SEGUIMIENTO Y EVALUACIÓN'!O213,"##.###")))</f>
        <v/>
      </c>
      <c r="Q213" s="209" t="str">
        <f>IF(FORMULACIÓN!R213&lt;&gt;"",FORMULACIÓN!R213,"")</f>
        <v/>
      </c>
      <c r="R213" s="209" t="str">
        <f>IF(FORMULACIÓN!S213&lt;&gt;"",FORMULACIÓN!S213,"")</f>
        <v/>
      </c>
      <c r="S213" s="209" t="str">
        <f>IF(FORMULACIÓN!T213&lt;&gt;"",FORMULACIÓN!T213,"")</f>
        <v/>
      </c>
      <c r="T213" s="42"/>
      <c r="U213" s="42"/>
      <c r="V213" s="42"/>
      <c r="W213" s="43" t="str">
        <f t="shared" si="27"/>
        <v/>
      </c>
      <c r="X213" s="42"/>
      <c r="Y213" s="42"/>
      <c r="Z213" s="42"/>
      <c r="AA213" s="43" t="str">
        <f t="shared" si="28"/>
        <v/>
      </c>
      <c r="AB213" s="42"/>
      <c r="AC213" s="42"/>
      <c r="AD213" s="42"/>
      <c r="AE213" s="43" t="str">
        <f t="shared" si="29"/>
        <v/>
      </c>
      <c r="AF213" s="42"/>
      <c r="AG213" s="42"/>
      <c r="AH213" s="42"/>
      <c r="AI213" s="46" t="str">
        <f t="shared" si="30"/>
        <v/>
      </c>
      <c r="AJ213" s="46" t="str">
        <f>IF(SUM(AA213,AE213,W213,AI213)=0,"",SUM((AA213,AE213,W213,AI213)))</f>
        <v/>
      </c>
      <c r="AK213" s="2"/>
      <c r="AL213" s="1" t="str">
        <f t="shared" si="31"/>
        <v/>
      </c>
      <c r="AM213" s="56" t="str">
        <f t="shared" si="33"/>
        <v/>
      </c>
      <c r="AN213" s="112" t="str">
        <f ca="1">IF($G213=Lists!$R$3,"T1: "&amp;TEXT(FORMULACIÓN!L213,"00,00%")&amp;CHAR(10)&amp;"T2: "&amp;TEXT(FORMULACIÓN!M213,"00,00%")&amp;CHAR(10)&amp;"T3: "&amp;TEXT(FORMULACIÓN!N213,"00,00%")&amp;CHAR(10)&amp;"Tn: "&amp;TEXT(FORMULACIÓN!O213,"00,00%"),IF(FORMULACIÓN!Q213=0,0,"T1: "&amp;TEXT(FORMULACIÓN!L213,"##.###")&amp;CHAR(10)&amp;"T2: "&amp;TEXT(FORMULACIÓN!M213,"##.###")&amp;CHAR(10)&amp;"T3: "&amp;TEXT(FORMULACIÓN!N213,"##.###")&amp;CHAR(10)&amp;"Tn: "&amp;TEXT(FORMULACIÓN!O213,"##.###")))</f>
        <v xml:space="preserve">T1: 
T2: 
T3: 
Tn: </v>
      </c>
      <c r="AO213" s="117" t="str">
        <f>IFERROR(IF($H213=Lists!$S$6,IF(AND(FORMULACIÓN!L213&gt;K213,K213&gt;0),1,0),IF((K213/FORMULACIÓN!L213)&lt;&gt;0,K213/FORMULACIÓN!L213,0)),"")</f>
        <v/>
      </c>
      <c r="AP213" s="117" t="str">
        <f>IFERROR(IF($H213=Lists!$S$6,IF(AND(FORMULACIÓN!M213&gt;L213,L213&gt;0),1,0),IF((L213/FORMULACIÓN!M213)&lt;&gt;0,L213/FORMULACIÓN!M213,0)),"")</f>
        <v/>
      </c>
      <c r="AQ213" s="117" t="str">
        <f>IFERROR(IF($H213=Lists!$S$6,IF(AND(FORMULACIÓN!N213&gt;M213,M213&gt;0),1,0),IF((M213/FORMULACIÓN!N213)&lt;&gt;0,M213/FORMULACIÓN!N213,0)),"")</f>
        <v/>
      </c>
      <c r="AR213" s="117" t="str">
        <f>IFERROR(IF($H213=Lists!$S$6,IF(AND(FORMULACIÓN!O213&gt;N213,N213&gt;0),1,0),IF((N213/FORMULACIÓN!O213)&lt;&gt;0,N213/FORMULACIÓN!O213,0)),"")</f>
        <v/>
      </c>
      <c r="AS213" s="110"/>
      <c r="AT213" s="118" t="str">
        <f ca="1">IF($H213=Lists!$S$6,TEXT(COUNTIF('SEGUIMIENTO Y EVALUACIÓN'!K213:N213,"&lt;"&amp;FORMULACIÓN!Q213),"##.###")&amp;" / "&amp;TEXT(COUNTIF('SEGUIMIENTO Y EVALUACIÓN'!K213:N213,"&gt;"&amp;0),"##.###"),IF($G213=Lists!$R$3,TEXT('SEGUIMIENTO Y EVALUACIÓN'!O213,"00,00%")&amp;" / "&amp;TEXT(FORMULACIÓN!P213,"00,00%"),IF('SEGUIMIENTO Y EVALUACIÓN'!O213=0,0,TEXT('SEGUIMIENTO Y EVALUACIÓN'!O213,"##.###")&amp;" / "&amp;TEXT(FORMULACIÓN!P213,"##.###"))))</f>
        <v xml:space="preserve"> / </v>
      </c>
      <c r="AU213" s="57">
        <f ca="1">IFERROR(IF((P213/FORMULACIÓN!Q213)&lt;&gt;0,IF($H213=Lists!$S$6,COUNTIF('SEGUIMIENTO Y EVALUACIÓN'!K213:N213,"&lt;"&amp;FORMULACIÓN!Q213),'SEGUIMIENTO Y EVALUACIÓN'!P213)/IF($H213=Lists!$S$6,COUNTIF('SEGUIMIENTO Y EVALUACIÓN'!K213:N213,"&gt;"&amp;0),FORMULACIÓN!P213),0),0)</f>
        <v>0</v>
      </c>
      <c r="AV213" s="93" t="str">
        <f t="shared" ca="1" si="32"/>
        <v/>
      </c>
      <c r="AW213" s="93" cm="1">
        <f t="array" ref="AW213">IF(INDEX(AO213:AU213,1,$AV$3)&gt;1,1,INDEX(AO213:AU213,1,$AV$3))</f>
        <v>1</v>
      </c>
      <c r="AX213" s="3"/>
      <c r="AY213" s="119" t="str">
        <f>IFERROR(IF((W213/FORMULACIÓN!X213)&lt;&gt;0,W213/FORMULACIÓN!X213,0),"")</f>
        <v/>
      </c>
      <c r="AZ213" s="119" t="str">
        <f>IFERROR(IF((AA213/FORMULACIÓN!AB213)&lt;&gt;0,AA213/FORMULACIÓN!AB213,0),"")</f>
        <v/>
      </c>
      <c r="BA213" s="119" t="str">
        <f>IFERROR(IF((AE213/FORMULACIÓN!AF213)&lt;&gt;0,(AE213/FORMULACIÓN!AF213),0),"")</f>
        <v/>
      </c>
      <c r="BB213" s="119" t="str">
        <f>IFERROR(IF((AI213/FORMULACIÓN!AJ213)&lt;&gt;0,AI213/FORMULACIÓN!AJ213,0),"")</f>
        <v/>
      </c>
      <c r="BC213" s="120" t="str">
        <f>IF('SEGUIMIENTO Y EVALUACIÓN'!AI213=0,0,TEXT('SEGUIMIENTO Y EVALUACIÓN'!AI213,"$ ##.###")&amp;" / "&amp;TEXT(FORMULACIÓN!AK213,"$ ##.###"))</f>
        <v xml:space="preserve"> / </v>
      </c>
      <c r="BD213" s="57">
        <f>IFERROR(IF((AJ213/FORMULACIÓN!AK213)&lt;&gt;0,AJ213/FORMULACIÓN!AK213,0),0)</f>
        <v>0</v>
      </c>
      <c r="CL213" s="7"/>
    </row>
    <row r="214" spans="1:90" s="1" customFormat="1" ht="99.95" customHeight="1">
      <c r="A214" s="45" t="str">
        <f>IF(FORMULACIÓN!A214="","",FORMULACIÓN!A214)</f>
        <v/>
      </c>
      <c r="B214" s="45" t="str">
        <f>IF(FORMULACIÓN!B214="","",FORMULACIÓN!B214)</f>
        <v/>
      </c>
      <c r="C214" s="45" t="str">
        <f>IF(FORMULACIÓN!E214="","",FORMULACIÓN!E214)</f>
        <v/>
      </c>
      <c r="D214" s="45" t="str">
        <f>IF(FORMULACIÓN!F214="","",FORMULACIÓN!F214)</f>
        <v/>
      </c>
      <c r="E214" s="45" t="str">
        <f>IF(FORMULACIÓN!G214="","",FORMULACIÓN!G214)</f>
        <v/>
      </c>
      <c r="F214" s="45" t="str">
        <f>IF(FORMULACIÓN!H214="","",FORMULACIÓN!H214)</f>
        <v/>
      </c>
      <c r="G214" s="45" t="str">
        <f>IF(FORMULACIÓN!I214="","",FORMULACIÓN!I214)</f>
        <v/>
      </c>
      <c r="H214" s="45" t="str">
        <f>IF(FORMULACIÓN!J214="","",FORMULACIÓN!J214)</f>
        <v/>
      </c>
      <c r="I214" s="188" t="str">
        <f ca="1">IF($G214=Lists!$R$3,"PDI: "&amp;TEXT(FORMULACIÓN!Q214,"00,00%")&amp;CHAR(10)&amp;CHAR(10)&amp;"T1: "&amp;TEXT(FORMULACIÓN!L214,"00,00%")&amp;CHAR(10)&amp;"T2: "&amp;TEXT(FORMULACIÓN!M214,"00,00%")&amp;CHAR(10)&amp;"T3: "&amp;TEXT(FORMULACIÓN!N214,"00,00%")&amp;CHAR(10)&amp;"Tn: "&amp;TEXT(FORMULACIÓN!O214,"00,00%"),IF(FORMULACIÓN!Q214=0,0,"PDI: "&amp;TEXT(FORMULACIÓN!Q214,"##.###")&amp;CHAR(10)&amp;CHAR(10)&amp;"T1: "&amp;TEXT(FORMULACIÓN!L214,"##.###")&amp;CHAR(10)&amp;"T2: "&amp;TEXT(FORMULACIÓN!M214,"##.###")&amp;CHAR(10)&amp;"T3: "&amp;TEXT(FORMULACIÓN!N214,"##.###")&amp;CHAR(10)&amp;"Tn: "&amp;TEXT(FORMULACIÓN!O214,"##.###")))</f>
        <v xml:space="preserve">PDI: 
T1: 
T2: 
T3: 
Tn: </v>
      </c>
      <c r="J214" s="122" t="str">
        <f>IF(FORMULACIÓN!K214&lt;&gt;"",FORMULACIÓN!K214,"")</f>
        <v/>
      </c>
      <c r="K214" s="58"/>
      <c r="L214" s="58"/>
      <c r="M214" s="58"/>
      <c r="N214" s="58"/>
      <c r="O214" s="47" t="str">
        <f ca="1">IFERROR(IF($H214=Lists!$S$2,SUM('SEGUIMIENTO Y EVALUACIÓN'!J214:N214),IF('SEGUIMIENTO Y EVALUACIÓN'!$H214=Lists!$S$3,SUM('SEGUIMIENTO Y EVALUACIÓN'!K214:N214),IF('SEGUIMIENTO Y EVALUACIÓN'!$H214=Lists!$S$4,AVERAGE('SEGUIMIENTO Y EVALUACIÓN'!K214:N214),IF('SEGUIMIENTO Y EVALUACIÓN'!$H214=Lists!$S$5,OFFSET(J214,0,COUNTA(K214:N214)),IF($H214=Lists!$S$6,COUNTIF(K214:N214,"&lt;"&amp;FORMULACIÓN!Q214)/COUNT('SEGUIMIENTO Y EVALUACIÓN'!K214:N214),""))))),"")</f>
        <v/>
      </c>
      <c r="P214" s="51" t="str">
        <f ca="1">IF($G214=Lists!$R$3,TEXT('SEGUIMIENTO Y EVALUACIÓN'!O214,"00,00%"),IF('SEGUIMIENTO Y EVALUACIÓN'!O214=0,0,TEXT('SEGUIMIENTO Y EVALUACIÓN'!O214,"##.###")))</f>
        <v/>
      </c>
      <c r="Q214" s="209" t="str">
        <f>IF(FORMULACIÓN!R214&lt;&gt;"",FORMULACIÓN!R214,"")</f>
        <v/>
      </c>
      <c r="R214" s="209" t="str">
        <f>IF(FORMULACIÓN!S214&lt;&gt;"",FORMULACIÓN!S214,"")</f>
        <v/>
      </c>
      <c r="S214" s="209" t="str">
        <f>IF(FORMULACIÓN!T214&lt;&gt;"",FORMULACIÓN!T214,"")</f>
        <v/>
      </c>
      <c r="T214" s="42"/>
      <c r="U214" s="42"/>
      <c r="V214" s="42"/>
      <c r="W214" s="43" t="str">
        <f t="shared" si="27"/>
        <v/>
      </c>
      <c r="X214" s="42"/>
      <c r="Y214" s="42"/>
      <c r="Z214" s="42"/>
      <c r="AA214" s="43" t="str">
        <f t="shared" si="28"/>
        <v/>
      </c>
      <c r="AB214" s="42"/>
      <c r="AC214" s="42"/>
      <c r="AD214" s="42"/>
      <c r="AE214" s="43" t="str">
        <f t="shared" si="29"/>
        <v/>
      </c>
      <c r="AF214" s="42"/>
      <c r="AG214" s="42"/>
      <c r="AH214" s="42"/>
      <c r="AI214" s="46" t="str">
        <f t="shared" si="30"/>
        <v/>
      </c>
      <c r="AJ214" s="46" t="str">
        <f>IF(SUM(AA214,AE214,W214,AI214)=0,"",SUM((AA214,AE214,W214,AI214)))</f>
        <v/>
      </c>
      <c r="AK214" s="2"/>
      <c r="AL214" s="1" t="str">
        <f t="shared" si="31"/>
        <v/>
      </c>
      <c r="AM214" s="56" t="str">
        <f t="shared" si="33"/>
        <v/>
      </c>
      <c r="AN214" s="112" t="str">
        <f ca="1">IF($G214=Lists!$R$3,"T1: "&amp;TEXT(FORMULACIÓN!L214,"00,00%")&amp;CHAR(10)&amp;"T2: "&amp;TEXT(FORMULACIÓN!M214,"00,00%")&amp;CHAR(10)&amp;"T3: "&amp;TEXT(FORMULACIÓN!N214,"00,00%")&amp;CHAR(10)&amp;"Tn: "&amp;TEXT(FORMULACIÓN!O214,"00,00%"),IF(FORMULACIÓN!Q214=0,0,"T1: "&amp;TEXT(FORMULACIÓN!L214,"##.###")&amp;CHAR(10)&amp;"T2: "&amp;TEXT(FORMULACIÓN!M214,"##.###")&amp;CHAR(10)&amp;"T3: "&amp;TEXT(FORMULACIÓN!N214,"##.###")&amp;CHAR(10)&amp;"Tn: "&amp;TEXT(FORMULACIÓN!O214,"##.###")))</f>
        <v xml:space="preserve">T1: 
T2: 
T3: 
Tn: </v>
      </c>
      <c r="AO214" s="117" t="str">
        <f>IFERROR(IF($H214=Lists!$S$6,IF(AND(FORMULACIÓN!L214&gt;K214,K214&gt;0),1,0),IF((K214/FORMULACIÓN!L214)&lt;&gt;0,K214/FORMULACIÓN!L214,0)),"")</f>
        <v/>
      </c>
      <c r="AP214" s="117" t="str">
        <f>IFERROR(IF($H214=Lists!$S$6,IF(AND(FORMULACIÓN!M214&gt;L214,L214&gt;0),1,0),IF((L214/FORMULACIÓN!M214)&lt;&gt;0,L214/FORMULACIÓN!M214,0)),"")</f>
        <v/>
      </c>
      <c r="AQ214" s="117" t="str">
        <f>IFERROR(IF($H214=Lists!$S$6,IF(AND(FORMULACIÓN!N214&gt;M214,M214&gt;0),1,0),IF((M214/FORMULACIÓN!N214)&lt;&gt;0,M214/FORMULACIÓN!N214,0)),"")</f>
        <v/>
      </c>
      <c r="AR214" s="117" t="str">
        <f>IFERROR(IF($H214=Lists!$S$6,IF(AND(FORMULACIÓN!O214&gt;N214,N214&gt;0),1,0),IF((N214/FORMULACIÓN!O214)&lt;&gt;0,N214/FORMULACIÓN!O214,0)),"")</f>
        <v/>
      </c>
      <c r="AS214" s="110"/>
      <c r="AT214" s="118" t="str">
        <f ca="1">IF($H214=Lists!$S$6,TEXT(COUNTIF('SEGUIMIENTO Y EVALUACIÓN'!K214:N214,"&lt;"&amp;FORMULACIÓN!Q214),"##.###")&amp;" / "&amp;TEXT(COUNTIF('SEGUIMIENTO Y EVALUACIÓN'!K214:N214,"&gt;"&amp;0),"##.###"),IF($G214=Lists!$R$3,TEXT('SEGUIMIENTO Y EVALUACIÓN'!O214,"00,00%")&amp;" / "&amp;TEXT(FORMULACIÓN!P214,"00,00%"),IF('SEGUIMIENTO Y EVALUACIÓN'!O214=0,0,TEXT('SEGUIMIENTO Y EVALUACIÓN'!O214,"##.###")&amp;" / "&amp;TEXT(FORMULACIÓN!P214,"##.###"))))</f>
        <v xml:space="preserve"> / </v>
      </c>
      <c r="AU214" s="57">
        <f ca="1">IFERROR(IF((P214/FORMULACIÓN!Q214)&lt;&gt;0,IF($H214=Lists!$S$6,COUNTIF('SEGUIMIENTO Y EVALUACIÓN'!K214:N214,"&lt;"&amp;FORMULACIÓN!Q214),'SEGUIMIENTO Y EVALUACIÓN'!P214)/IF($H214=Lists!$S$6,COUNTIF('SEGUIMIENTO Y EVALUACIÓN'!K214:N214,"&gt;"&amp;0),FORMULACIÓN!P214),0),0)</f>
        <v>0</v>
      </c>
      <c r="AV214" s="93" t="str">
        <f t="shared" ca="1" si="32"/>
        <v/>
      </c>
      <c r="AW214" s="93" cm="1">
        <f t="array" ref="AW214">IF(INDEX(AO214:AU214,1,$AV$3)&gt;1,1,INDEX(AO214:AU214,1,$AV$3))</f>
        <v>1</v>
      </c>
      <c r="AX214" s="3"/>
      <c r="AY214" s="119" t="str">
        <f>IFERROR(IF((W214/FORMULACIÓN!X214)&lt;&gt;0,W214/FORMULACIÓN!X214,0),"")</f>
        <v/>
      </c>
      <c r="AZ214" s="119" t="str">
        <f>IFERROR(IF((AA214/FORMULACIÓN!AB214)&lt;&gt;0,AA214/FORMULACIÓN!AB214,0),"")</f>
        <v/>
      </c>
      <c r="BA214" s="119" t="str">
        <f>IFERROR(IF((AE214/FORMULACIÓN!AF214)&lt;&gt;0,(AE214/FORMULACIÓN!AF214),0),"")</f>
        <v/>
      </c>
      <c r="BB214" s="119" t="str">
        <f>IFERROR(IF((AI214/FORMULACIÓN!AJ214)&lt;&gt;0,AI214/FORMULACIÓN!AJ214,0),"")</f>
        <v/>
      </c>
      <c r="BC214" s="120" t="str">
        <f>IF('SEGUIMIENTO Y EVALUACIÓN'!AI214=0,0,TEXT('SEGUIMIENTO Y EVALUACIÓN'!AI214,"$ ##.###")&amp;" / "&amp;TEXT(FORMULACIÓN!AK214,"$ ##.###"))</f>
        <v xml:space="preserve"> / </v>
      </c>
      <c r="BD214" s="57">
        <f>IFERROR(IF((AJ214/FORMULACIÓN!AK214)&lt;&gt;0,AJ214/FORMULACIÓN!AK214,0),0)</f>
        <v>0</v>
      </c>
      <c r="CL214" s="7"/>
    </row>
    <row r="215" spans="1:90" s="1" customFormat="1" ht="99.95" customHeight="1">
      <c r="A215" s="45" t="str">
        <f>IF(FORMULACIÓN!A215="","",FORMULACIÓN!A215)</f>
        <v/>
      </c>
      <c r="B215" s="45" t="str">
        <f>IF(FORMULACIÓN!B215="","",FORMULACIÓN!B215)</f>
        <v/>
      </c>
      <c r="C215" s="45" t="str">
        <f>IF(FORMULACIÓN!E215="","",FORMULACIÓN!E215)</f>
        <v/>
      </c>
      <c r="D215" s="45" t="str">
        <f>IF(FORMULACIÓN!F215="","",FORMULACIÓN!F215)</f>
        <v/>
      </c>
      <c r="E215" s="45" t="str">
        <f>IF(FORMULACIÓN!G215="","",FORMULACIÓN!G215)</f>
        <v/>
      </c>
      <c r="F215" s="45" t="str">
        <f>IF(FORMULACIÓN!H215="","",FORMULACIÓN!H215)</f>
        <v/>
      </c>
      <c r="G215" s="45" t="str">
        <f>IF(FORMULACIÓN!I215="","",FORMULACIÓN!I215)</f>
        <v/>
      </c>
      <c r="H215" s="45" t="str">
        <f>IF(FORMULACIÓN!J215="","",FORMULACIÓN!J215)</f>
        <v/>
      </c>
      <c r="I215" s="188" t="str">
        <f ca="1">IF($G215=Lists!$R$3,"PDI: "&amp;TEXT(FORMULACIÓN!Q215,"00,00%")&amp;CHAR(10)&amp;CHAR(10)&amp;"T1: "&amp;TEXT(FORMULACIÓN!L215,"00,00%")&amp;CHAR(10)&amp;"T2: "&amp;TEXT(FORMULACIÓN!M215,"00,00%")&amp;CHAR(10)&amp;"T3: "&amp;TEXT(FORMULACIÓN!N215,"00,00%")&amp;CHAR(10)&amp;"Tn: "&amp;TEXT(FORMULACIÓN!O215,"00,00%"),IF(FORMULACIÓN!Q215=0,0,"PDI: "&amp;TEXT(FORMULACIÓN!Q215,"##.###")&amp;CHAR(10)&amp;CHAR(10)&amp;"T1: "&amp;TEXT(FORMULACIÓN!L215,"##.###")&amp;CHAR(10)&amp;"T2: "&amp;TEXT(FORMULACIÓN!M215,"##.###")&amp;CHAR(10)&amp;"T3: "&amp;TEXT(FORMULACIÓN!N215,"##.###")&amp;CHAR(10)&amp;"Tn: "&amp;TEXT(FORMULACIÓN!O215,"##.###")))</f>
        <v xml:space="preserve">PDI: 
T1: 
T2: 
T3: 
Tn: </v>
      </c>
      <c r="J215" s="122" t="str">
        <f>IF(FORMULACIÓN!K215&lt;&gt;"",FORMULACIÓN!K215,"")</f>
        <v/>
      </c>
      <c r="K215" s="58"/>
      <c r="L215" s="58"/>
      <c r="M215" s="58"/>
      <c r="N215" s="58"/>
      <c r="O215" s="47" t="str">
        <f ca="1">IFERROR(IF($H215=Lists!$S$2,SUM('SEGUIMIENTO Y EVALUACIÓN'!J215:N215),IF('SEGUIMIENTO Y EVALUACIÓN'!$H215=Lists!$S$3,SUM('SEGUIMIENTO Y EVALUACIÓN'!K215:N215),IF('SEGUIMIENTO Y EVALUACIÓN'!$H215=Lists!$S$4,AVERAGE('SEGUIMIENTO Y EVALUACIÓN'!K215:N215),IF('SEGUIMIENTO Y EVALUACIÓN'!$H215=Lists!$S$5,OFFSET(J215,0,COUNTA(K215:N215)),IF($H215=Lists!$S$6,COUNTIF(K215:N215,"&lt;"&amp;FORMULACIÓN!Q215)/COUNT('SEGUIMIENTO Y EVALUACIÓN'!K215:N215),""))))),"")</f>
        <v/>
      </c>
      <c r="P215" s="51" t="str">
        <f ca="1">IF($G215=Lists!$R$3,TEXT('SEGUIMIENTO Y EVALUACIÓN'!O215,"00,00%"),IF('SEGUIMIENTO Y EVALUACIÓN'!O215=0,0,TEXT('SEGUIMIENTO Y EVALUACIÓN'!O215,"##.###")))</f>
        <v/>
      </c>
      <c r="Q215" s="209" t="str">
        <f>IF(FORMULACIÓN!R215&lt;&gt;"",FORMULACIÓN!R215,"")</f>
        <v/>
      </c>
      <c r="R215" s="209" t="str">
        <f>IF(FORMULACIÓN!S215&lt;&gt;"",FORMULACIÓN!S215,"")</f>
        <v/>
      </c>
      <c r="S215" s="209" t="str">
        <f>IF(FORMULACIÓN!T215&lt;&gt;"",FORMULACIÓN!T215,"")</f>
        <v/>
      </c>
      <c r="T215" s="42"/>
      <c r="U215" s="42"/>
      <c r="V215" s="42"/>
      <c r="W215" s="43" t="str">
        <f t="shared" si="27"/>
        <v/>
      </c>
      <c r="X215" s="42"/>
      <c r="Y215" s="42"/>
      <c r="Z215" s="42"/>
      <c r="AA215" s="43" t="str">
        <f t="shared" si="28"/>
        <v/>
      </c>
      <c r="AB215" s="42"/>
      <c r="AC215" s="42"/>
      <c r="AD215" s="42"/>
      <c r="AE215" s="43" t="str">
        <f t="shared" si="29"/>
        <v/>
      </c>
      <c r="AF215" s="42"/>
      <c r="AG215" s="42"/>
      <c r="AH215" s="42"/>
      <c r="AI215" s="46" t="str">
        <f t="shared" si="30"/>
        <v/>
      </c>
      <c r="AJ215" s="46" t="str">
        <f>IF(SUM(AA215,AE215,W215,AI215)=0,"",SUM((AA215,AE215,W215,AI215)))</f>
        <v/>
      </c>
      <c r="AK215" s="2"/>
      <c r="AL215" s="1" t="str">
        <f t="shared" si="31"/>
        <v/>
      </c>
      <c r="AM215" s="56" t="str">
        <f t="shared" si="33"/>
        <v/>
      </c>
      <c r="AN215" s="112" t="str">
        <f ca="1">IF($G215=Lists!$R$3,"T1: "&amp;TEXT(FORMULACIÓN!L215,"00,00%")&amp;CHAR(10)&amp;"T2: "&amp;TEXT(FORMULACIÓN!M215,"00,00%")&amp;CHAR(10)&amp;"T3: "&amp;TEXT(FORMULACIÓN!N215,"00,00%")&amp;CHAR(10)&amp;"Tn: "&amp;TEXT(FORMULACIÓN!O215,"00,00%"),IF(FORMULACIÓN!Q215=0,0,"T1: "&amp;TEXT(FORMULACIÓN!L215,"##.###")&amp;CHAR(10)&amp;"T2: "&amp;TEXT(FORMULACIÓN!M215,"##.###")&amp;CHAR(10)&amp;"T3: "&amp;TEXT(FORMULACIÓN!N215,"##.###")&amp;CHAR(10)&amp;"Tn: "&amp;TEXT(FORMULACIÓN!O215,"##.###")))</f>
        <v xml:space="preserve">T1: 
T2: 
T3: 
Tn: </v>
      </c>
      <c r="AO215" s="117" t="str">
        <f>IFERROR(IF($H215=Lists!$S$6,IF(AND(FORMULACIÓN!L215&gt;K215,K215&gt;0),1,0),IF((K215/FORMULACIÓN!L215)&lt;&gt;0,K215/FORMULACIÓN!L215,0)),"")</f>
        <v/>
      </c>
      <c r="AP215" s="117" t="str">
        <f>IFERROR(IF($H215=Lists!$S$6,IF(AND(FORMULACIÓN!M215&gt;L215,L215&gt;0),1,0),IF((L215/FORMULACIÓN!M215)&lt;&gt;0,L215/FORMULACIÓN!M215,0)),"")</f>
        <v/>
      </c>
      <c r="AQ215" s="117" t="str">
        <f>IFERROR(IF($H215=Lists!$S$6,IF(AND(FORMULACIÓN!N215&gt;M215,M215&gt;0),1,0),IF((M215/FORMULACIÓN!N215)&lt;&gt;0,M215/FORMULACIÓN!N215,0)),"")</f>
        <v/>
      </c>
      <c r="AR215" s="117" t="str">
        <f>IFERROR(IF($H215=Lists!$S$6,IF(AND(FORMULACIÓN!O215&gt;N215,N215&gt;0),1,0),IF((N215/FORMULACIÓN!O215)&lt;&gt;0,N215/FORMULACIÓN!O215,0)),"")</f>
        <v/>
      </c>
      <c r="AS215" s="110"/>
      <c r="AT215" s="118" t="str">
        <f ca="1">IF($H215=Lists!$S$6,TEXT(COUNTIF('SEGUIMIENTO Y EVALUACIÓN'!K215:N215,"&lt;"&amp;FORMULACIÓN!Q215),"##.###")&amp;" / "&amp;TEXT(COUNTIF('SEGUIMIENTO Y EVALUACIÓN'!K215:N215,"&gt;"&amp;0),"##.###"),IF($G215=Lists!$R$3,TEXT('SEGUIMIENTO Y EVALUACIÓN'!O215,"00,00%")&amp;" / "&amp;TEXT(FORMULACIÓN!P215,"00,00%"),IF('SEGUIMIENTO Y EVALUACIÓN'!O215=0,0,TEXT('SEGUIMIENTO Y EVALUACIÓN'!O215,"##.###")&amp;" / "&amp;TEXT(FORMULACIÓN!P215,"##.###"))))</f>
        <v xml:space="preserve"> / </v>
      </c>
      <c r="AU215" s="57">
        <f ca="1">IFERROR(IF((P215/FORMULACIÓN!Q215)&lt;&gt;0,IF($H215=Lists!$S$6,COUNTIF('SEGUIMIENTO Y EVALUACIÓN'!K215:N215,"&lt;"&amp;FORMULACIÓN!Q215),'SEGUIMIENTO Y EVALUACIÓN'!P215)/IF($H215=Lists!$S$6,COUNTIF('SEGUIMIENTO Y EVALUACIÓN'!K215:N215,"&gt;"&amp;0),FORMULACIÓN!P215),0),0)</f>
        <v>0</v>
      </c>
      <c r="AV215" s="93" t="str">
        <f t="shared" ca="1" si="32"/>
        <v/>
      </c>
      <c r="AW215" s="93" cm="1">
        <f t="array" ref="AW215">IF(INDEX(AO215:AU215,1,$AV$3)&gt;1,1,INDEX(AO215:AU215,1,$AV$3))</f>
        <v>1</v>
      </c>
      <c r="AX215" s="3"/>
      <c r="AY215" s="119" t="str">
        <f>IFERROR(IF((W215/FORMULACIÓN!X215)&lt;&gt;0,W215/FORMULACIÓN!X215,0),"")</f>
        <v/>
      </c>
      <c r="AZ215" s="119" t="str">
        <f>IFERROR(IF((AA215/FORMULACIÓN!AB215)&lt;&gt;0,AA215/FORMULACIÓN!AB215,0),"")</f>
        <v/>
      </c>
      <c r="BA215" s="119" t="str">
        <f>IFERROR(IF((AE215/FORMULACIÓN!AF215)&lt;&gt;0,(AE215/FORMULACIÓN!AF215),0),"")</f>
        <v/>
      </c>
      <c r="BB215" s="119" t="str">
        <f>IFERROR(IF((AI215/FORMULACIÓN!AJ215)&lt;&gt;0,AI215/FORMULACIÓN!AJ215,0),"")</f>
        <v/>
      </c>
      <c r="BC215" s="120" t="str">
        <f>IF('SEGUIMIENTO Y EVALUACIÓN'!AI215=0,0,TEXT('SEGUIMIENTO Y EVALUACIÓN'!AI215,"$ ##.###")&amp;" / "&amp;TEXT(FORMULACIÓN!AK215,"$ ##.###"))</f>
        <v xml:space="preserve"> / </v>
      </c>
      <c r="BD215" s="57">
        <f>IFERROR(IF((AJ215/FORMULACIÓN!AK215)&lt;&gt;0,AJ215/FORMULACIÓN!AK215,0),0)</f>
        <v>0</v>
      </c>
      <c r="CL215" s="7"/>
    </row>
    <row r="216" spans="1:90" s="1" customFormat="1" ht="99.95" customHeight="1">
      <c r="A216" s="45" t="str">
        <f>IF(FORMULACIÓN!A216="","",FORMULACIÓN!A216)</f>
        <v/>
      </c>
      <c r="B216" s="45" t="str">
        <f>IF(FORMULACIÓN!B216="","",FORMULACIÓN!B216)</f>
        <v/>
      </c>
      <c r="C216" s="45" t="str">
        <f>IF(FORMULACIÓN!E216="","",FORMULACIÓN!E216)</f>
        <v/>
      </c>
      <c r="D216" s="45" t="str">
        <f>IF(FORMULACIÓN!F216="","",FORMULACIÓN!F216)</f>
        <v/>
      </c>
      <c r="E216" s="45" t="str">
        <f>IF(FORMULACIÓN!G216="","",FORMULACIÓN!G216)</f>
        <v/>
      </c>
      <c r="F216" s="45" t="str">
        <f>IF(FORMULACIÓN!H216="","",FORMULACIÓN!H216)</f>
        <v/>
      </c>
      <c r="G216" s="45" t="str">
        <f>IF(FORMULACIÓN!I216="","",FORMULACIÓN!I216)</f>
        <v/>
      </c>
      <c r="H216" s="45" t="str">
        <f>IF(FORMULACIÓN!J216="","",FORMULACIÓN!J216)</f>
        <v/>
      </c>
      <c r="I216" s="188" t="str">
        <f ca="1">IF($G216=Lists!$R$3,"PDI: "&amp;TEXT(FORMULACIÓN!Q216,"00,00%")&amp;CHAR(10)&amp;CHAR(10)&amp;"T1: "&amp;TEXT(FORMULACIÓN!L216,"00,00%")&amp;CHAR(10)&amp;"T2: "&amp;TEXT(FORMULACIÓN!M216,"00,00%")&amp;CHAR(10)&amp;"T3: "&amp;TEXT(FORMULACIÓN!N216,"00,00%")&amp;CHAR(10)&amp;"Tn: "&amp;TEXT(FORMULACIÓN!O216,"00,00%"),IF(FORMULACIÓN!Q216=0,0,"PDI: "&amp;TEXT(FORMULACIÓN!Q216,"##.###")&amp;CHAR(10)&amp;CHAR(10)&amp;"T1: "&amp;TEXT(FORMULACIÓN!L216,"##.###")&amp;CHAR(10)&amp;"T2: "&amp;TEXT(FORMULACIÓN!M216,"##.###")&amp;CHAR(10)&amp;"T3: "&amp;TEXT(FORMULACIÓN!N216,"##.###")&amp;CHAR(10)&amp;"Tn: "&amp;TEXT(FORMULACIÓN!O216,"##.###")))</f>
        <v xml:space="preserve">PDI: 
T1: 
T2: 
T3: 
Tn: </v>
      </c>
      <c r="J216" s="122" t="str">
        <f>IF(FORMULACIÓN!K216&lt;&gt;"",FORMULACIÓN!K216,"")</f>
        <v/>
      </c>
      <c r="K216" s="58"/>
      <c r="L216" s="58"/>
      <c r="M216" s="58"/>
      <c r="N216" s="58"/>
      <c r="O216" s="47" t="str">
        <f ca="1">IFERROR(IF($H216=Lists!$S$2,SUM('SEGUIMIENTO Y EVALUACIÓN'!J216:N216),IF('SEGUIMIENTO Y EVALUACIÓN'!$H216=Lists!$S$3,SUM('SEGUIMIENTO Y EVALUACIÓN'!K216:N216),IF('SEGUIMIENTO Y EVALUACIÓN'!$H216=Lists!$S$4,AVERAGE('SEGUIMIENTO Y EVALUACIÓN'!K216:N216),IF('SEGUIMIENTO Y EVALUACIÓN'!$H216=Lists!$S$5,OFFSET(J216,0,COUNTA(K216:N216)),IF($H216=Lists!$S$6,COUNTIF(K216:N216,"&lt;"&amp;FORMULACIÓN!Q216)/COUNT('SEGUIMIENTO Y EVALUACIÓN'!K216:N216),""))))),"")</f>
        <v/>
      </c>
      <c r="P216" s="51" t="str">
        <f ca="1">IF($G216=Lists!$R$3,TEXT('SEGUIMIENTO Y EVALUACIÓN'!O216,"00,00%"),IF('SEGUIMIENTO Y EVALUACIÓN'!O216=0,0,TEXT('SEGUIMIENTO Y EVALUACIÓN'!O216,"##.###")))</f>
        <v/>
      </c>
      <c r="Q216" s="209" t="str">
        <f>IF(FORMULACIÓN!R216&lt;&gt;"",FORMULACIÓN!R216,"")</f>
        <v/>
      </c>
      <c r="R216" s="209" t="str">
        <f>IF(FORMULACIÓN!S216&lt;&gt;"",FORMULACIÓN!S216,"")</f>
        <v/>
      </c>
      <c r="S216" s="209" t="str">
        <f>IF(FORMULACIÓN!T216&lt;&gt;"",FORMULACIÓN!T216,"")</f>
        <v/>
      </c>
      <c r="T216" s="42"/>
      <c r="U216" s="42"/>
      <c r="V216" s="42"/>
      <c r="W216" s="43" t="str">
        <f t="shared" si="27"/>
        <v/>
      </c>
      <c r="X216" s="42"/>
      <c r="Y216" s="42"/>
      <c r="Z216" s="42"/>
      <c r="AA216" s="43" t="str">
        <f t="shared" si="28"/>
        <v/>
      </c>
      <c r="AB216" s="42"/>
      <c r="AC216" s="42"/>
      <c r="AD216" s="42"/>
      <c r="AE216" s="43" t="str">
        <f t="shared" si="29"/>
        <v/>
      </c>
      <c r="AF216" s="42"/>
      <c r="AG216" s="42"/>
      <c r="AH216" s="42"/>
      <c r="AI216" s="46" t="str">
        <f t="shared" si="30"/>
        <v/>
      </c>
      <c r="AJ216" s="46" t="str">
        <f>IF(SUM(AA216,AE216,W216,AI216)=0,"",SUM((AA216,AE216,W216,AI216)))</f>
        <v/>
      </c>
      <c r="AK216" s="2"/>
      <c r="AL216" s="1" t="str">
        <f t="shared" si="31"/>
        <v/>
      </c>
      <c r="AM216" s="56" t="str">
        <f t="shared" si="33"/>
        <v/>
      </c>
      <c r="AN216" s="112" t="str">
        <f ca="1">IF($G216=Lists!$R$3,"T1: "&amp;TEXT(FORMULACIÓN!L216,"00,00%")&amp;CHAR(10)&amp;"T2: "&amp;TEXT(FORMULACIÓN!M216,"00,00%")&amp;CHAR(10)&amp;"T3: "&amp;TEXT(FORMULACIÓN!N216,"00,00%")&amp;CHAR(10)&amp;"Tn: "&amp;TEXT(FORMULACIÓN!O216,"00,00%"),IF(FORMULACIÓN!Q216=0,0,"T1: "&amp;TEXT(FORMULACIÓN!L216,"##.###")&amp;CHAR(10)&amp;"T2: "&amp;TEXT(FORMULACIÓN!M216,"##.###")&amp;CHAR(10)&amp;"T3: "&amp;TEXT(FORMULACIÓN!N216,"##.###")&amp;CHAR(10)&amp;"Tn: "&amp;TEXT(FORMULACIÓN!O216,"##.###")))</f>
        <v xml:space="preserve">T1: 
T2: 
T3: 
Tn: </v>
      </c>
      <c r="AO216" s="117" t="str">
        <f>IFERROR(IF($H216=Lists!$S$6,IF(AND(FORMULACIÓN!L216&gt;K216,K216&gt;0),1,0),IF((K216/FORMULACIÓN!L216)&lt;&gt;0,K216/FORMULACIÓN!L216,0)),"")</f>
        <v/>
      </c>
      <c r="AP216" s="117" t="str">
        <f>IFERROR(IF($H216=Lists!$S$6,IF(AND(FORMULACIÓN!M216&gt;L216,L216&gt;0),1,0),IF((L216/FORMULACIÓN!M216)&lt;&gt;0,L216/FORMULACIÓN!M216,0)),"")</f>
        <v/>
      </c>
      <c r="AQ216" s="117" t="str">
        <f>IFERROR(IF($H216=Lists!$S$6,IF(AND(FORMULACIÓN!N216&gt;M216,M216&gt;0),1,0),IF((M216/FORMULACIÓN!N216)&lt;&gt;0,M216/FORMULACIÓN!N216,0)),"")</f>
        <v/>
      </c>
      <c r="AR216" s="117" t="str">
        <f>IFERROR(IF($H216=Lists!$S$6,IF(AND(FORMULACIÓN!O216&gt;N216,N216&gt;0),1,0),IF((N216/FORMULACIÓN!O216)&lt;&gt;0,N216/FORMULACIÓN!O216,0)),"")</f>
        <v/>
      </c>
      <c r="AS216" s="110"/>
      <c r="AT216" s="118" t="str">
        <f ca="1">IF($H216=Lists!$S$6,TEXT(COUNTIF('SEGUIMIENTO Y EVALUACIÓN'!K216:N216,"&lt;"&amp;FORMULACIÓN!Q216),"##.###")&amp;" / "&amp;TEXT(COUNTIF('SEGUIMIENTO Y EVALUACIÓN'!K216:N216,"&gt;"&amp;0),"##.###"),IF($G216=Lists!$R$3,TEXT('SEGUIMIENTO Y EVALUACIÓN'!O216,"00,00%")&amp;" / "&amp;TEXT(FORMULACIÓN!P216,"00,00%"),IF('SEGUIMIENTO Y EVALUACIÓN'!O216=0,0,TEXT('SEGUIMIENTO Y EVALUACIÓN'!O216,"##.###")&amp;" / "&amp;TEXT(FORMULACIÓN!P216,"##.###"))))</f>
        <v xml:space="preserve"> / </v>
      </c>
      <c r="AU216" s="57">
        <f ca="1">IFERROR(IF((P216/FORMULACIÓN!Q216)&lt;&gt;0,IF($H216=Lists!$S$6,COUNTIF('SEGUIMIENTO Y EVALUACIÓN'!K216:N216,"&lt;"&amp;FORMULACIÓN!Q216),'SEGUIMIENTO Y EVALUACIÓN'!P216)/IF($H216=Lists!$S$6,COUNTIF('SEGUIMIENTO Y EVALUACIÓN'!K216:N216,"&gt;"&amp;0),FORMULACIÓN!P216),0),0)</f>
        <v>0</v>
      </c>
      <c r="AV216" s="93" t="str">
        <f t="shared" ca="1" si="32"/>
        <v/>
      </c>
      <c r="AW216" s="93" cm="1">
        <f t="array" ref="AW216">IF(INDEX(AO216:AU216,1,$AV$3)&gt;1,1,INDEX(AO216:AU216,1,$AV$3))</f>
        <v>1</v>
      </c>
      <c r="AX216" s="3"/>
      <c r="AY216" s="119" t="str">
        <f>IFERROR(IF((W216/FORMULACIÓN!X216)&lt;&gt;0,W216/FORMULACIÓN!X216,0),"")</f>
        <v/>
      </c>
      <c r="AZ216" s="119" t="str">
        <f>IFERROR(IF((AA216/FORMULACIÓN!AB216)&lt;&gt;0,AA216/FORMULACIÓN!AB216,0),"")</f>
        <v/>
      </c>
      <c r="BA216" s="119" t="str">
        <f>IFERROR(IF((AE216/FORMULACIÓN!AF216)&lt;&gt;0,(AE216/FORMULACIÓN!AF216),0),"")</f>
        <v/>
      </c>
      <c r="BB216" s="119" t="str">
        <f>IFERROR(IF((AI216/FORMULACIÓN!AJ216)&lt;&gt;0,AI216/FORMULACIÓN!AJ216,0),"")</f>
        <v/>
      </c>
      <c r="BC216" s="120" t="str">
        <f>IF('SEGUIMIENTO Y EVALUACIÓN'!AI216=0,0,TEXT('SEGUIMIENTO Y EVALUACIÓN'!AI216,"$ ##.###")&amp;" / "&amp;TEXT(FORMULACIÓN!AK216,"$ ##.###"))</f>
        <v xml:space="preserve"> / </v>
      </c>
      <c r="BD216" s="57">
        <f>IFERROR(IF((AJ216/FORMULACIÓN!AK216)&lt;&gt;0,AJ216/FORMULACIÓN!AK216,0),0)</f>
        <v>0</v>
      </c>
      <c r="CL216" s="7"/>
    </row>
    <row r="217" spans="1:90" s="1" customFormat="1" ht="99.95" customHeight="1">
      <c r="A217" s="45" t="str">
        <f>IF(FORMULACIÓN!A217="","",FORMULACIÓN!A217)</f>
        <v/>
      </c>
      <c r="B217" s="45" t="str">
        <f>IF(FORMULACIÓN!B217="","",FORMULACIÓN!B217)</f>
        <v/>
      </c>
      <c r="C217" s="45" t="str">
        <f>IF(FORMULACIÓN!E217="","",FORMULACIÓN!E217)</f>
        <v/>
      </c>
      <c r="D217" s="45" t="str">
        <f>IF(FORMULACIÓN!F217="","",FORMULACIÓN!F217)</f>
        <v/>
      </c>
      <c r="E217" s="45" t="str">
        <f>IF(FORMULACIÓN!G217="","",FORMULACIÓN!G217)</f>
        <v/>
      </c>
      <c r="F217" s="45" t="str">
        <f>IF(FORMULACIÓN!H217="","",FORMULACIÓN!H217)</f>
        <v/>
      </c>
      <c r="G217" s="45" t="str">
        <f>IF(FORMULACIÓN!I217="","",FORMULACIÓN!I217)</f>
        <v/>
      </c>
      <c r="H217" s="45" t="str">
        <f>IF(FORMULACIÓN!J217="","",FORMULACIÓN!J217)</f>
        <v/>
      </c>
      <c r="I217" s="188" t="str">
        <f ca="1">IF($G217=Lists!$R$3,"PDI: "&amp;TEXT(FORMULACIÓN!Q217,"00,00%")&amp;CHAR(10)&amp;CHAR(10)&amp;"T1: "&amp;TEXT(FORMULACIÓN!L217,"00,00%")&amp;CHAR(10)&amp;"T2: "&amp;TEXT(FORMULACIÓN!M217,"00,00%")&amp;CHAR(10)&amp;"T3: "&amp;TEXT(FORMULACIÓN!N217,"00,00%")&amp;CHAR(10)&amp;"Tn: "&amp;TEXT(FORMULACIÓN!O217,"00,00%"),IF(FORMULACIÓN!Q217=0,0,"PDI: "&amp;TEXT(FORMULACIÓN!Q217,"##.###")&amp;CHAR(10)&amp;CHAR(10)&amp;"T1: "&amp;TEXT(FORMULACIÓN!L217,"##.###")&amp;CHAR(10)&amp;"T2: "&amp;TEXT(FORMULACIÓN!M217,"##.###")&amp;CHAR(10)&amp;"T3: "&amp;TEXT(FORMULACIÓN!N217,"##.###")&amp;CHAR(10)&amp;"Tn: "&amp;TEXT(FORMULACIÓN!O217,"##.###")))</f>
        <v xml:space="preserve">PDI: 
T1: 
T2: 
T3: 
Tn: </v>
      </c>
      <c r="J217" s="122" t="str">
        <f>IF(FORMULACIÓN!K217&lt;&gt;"",FORMULACIÓN!K217,"")</f>
        <v/>
      </c>
      <c r="K217" s="58"/>
      <c r="L217" s="58"/>
      <c r="M217" s="58"/>
      <c r="N217" s="58"/>
      <c r="O217" s="47" t="str">
        <f ca="1">IFERROR(IF($H217=Lists!$S$2,SUM('SEGUIMIENTO Y EVALUACIÓN'!J217:N217),IF('SEGUIMIENTO Y EVALUACIÓN'!$H217=Lists!$S$3,SUM('SEGUIMIENTO Y EVALUACIÓN'!K217:N217),IF('SEGUIMIENTO Y EVALUACIÓN'!$H217=Lists!$S$4,AVERAGE('SEGUIMIENTO Y EVALUACIÓN'!K217:N217),IF('SEGUIMIENTO Y EVALUACIÓN'!$H217=Lists!$S$5,OFFSET(J217,0,COUNTA(K217:N217)),IF($H217=Lists!$S$6,COUNTIF(K217:N217,"&lt;"&amp;FORMULACIÓN!Q217)/COUNT('SEGUIMIENTO Y EVALUACIÓN'!K217:N217),""))))),"")</f>
        <v/>
      </c>
      <c r="P217" s="51" t="str">
        <f ca="1">IF($G217=Lists!$R$3,TEXT('SEGUIMIENTO Y EVALUACIÓN'!O217,"00,00%"),IF('SEGUIMIENTO Y EVALUACIÓN'!O217=0,0,TEXT('SEGUIMIENTO Y EVALUACIÓN'!O217,"##.###")))</f>
        <v/>
      </c>
      <c r="Q217" s="209" t="str">
        <f>IF(FORMULACIÓN!R217&lt;&gt;"",FORMULACIÓN!R217,"")</f>
        <v/>
      </c>
      <c r="R217" s="209" t="str">
        <f>IF(FORMULACIÓN!S217&lt;&gt;"",FORMULACIÓN!S217,"")</f>
        <v/>
      </c>
      <c r="S217" s="209" t="str">
        <f>IF(FORMULACIÓN!T217&lt;&gt;"",FORMULACIÓN!T217,"")</f>
        <v/>
      </c>
      <c r="T217" s="42"/>
      <c r="U217" s="42"/>
      <c r="V217" s="42"/>
      <c r="W217" s="43" t="str">
        <f t="shared" si="27"/>
        <v/>
      </c>
      <c r="X217" s="42"/>
      <c r="Y217" s="42"/>
      <c r="Z217" s="42"/>
      <c r="AA217" s="43" t="str">
        <f t="shared" si="28"/>
        <v/>
      </c>
      <c r="AB217" s="42"/>
      <c r="AC217" s="42"/>
      <c r="AD217" s="42"/>
      <c r="AE217" s="43" t="str">
        <f t="shared" si="29"/>
        <v/>
      </c>
      <c r="AF217" s="42"/>
      <c r="AG217" s="42"/>
      <c r="AH217" s="42"/>
      <c r="AI217" s="46" t="str">
        <f t="shared" si="30"/>
        <v/>
      </c>
      <c r="AJ217" s="46" t="str">
        <f>IF(SUM(AA217,AE217,W217,AI217)=0,"",SUM((AA217,AE217,W217,AI217)))</f>
        <v/>
      </c>
      <c r="AK217" s="2"/>
      <c r="AL217" s="1" t="str">
        <f t="shared" si="31"/>
        <v/>
      </c>
      <c r="AM217" s="56" t="str">
        <f t="shared" si="33"/>
        <v/>
      </c>
      <c r="AN217" s="112" t="str">
        <f ca="1">IF($G217=Lists!$R$3,"T1: "&amp;TEXT(FORMULACIÓN!L217,"00,00%")&amp;CHAR(10)&amp;"T2: "&amp;TEXT(FORMULACIÓN!M217,"00,00%")&amp;CHAR(10)&amp;"T3: "&amp;TEXT(FORMULACIÓN!N217,"00,00%")&amp;CHAR(10)&amp;"Tn: "&amp;TEXT(FORMULACIÓN!O217,"00,00%"),IF(FORMULACIÓN!Q217=0,0,"T1: "&amp;TEXT(FORMULACIÓN!L217,"##.###")&amp;CHAR(10)&amp;"T2: "&amp;TEXT(FORMULACIÓN!M217,"##.###")&amp;CHAR(10)&amp;"T3: "&amp;TEXT(FORMULACIÓN!N217,"##.###")&amp;CHAR(10)&amp;"Tn: "&amp;TEXT(FORMULACIÓN!O217,"##.###")))</f>
        <v xml:space="preserve">T1: 
T2: 
T3: 
Tn: </v>
      </c>
      <c r="AO217" s="117" t="str">
        <f>IFERROR(IF($H217=Lists!$S$6,IF(AND(FORMULACIÓN!L217&gt;K217,K217&gt;0),1,0),IF((K217/FORMULACIÓN!L217)&lt;&gt;0,K217/FORMULACIÓN!L217,0)),"")</f>
        <v/>
      </c>
      <c r="AP217" s="117" t="str">
        <f>IFERROR(IF($H217=Lists!$S$6,IF(AND(FORMULACIÓN!M217&gt;L217,L217&gt;0),1,0),IF((L217/FORMULACIÓN!M217)&lt;&gt;0,L217/FORMULACIÓN!M217,0)),"")</f>
        <v/>
      </c>
      <c r="AQ217" s="117" t="str">
        <f>IFERROR(IF($H217=Lists!$S$6,IF(AND(FORMULACIÓN!N217&gt;M217,M217&gt;0),1,0),IF((M217/FORMULACIÓN!N217)&lt;&gt;0,M217/FORMULACIÓN!N217,0)),"")</f>
        <v/>
      </c>
      <c r="AR217" s="117" t="str">
        <f>IFERROR(IF($H217=Lists!$S$6,IF(AND(FORMULACIÓN!O217&gt;N217,N217&gt;0),1,0),IF((N217/FORMULACIÓN!O217)&lt;&gt;0,N217/FORMULACIÓN!O217,0)),"")</f>
        <v/>
      </c>
      <c r="AS217" s="110"/>
      <c r="AT217" s="118" t="str">
        <f ca="1">IF($H217=Lists!$S$6,TEXT(COUNTIF('SEGUIMIENTO Y EVALUACIÓN'!K217:N217,"&lt;"&amp;FORMULACIÓN!Q217),"##.###")&amp;" / "&amp;TEXT(COUNTIF('SEGUIMIENTO Y EVALUACIÓN'!K217:N217,"&gt;"&amp;0),"##.###"),IF($G217=Lists!$R$3,TEXT('SEGUIMIENTO Y EVALUACIÓN'!O217,"00,00%")&amp;" / "&amp;TEXT(FORMULACIÓN!P217,"00,00%"),IF('SEGUIMIENTO Y EVALUACIÓN'!O217=0,0,TEXT('SEGUIMIENTO Y EVALUACIÓN'!O217,"##.###")&amp;" / "&amp;TEXT(FORMULACIÓN!P217,"##.###"))))</f>
        <v xml:space="preserve"> / </v>
      </c>
      <c r="AU217" s="57">
        <f ca="1">IFERROR(IF((P217/FORMULACIÓN!Q217)&lt;&gt;0,IF($H217=Lists!$S$6,COUNTIF('SEGUIMIENTO Y EVALUACIÓN'!K217:N217,"&lt;"&amp;FORMULACIÓN!Q217),'SEGUIMIENTO Y EVALUACIÓN'!P217)/IF($H217=Lists!$S$6,COUNTIF('SEGUIMIENTO Y EVALUACIÓN'!K217:N217,"&gt;"&amp;0),FORMULACIÓN!P217),0),0)</f>
        <v>0</v>
      </c>
      <c r="AV217" s="93" t="str">
        <f t="shared" ca="1" si="32"/>
        <v/>
      </c>
      <c r="AW217" s="93" cm="1">
        <f t="array" ref="AW217">IF(INDEX(AO217:AU217,1,$AV$3)&gt;1,1,INDEX(AO217:AU217,1,$AV$3))</f>
        <v>1</v>
      </c>
      <c r="AX217" s="3"/>
      <c r="AY217" s="119" t="str">
        <f>IFERROR(IF((W217/FORMULACIÓN!X217)&lt;&gt;0,W217/FORMULACIÓN!X217,0),"")</f>
        <v/>
      </c>
      <c r="AZ217" s="119" t="str">
        <f>IFERROR(IF((AA217/FORMULACIÓN!AB217)&lt;&gt;0,AA217/FORMULACIÓN!AB217,0),"")</f>
        <v/>
      </c>
      <c r="BA217" s="119" t="str">
        <f>IFERROR(IF((AE217/FORMULACIÓN!AF217)&lt;&gt;0,(AE217/FORMULACIÓN!AF217),0),"")</f>
        <v/>
      </c>
      <c r="BB217" s="119" t="str">
        <f>IFERROR(IF((AI217/FORMULACIÓN!AJ217)&lt;&gt;0,AI217/FORMULACIÓN!AJ217,0),"")</f>
        <v/>
      </c>
      <c r="BC217" s="120" t="str">
        <f>IF('SEGUIMIENTO Y EVALUACIÓN'!AI217=0,0,TEXT('SEGUIMIENTO Y EVALUACIÓN'!AI217,"$ ##.###")&amp;" / "&amp;TEXT(FORMULACIÓN!AK217,"$ ##.###"))</f>
        <v xml:space="preserve"> / </v>
      </c>
      <c r="BD217" s="57">
        <f>IFERROR(IF((AJ217/FORMULACIÓN!AK217)&lt;&gt;0,AJ217/FORMULACIÓN!AK217,0),0)</f>
        <v>0</v>
      </c>
      <c r="CL217" s="7"/>
    </row>
    <row r="218" spans="1:90" s="1" customFormat="1" ht="99.95" customHeight="1">
      <c r="A218" s="45" t="str">
        <f>IF(FORMULACIÓN!A218="","",FORMULACIÓN!A218)</f>
        <v/>
      </c>
      <c r="B218" s="45" t="str">
        <f>IF(FORMULACIÓN!B218="","",FORMULACIÓN!B218)</f>
        <v/>
      </c>
      <c r="C218" s="45" t="str">
        <f>IF(FORMULACIÓN!E218="","",FORMULACIÓN!E218)</f>
        <v/>
      </c>
      <c r="D218" s="45" t="str">
        <f>IF(FORMULACIÓN!F218="","",FORMULACIÓN!F218)</f>
        <v/>
      </c>
      <c r="E218" s="45" t="str">
        <f>IF(FORMULACIÓN!G218="","",FORMULACIÓN!G218)</f>
        <v/>
      </c>
      <c r="F218" s="45" t="str">
        <f>IF(FORMULACIÓN!H218="","",FORMULACIÓN!H218)</f>
        <v/>
      </c>
      <c r="G218" s="45" t="str">
        <f>IF(FORMULACIÓN!I218="","",FORMULACIÓN!I218)</f>
        <v/>
      </c>
      <c r="H218" s="45" t="str">
        <f>IF(FORMULACIÓN!J218="","",FORMULACIÓN!J218)</f>
        <v/>
      </c>
      <c r="I218" s="188" t="str">
        <f ca="1">IF($G218=Lists!$R$3,"PDI: "&amp;TEXT(FORMULACIÓN!Q218,"00,00%")&amp;CHAR(10)&amp;CHAR(10)&amp;"T1: "&amp;TEXT(FORMULACIÓN!L218,"00,00%")&amp;CHAR(10)&amp;"T2: "&amp;TEXT(FORMULACIÓN!M218,"00,00%")&amp;CHAR(10)&amp;"T3: "&amp;TEXT(FORMULACIÓN!N218,"00,00%")&amp;CHAR(10)&amp;"Tn: "&amp;TEXT(FORMULACIÓN!O218,"00,00%"),IF(FORMULACIÓN!Q218=0,0,"PDI: "&amp;TEXT(FORMULACIÓN!Q218,"##.###")&amp;CHAR(10)&amp;CHAR(10)&amp;"T1: "&amp;TEXT(FORMULACIÓN!L218,"##.###")&amp;CHAR(10)&amp;"T2: "&amp;TEXT(FORMULACIÓN!M218,"##.###")&amp;CHAR(10)&amp;"T3: "&amp;TEXT(FORMULACIÓN!N218,"##.###")&amp;CHAR(10)&amp;"Tn: "&amp;TEXT(FORMULACIÓN!O218,"##.###")))</f>
        <v xml:space="preserve">PDI: 
T1: 
T2: 
T3: 
Tn: </v>
      </c>
      <c r="J218" s="122" t="str">
        <f>IF(FORMULACIÓN!K218&lt;&gt;"",FORMULACIÓN!K218,"")</f>
        <v/>
      </c>
      <c r="K218" s="58"/>
      <c r="L218" s="58"/>
      <c r="M218" s="58"/>
      <c r="N218" s="58"/>
      <c r="O218" s="47" t="str">
        <f ca="1">IFERROR(IF($H218=Lists!$S$2,SUM('SEGUIMIENTO Y EVALUACIÓN'!J218:N218),IF('SEGUIMIENTO Y EVALUACIÓN'!$H218=Lists!$S$3,SUM('SEGUIMIENTO Y EVALUACIÓN'!K218:N218),IF('SEGUIMIENTO Y EVALUACIÓN'!$H218=Lists!$S$4,AVERAGE('SEGUIMIENTO Y EVALUACIÓN'!K218:N218),IF('SEGUIMIENTO Y EVALUACIÓN'!$H218=Lists!$S$5,OFFSET(J218,0,COUNTA(K218:N218)),IF($H218=Lists!$S$6,COUNTIF(K218:N218,"&lt;"&amp;FORMULACIÓN!Q218)/COUNT('SEGUIMIENTO Y EVALUACIÓN'!K218:N218),""))))),"")</f>
        <v/>
      </c>
      <c r="P218" s="51" t="str">
        <f ca="1">IF($G218=Lists!$R$3,TEXT('SEGUIMIENTO Y EVALUACIÓN'!O218,"00,00%"),IF('SEGUIMIENTO Y EVALUACIÓN'!O218=0,0,TEXT('SEGUIMIENTO Y EVALUACIÓN'!O218,"##.###")))</f>
        <v/>
      </c>
      <c r="Q218" s="209" t="str">
        <f>IF(FORMULACIÓN!R218&lt;&gt;"",FORMULACIÓN!R218,"")</f>
        <v/>
      </c>
      <c r="R218" s="209" t="str">
        <f>IF(FORMULACIÓN!S218&lt;&gt;"",FORMULACIÓN!S218,"")</f>
        <v/>
      </c>
      <c r="S218" s="209" t="str">
        <f>IF(FORMULACIÓN!T218&lt;&gt;"",FORMULACIÓN!T218,"")</f>
        <v/>
      </c>
      <c r="T218" s="42"/>
      <c r="U218" s="42"/>
      <c r="V218" s="42"/>
      <c r="W218" s="43" t="str">
        <f t="shared" si="27"/>
        <v/>
      </c>
      <c r="X218" s="42"/>
      <c r="Y218" s="42"/>
      <c r="Z218" s="42"/>
      <c r="AA218" s="43" t="str">
        <f t="shared" si="28"/>
        <v/>
      </c>
      <c r="AB218" s="42"/>
      <c r="AC218" s="42"/>
      <c r="AD218" s="42"/>
      <c r="AE218" s="43" t="str">
        <f t="shared" si="29"/>
        <v/>
      </c>
      <c r="AF218" s="42"/>
      <c r="AG218" s="42"/>
      <c r="AH218" s="42"/>
      <c r="AI218" s="46" t="str">
        <f t="shared" si="30"/>
        <v/>
      </c>
      <c r="AJ218" s="46" t="str">
        <f>IF(SUM(AA218,AE218,W218,AI218)=0,"",SUM((AA218,AE218,W218,AI218)))</f>
        <v/>
      </c>
      <c r="AK218" s="2"/>
      <c r="AL218" s="1" t="str">
        <f t="shared" si="31"/>
        <v/>
      </c>
      <c r="AM218" s="56" t="str">
        <f t="shared" si="33"/>
        <v/>
      </c>
      <c r="AN218" s="112" t="str">
        <f ca="1">IF($G218=Lists!$R$3,"T1: "&amp;TEXT(FORMULACIÓN!L218,"00,00%")&amp;CHAR(10)&amp;"T2: "&amp;TEXT(FORMULACIÓN!M218,"00,00%")&amp;CHAR(10)&amp;"T3: "&amp;TEXT(FORMULACIÓN!N218,"00,00%")&amp;CHAR(10)&amp;"Tn: "&amp;TEXT(FORMULACIÓN!O218,"00,00%"),IF(FORMULACIÓN!Q218=0,0,"T1: "&amp;TEXT(FORMULACIÓN!L218,"##.###")&amp;CHAR(10)&amp;"T2: "&amp;TEXT(FORMULACIÓN!M218,"##.###")&amp;CHAR(10)&amp;"T3: "&amp;TEXT(FORMULACIÓN!N218,"##.###")&amp;CHAR(10)&amp;"Tn: "&amp;TEXT(FORMULACIÓN!O218,"##.###")))</f>
        <v xml:space="preserve">T1: 
T2: 
T3: 
Tn: </v>
      </c>
      <c r="AO218" s="117" t="str">
        <f>IFERROR(IF($H218=Lists!$S$6,IF(AND(FORMULACIÓN!L218&gt;K218,K218&gt;0),1,0),IF((K218/FORMULACIÓN!L218)&lt;&gt;0,K218/FORMULACIÓN!L218,0)),"")</f>
        <v/>
      </c>
      <c r="AP218" s="117" t="str">
        <f>IFERROR(IF($H218=Lists!$S$6,IF(AND(FORMULACIÓN!M218&gt;L218,L218&gt;0),1,0),IF((L218/FORMULACIÓN!M218)&lt;&gt;0,L218/FORMULACIÓN!M218,0)),"")</f>
        <v/>
      </c>
      <c r="AQ218" s="117" t="str">
        <f>IFERROR(IF($H218=Lists!$S$6,IF(AND(FORMULACIÓN!N218&gt;M218,M218&gt;0),1,0),IF((M218/FORMULACIÓN!N218)&lt;&gt;0,M218/FORMULACIÓN!N218,0)),"")</f>
        <v/>
      </c>
      <c r="AR218" s="117" t="str">
        <f>IFERROR(IF($H218=Lists!$S$6,IF(AND(FORMULACIÓN!O218&gt;N218,N218&gt;0),1,0),IF((N218/FORMULACIÓN!O218)&lt;&gt;0,N218/FORMULACIÓN!O218,0)),"")</f>
        <v/>
      </c>
      <c r="AS218" s="110"/>
      <c r="AT218" s="118" t="str">
        <f ca="1">IF($H218=Lists!$S$6,TEXT(COUNTIF('SEGUIMIENTO Y EVALUACIÓN'!K218:N218,"&lt;"&amp;FORMULACIÓN!Q218),"##.###")&amp;" / "&amp;TEXT(COUNTIF('SEGUIMIENTO Y EVALUACIÓN'!K218:N218,"&gt;"&amp;0),"##.###"),IF($G218=Lists!$R$3,TEXT('SEGUIMIENTO Y EVALUACIÓN'!O218,"00,00%")&amp;" / "&amp;TEXT(FORMULACIÓN!P218,"00,00%"),IF('SEGUIMIENTO Y EVALUACIÓN'!O218=0,0,TEXT('SEGUIMIENTO Y EVALUACIÓN'!O218,"##.###")&amp;" / "&amp;TEXT(FORMULACIÓN!P218,"##.###"))))</f>
        <v xml:space="preserve"> / </v>
      </c>
      <c r="AU218" s="57">
        <f ca="1">IFERROR(IF((P218/FORMULACIÓN!Q218)&lt;&gt;0,IF($H218=Lists!$S$6,COUNTIF('SEGUIMIENTO Y EVALUACIÓN'!K218:N218,"&lt;"&amp;FORMULACIÓN!Q218),'SEGUIMIENTO Y EVALUACIÓN'!P218)/IF($H218=Lists!$S$6,COUNTIF('SEGUIMIENTO Y EVALUACIÓN'!K218:N218,"&gt;"&amp;0),FORMULACIÓN!P218),0),0)</f>
        <v>0</v>
      </c>
      <c r="AV218" s="93" t="str">
        <f t="shared" ca="1" si="32"/>
        <v/>
      </c>
      <c r="AW218" s="93" cm="1">
        <f t="array" ref="AW218">IF(INDEX(AO218:AU218,1,$AV$3)&gt;1,1,INDEX(AO218:AU218,1,$AV$3))</f>
        <v>1</v>
      </c>
      <c r="AX218" s="3"/>
      <c r="AY218" s="119" t="str">
        <f>IFERROR(IF((W218/FORMULACIÓN!X218)&lt;&gt;0,W218/FORMULACIÓN!X218,0),"")</f>
        <v/>
      </c>
      <c r="AZ218" s="119" t="str">
        <f>IFERROR(IF((AA218/FORMULACIÓN!AB218)&lt;&gt;0,AA218/FORMULACIÓN!AB218,0),"")</f>
        <v/>
      </c>
      <c r="BA218" s="119" t="str">
        <f>IFERROR(IF((AE218/FORMULACIÓN!AF218)&lt;&gt;0,(AE218/FORMULACIÓN!AF218),0),"")</f>
        <v/>
      </c>
      <c r="BB218" s="119" t="str">
        <f>IFERROR(IF((AI218/FORMULACIÓN!AJ218)&lt;&gt;0,AI218/FORMULACIÓN!AJ218,0),"")</f>
        <v/>
      </c>
      <c r="BC218" s="120" t="str">
        <f>IF('SEGUIMIENTO Y EVALUACIÓN'!AI218=0,0,TEXT('SEGUIMIENTO Y EVALUACIÓN'!AI218,"$ ##.###")&amp;" / "&amp;TEXT(FORMULACIÓN!AK218,"$ ##.###"))</f>
        <v xml:space="preserve"> / </v>
      </c>
      <c r="BD218" s="57">
        <f>IFERROR(IF((AJ218/FORMULACIÓN!AK218)&lt;&gt;0,AJ218/FORMULACIÓN!AK218,0),0)</f>
        <v>0</v>
      </c>
      <c r="CL218" s="7"/>
    </row>
    <row r="219" spans="1:90" s="1" customFormat="1" ht="99.95" customHeight="1">
      <c r="A219" s="45" t="str">
        <f>IF(FORMULACIÓN!A219="","",FORMULACIÓN!A219)</f>
        <v/>
      </c>
      <c r="B219" s="45" t="str">
        <f>IF(FORMULACIÓN!B219="","",FORMULACIÓN!B219)</f>
        <v/>
      </c>
      <c r="C219" s="45" t="str">
        <f>IF(FORMULACIÓN!E219="","",FORMULACIÓN!E219)</f>
        <v/>
      </c>
      <c r="D219" s="45" t="str">
        <f>IF(FORMULACIÓN!F219="","",FORMULACIÓN!F219)</f>
        <v/>
      </c>
      <c r="E219" s="45" t="str">
        <f>IF(FORMULACIÓN!G219="","",FORMULACIÓN!G219)</f>
        <v/>
      </c>
      <c r="F219" s="45" t="str">
        <f>IF(FORMULACIÓN!H219="","",FORMULACIÓN!H219)</f>
        <v/>
      </c>
      <c r="G219" s="45" t="str">
        <f>IF(FORMULACIÓN!I219="","",FORMULACIÓN!I219)</f>
        <v/>
      </c>
      <c r="H219" s="45" t="str">
        <f>IF(FORMULACIÓN!J219="","",FORMULACIÓN!J219)</f>
        <v/>
      </c>
      <c r="I219" s="188" t="str">
        <f ca="1">IF($G219=Lists!$R$3,"PDI: "&amp;TEXT(FORMULACIÓN!Q219,"00,00%")&amp;CHAR(10)&amp;CHAR(10)&amp;"T1: "&amp;TEXT(FORMULACIÓN!L219,"00,00%")&amp;CHAR(10)&amp;"T2: "&amp;TEXT(FORMULACIÓN!M219,"00,00%")&amp;CHAR(10)&amp;"T3: "&amp;TEXT(FORMULACIÓN!N219,"00,00%")&amp;CHAR(10)&amp;"Tn: "&amp;TEXT(FORMULACIÓN!O219,"00,00%"),IF(FORMULACIÓN!Q219=0,0,"PDI: "&amp;TEXT(FORMULACIÓN!Q219,"##.###")&amp;CHAR(10)&amp;CHAR(10)&amp;"T1: "&amp;TEXT(FORMULACIÓN!L219,"##.###")&amp;CHAR(10)&amp;"T2: "&amp;TEXT(FORMULACIÓN!M219,"##.###")&amp;CHAR(10)&amp;"T3: "&amp;TEXT(FORMULACIÓN!N219,"##.###")&amp;CHAR(10)&amp;"Tn: "&amp;TEXT(FORMULACIÓN!O219,"##.###")))</f>
        <v xml:space="preserve">PDI: 
T1: 
T2: 
T3: 
Tn: </v>
      </c>
      <c r="J219" s="122" t="str">
        <f>IF(FORMULACIÓN!K219&lt;&gt;"",FORMULACIÓN!K219,"")</f>
        <v/>
      </c>
      <c r="K219" s="58"/>
      <c r="L219" s="58"/>
      <c r="M219" s="58"/>
      <c r="N219" s="58"/>
      <c r="O219" s="47" t="str">
        <f ca="1">IFERROR(IF($H219=Lists!$S$2,SUM('SEGUIMIENTO Y EVALUACIÓN'!J219:N219),IF('SEGUIMIENTO Y EVALUACIÓN'!$H219=Lists!$S$3,SUM('SEGUIMIENTO Y EVALUACIÓN'!K219:N219),IF('SEGUIMIENTO Y EVALUACIÓN'!$H219=Lists!$S$4,AVERAGE('SEGUIMIENTO Y EVALUACIÓN'!K219:N219),IF('SEGUIMIENTO Y EVALUACIÓN'!$H219=Lists!$S$5,OFFSET(J219,0,COUNTA(K219:N219)),IF($H219=Lists!$S$6,COUNTIF(K219:N219,"&lt;"&amp;FORMULACIÓN!Q219)/COUNT('SEGUIMIENTO Y EVALUACIÓN'!K219:N219),""))))),"")</f>
        <v/>
      </c>
      <c r="P219" s="51" t="str">
        <f ca="1">IF($G219=Lists!$R$3,TEXT('SEGUIMIENTO Y EVALUACIÓN'!O219,"00,00%"),IF('SEGUIMIENTO Y EVALUACIÓN'!O219=0,0,TEXT('SEGUIMIENTO Y EVALUACIÓN'!O219,"##.###")))</f>
        <v/>
      </c>
      <c r="Q219" s="209" t="str">
        <f>IF(FORMULACIÓN!R219&lt;&gt;"",FORMULACIÓN!R219,"")</f>
        <v/>
      </c>
      <c r="R219" s="209" t="str">
        <f>IF(FORMULACIÓN!S219&lt;&gt;"",FORMULACIÓN!S219,"")</f>
        <v/>
      </c>
      <c r="S219" s="209" t="str">
        <f>IF(FORMULACIÓN!T219&lt;&gt;"",FORMULACIÓN!T219,"")</f>
        <v/>
      </c>
      <c r="T219" s="42"/>
      <c r="U219" s="42"/>
      <c r="V219" s="42"/>
      <c r="W219" s="43" t="str">
        <f t="shared" si="27"/>
        <v/>
      </c>
      <c r="X219" s="42"/>
      <c r="Y219" s="42"/>
      <c r="Z219" s="42"/>
      <c r="AA219" s="43" t="str">
        <f t="shared" si="28"/>
        <v/>
      </c>
      <c r="AB219" s="42"/>
      <c r="AC219" s="42"/>
      <c r="AD219" s="42"/>
      <c r="AE219" s="43" t="str">
        <f t="shared" si="29"/>
        <v/>
      </c>
      <c r="AF219" s="42"/>
      <c r="AG219" s="42"/>
      <c r="AH219" s="42"/>
      <c r="AI219" s="46" t="str">
        <f t="shared" si="30"/>
        <v/>
      </c>
      <c r="AJ219" s="46" t="str">
        <f>IF(SUM(AA219,AE219,W219,AI219)=0,"",SUM((AA219,AE219,W219,AI219)))</f>
        <v/>
      </c>
      <c r="AK219" s="2"/>
      <c r="AL219" s="1" t="str">
        <f t="shared" si="31"/>
        <v/>
      </c>
      <c r="AM219" s="56" t="str">
        <f t="shared" si="33"/>
        <v/>
      </c>
      <c r="AN219" s="112" t="str">
        <f ca="1">IF($G219=Lists!$R$3,"T1: "&amp;TEXT(FORMULACIÓN!L219,"00,00%")&amp;CHAR(10)&amp;"T2: "&amp;TEXT(FORMULACIÓN!M219,"00,00%")&amp;CHAR(10)&amp;"T3: "&amp;TEXT(FORMULACIÓN!N219,"00,00%")&amp;CHAR(10)&amp;"Tn: "&amp;TEXT(FORMULACIÓN!O219,"00,00%"),IF(FORMULACIÓN!Q219=0,0,"T1: "&amp;TEXT(FORMULACIÓN!L219,"##.###")&amp;CHAR(10)&amp;"T2: "&amp;TEXT(FORMULACIÓN!M219,"##.###")&amp;CHAR(10)&amp;"T3: "&amp;TEXT(FORMULACIÓN!N219,"##.###")&amp;CHAR(10)&amp;"Tn: "&amp;TEXT(FORMULACIÓN!O219,"##.###")))</f>
        <v xml:space="preserve">T1: 
T2: 
T3: 
Tn: </v>
      </c>
      <c r="AO219" s="117" t="str">
        <f>IFERROR(IF($H219=Lists!$S$6,IF(AND(FORMULACIÓN!L219&gt;K219,K219&gt;0),1,0),IF((K219/FORMULACIÓN!L219)&lt;&gt;0,K219/FORMULACIÓN!L219,0)),"")</f>
        <v/>
      </c>
      <c r="AP219" s="117" t="str">
        <f>IFERROR(IF($H219=Lists!$S$6,IF(AND(FORMULACIÓN!M219&gt;L219,L219&gt;0),1,0),IF((L219/FORMULACIÓN!M219)&lt;&gt;0,L219/FORMULACIÓN!M219,0)),"")</f>
        <v/>
      </c>
      <c r="AQ219" s="117" t="str">
        <f>IFERROR(IF($H219=Lists!$S$6,IF(AND(FORMULACIÓN!N219&gt;M219,M219&gt;0),1,0),IF((M219/FORMULACIÓN!N219)&lt;&gt;0,M219/FORMULACIÓN!N219,0)),"")</f>
        <v/>
      </c>
      <c r="AR219" s="117" t="str">
        <f>IFERROR(IF($H219=Lists!$S$6,IF(AND(FORMULACIÓN!O219&gt;N219,N219&gt;0),1,0),IF((N219/FORMULACIÓN!O219)&lt;&gt;0,N219/FORMULACIÓN!O219,0)),"")</f>
        <v/>
      </c>
      <c r="AS219" s="110"/>
      <c r="AT219" s="118" t="str">
        <f ca="1">IF($H219=Lists!$S$6,TEXT(COUNTIF('SEGUIMIENTO Y EVALUACIÓN'!K219:N219,"&lt;"&amp;FORMULACIÓN!Q219),"##.###")&amp;" / "&amp;TEXT(COUNTIF('SEGUIMIENTO Y EVALUACIÓN'!K219:N219,"&gt;"&amp;0),"##.###"),IF($G219=Lists!$R$3,TEXT('SEGUIMIENTO Y EVALUACIÓN'!O219,"00,00%")&amp;" / "&amp;TEXT(FORMULACIÓN!P219,"00,00%"),IF('SEGUIMIENTO Y EVALUACIÓN'!O219=0,0,TEXT('SEGUIMIENTO Y EVALUACIÓN'!O219,"##.###")&amp;" / "&amp;TEXT(FORMULACIÓN!P219,"##.###"))))</f>
        <v xml:space="preserve"> / </v>
      </c>
      <c r="AU219" s="57">
        <f ca="1">IFERROR(IF((P219/FORMULACIÓN!Q219)&lt;&gt;0,IF($H219=Lists!$S$6,COUNTIF('SEGUIMIENTO Y EVALUACIÓN'!K219:N219,"&lt;"&amp;FORMULACIÓN!Q219),'SEGUIMIENTO Y EVALUACIÓN'!P219)/IF($H219=Lists!$S$6,COUNTIF('SEGUIMIENTO Y EVALUACIÓN'!K219:N219,"&gt;"&amp;0),FORMULACIÓN!P219),0),0)</f>
        <v>0</v>
      </c>
      <c r="AV219" s="93" t="str">
        <f t="shared" ca="1" si="32"/>
        <v/>
      </c>
      <c r="AW219" s="93" cm="1">
        <f t="array" ref="AW219">IF(INDEX(AO219:AU219,1,$AV$3)&gt;1,1,INDEX(AO219:AU219,1,$AV$3))</f>
        <v>1</v>
      </c>
      <c r="AX219" s="3"/>
      <c r="AY219" s="119" t="str">
        <f>IFERROR(IF((W219/FORMULACIÓN!X219)&lt;&gt;0,W219/FORMULACIÓN!X219,0),"")</f>
        <v/>
      </c>
      <c r="AZ219" s="119" t="str">
        <f>IFERROR(IF((AA219/FORMULACIÓN!AB219)&lt;&gt;0,AA219/FORMULACIÓN!AB219,0),"")</f>
        <v/>
      </c>
      <c r="BA219" s="119" t="str">
        <f>IFERROR(IF((AE219/FORMULACIÓN!AF219)&lt;&gt;0,(AE219/FORMULACIÓN!AF219),0),"")</f>
        <v/>
      </c>
      <c r="BB219" s="119" t="str">
        <f>IFERROR(IF((AI219/FORMULACIÓN!AJ219)&lt;&gt;0,AI219/FORMULACIÓN!AJ219,0),"")</f>
        <v/>
      </c>
      <c r="BC219" s="120" t="str">
        <f>IF('SEGUIMIENTO Y EVALUACIÓN'!AI219=0,0,TEXT('SEGUIMIENTO Y EVALUACIÓN'!AI219,"$ ##.###")&amp;" / "&amp;TEXT(FORMULACIÓN!AK219,"$ ##.###"))</f>
        <v xml:space="preserve"> / </v>
      </c>
      <c r="BD219" s="57">
        <f>IFERROR(IF((AJ219/FORMULACIÓN!AK219)&lt;&gt;0,AJ219/FORMULACIÓN!AK219,0),0)</f>
        <v>0</v>
      </c>
      <c r="CL219" s="7"/>
    </row>
    <row r="220" spans="1:90" s="1" customFormat="1" ht="99.95" customHeight="1">
      <c r="A220" s="45" t="str">
        <f>IF(FORMULACIÓN!A220="","",FORMULACIÓN!A220)</f>
        <v/>
      </c>
      <c r="B220" s="45" t="str">
        <f>IF(FORMULACIÓN!B220="","",FORMULACIÓN!B220)</f>
        <v/>
      </c>
      <c r="C220" s="45" t="str">
        <f>IF(FORMULACIÓN!E220="","",FORMULACIÓN!E220)</f>
        <v/>
      </c>
      <c r="D220" s="45" t="str">
        <f>IF(FORMULACIÓN!F220="","",FORMULACIÓN!F220)</f>
        <v/>
      </c>
      <c r="E220" s="45" t="str">
        <f>IF(FORMULACIÓN!G220="","",FORMULACIÓN!G220)</f>
        <v/>
      </c>
      <c r="F220" s="45" t="str">
        <f>IF(FORMULACIÓN!H220="","",FORMULACIÓN!H220)</f>
        <v/>
      </c>
      <c r="G220" s="45" t="str">
        <f>IF(FORMULACIÓN!I220="","",FORMULACIÓN!I220)</f>
        <v/>
      </c>
      <c r="H220" s="45" t="str">
        <f>IF(FORMULACIÓN!J220="","",FORMULACIÓN!J220)</f>
        <v/>
      </c>
      <c r="I220" s="188" t="str">
        <f ca="1">IF($G220=Lists!$R$3,"PDI: "&amp;TEXT(FORMULACIÓN!Q220,"00,00%")&amp;CHAR(10)&amp;CHAR(10)&amp;"T1: "&amp;TEXT(FORMULACIÓN!L220,"00,00%")&amp;CHAR(10)&amp;"T2: "&amp;TEXT(FORMULACIÓN!M220,"00,00%")&amp;CHAR(10)&amp;"T3: "&amp;TEXT(FORMULACIÓN!N220,"00,00%")&amp;CHAR(10)&amp;"Tn: "&amp;TEXT(FORMULACIÓN!O220,"00,00%"),IF(FORMULACIÓN!Q220=0,0,"PDI: "&amp;TEXT(FORMULACIÓN!Q220,"##.###")&amp;CHAR(10)&amp;CHAR(10)&amp;"T1: "&amp;TEXT(FORMULACIÓN!L220,"##.###")&amp;CHAR(10)&amp;"T2: "&amp;TEXT(FORMULACIÓN!M220,"##.###")&amp;CHAR(10)&amp;"T3: "&amp;TEXT(FORMULACIÓN!N220,"##.###")&amp;CHAR(10)&amp;"Tn: "&amp;TEXT(FORMULACIÓN!O220,"##.###")))</f>
        <v xml:space="preserve">PDI: 
T1: 
T2: 
T3: 
Tn: </v>
      </c>
      <c r="J220" s="122" t="str">
        <f>IF(FORMULACIÓN!K220&lt;&gt;"",FORMULACIÓN!K220,"")</f>
        <v/>
      </c>
      <c r="K220" s="58"/>
      <c r="L220" s="58"/>
      <c r="M220" s="58"/>
      <c r="N220" s="58"/>
      <c r="O220" s="47" t="str">
        <f ca="1">IFERROR(IF($H220=Lists!$S$2,SUM('SEGUIMIENTO Y EVALUACIÓN'!J220:N220),IF('SEGUIMIENTO Y EVALUACIÓN'!$H220=Lists!$S$3,SUM('SEGUIMIENTO Y EVALUACIÓN'!K220:N220),IF('SEGUIMIENTO Y EVALUACIÓN'!$H220=Lists!$S$4,AVERAGE('SEGUIMIENTO Y EVALUACIÓN'!K220:N220),IF('SEGUIMIENTO Y EVALUACIÓN'!$H220=Lists!$S$5,OFFSET(J220,0,COUNTA(K220:N220)),IF($H220=Lists!$S$6,COUNTIF(K220:N220,"&lt;"&amp;FORMULACIÓN!Q220)/COUNT('SEGUIMIENTO Y EVALUACIÓN'!K220:N220),""))))),"")</f>
        <v/>
      </c>
      <c r="P220" s="51" t="str">
        <f ca="1">IF($G220=Lists!$R$3,TEXT('SEGUIMIENTO Y EVALUACIÓN'!O220,"00,00%"),IF('SEGUIMIENTO Y EVALUACIÓN'!O220=0,0,TEXT('SEGUIMIENTO Y EVALUACIÓN'!O220,"##.###")))</f>
        <v/>
      </c>
      <c r="Q220" s="209" t="str">
        <f>IF(FORMULACIÓN!R220&lt;&gt;"",FORMULACIÓN!R220,"")</f>
        <v/>
      </c>
      <c r="R220" s="209" t="str">
        <f>IF(FORMULACIÓN!S220&lt;&gt;"",FORMULACIÓN!S220,"")</f>
        <v/>
      </c>
      <c r="S220" s="209" t="str">
        <f>IF(FORMULACIÓN!T220&lt;&gt;"",FORMULACIÓN!T220,"")</f>
        <v/>
      </c>
      <c r="T220" s="42"/>
      <c r="U220" s="42"/>
      <c r="V220" s="42"/>
      <c r="W220" s="43" t="str">
        <f t="shared" si="27"/>
        <v/>
      </c>
      <c r="X220" s="42"/>
      <c r="Y220" s="42"/>
      <c r="Z220" s="42"/>
      <c r="AA220" s="43" t="str">
        <f t="shared" si="28"/>
        <v/>
      </c>
      <c r="AB220" s="42"/>
      <c r="AC220" s="42"/>
      <c r="AD220" s="42"/>
      <c r="AE220" s="43" t="str">
        <f t="shared" si="29"/>
        <v/>
      </c>
      <c r="AF220" s="42"/>
      <c r="AG220" s="42"/>
      <c r="AH220" s="42"/>
      <c r="AI220" s="46" t="str">
        <f t="shared" si="30"/>
        <v/>
      </c>
      <c r="AJ220" s="46" t="str">
        <f>IF(SUM(AA220,AE220,W220,AI220)=0,"",SUM((AA220,AE220,W220,AI220)))</f>
        <v/>
      </c>
      <c r="AK220" s="2"/>
      <c r="AL220" s="1" t="str">
        <f t="shared" si="31"/>
        <v/>
      </c>
      <c r="AM220" s="56" t="str">
        <f t="shared" si="33"/>
        <v/>
      </c>
      <c r="AN220" s="112" t="str">
        <f ca="1">IF($G220=Lists!$R$3,"T1: "&amp;TEXT(FORMULACIÓN!L220,"00,00%")&amp;CHAR(10)&amp;"T2: "&amp;TEXT(FORMULACIÓN!M220,"00,00%")&amp;CHAR(10)&amp;"T3: "&amp;TEXT(FORMULACIÓN!N220,"00,00%")&amp;CHAR(10)&amp;"Tn: "&amp;TEXT(FORMULACIÓN!O220,"00,00%"),IF(FORMULACIÓN!Q220=0,0,"T1: "&amp;TEXT(FORMULACIÓN!L220,"##.###")&amp;CHAR(10)&amp;"T2: "&amp;TEXT(FORMULACIÓN!M220,"##.###")&amp;CHAR(10)&amp;"T3: "&amp;TEXT(FORMULACIÓN!N220,"##.###")&amp;CHAR(10)&amp;"Tn: "&amp;TEXT(FORMULACIÓN!O220,"##.###")))</f>
        <v xml:space="preserve">T1: 
T2: 
T3: 
Tn: </v>
      </c>
      <c r="AO220" s="117" t="str">
        <f>IFERROR(IF($H220=Lists!$S$6,IF(AND(FORMULACIÓN!L220&gt;K220,K220&gt;0),1,0),IF((K220/FORMULACIÓN!L220)&lt;&gt;0,K220/FORMULACIÓN!L220,0)),"")</f>
        <v/>
      </c>
      <c r="AP220" s="117" t="str">
        <f>IFERROR(IF($H220=Lists!$S$6,IF(AND(FORMULACIÓN!M220&gt;L220,L220&gt;0),1,0),IF((L220/FORMULACIÓN!M220)&lt;&gt;0,L220/FORMULACIÓN!M220,0)),"")</f>
        <v/>
      </c>
      <c r="AQ220" s="117" t="str">
        <f>IFERROR(IF($H220=Lists!$S$6,IF(AND(FORMULACIÓN!N220&gt;M220,M220&gt;0),1,0),IF((M220/FORMULACIÓN!N220)&lt;&gt;0,M220/FORMULACIÓN!N220,0)),"")</f>
        <v/>
      </c>
      <c r="AR220" s="117" t="str">
        <f>IFERROR(IF($H220=Lists!$S$6,IF(AND(FORMULACIÓN!O220&gt;N220,N220&gt;0),1,0),IF((N220/FORMULACIÓN!O220)&lt;&gt;0,N220/FORMULACIÓN!O220,0)),"")</f>
        <v/>
      </c>
      <c r="AS220" s="110"/>
      <c r="AT220" s="118" t="str">
        <f ca="1">IF($H220=Lists!$S$6,TEXT(COUNTIF('SEGUIMIENTO Y EVALUACIÓN'!K220:N220,"&lt;"&amp;FORMULACIÓN!Q220),"##.###")&amp;" / "&amp;TEXT(COUNTIF('SEGUIMIENTO Y EVALUACIÓN'!K220:N220,"&gt;"&amp;0),"##.###"),IF($G220=Lists!$R$3,TEXT('SEGUIMIENTO Y EVALUACIÓN'!O220,"00,00%")&amp;" / "&amp;TEXT(FORMULACIÓN!P220,"00,00%"),IF('SEGUIMIENTO Y EVALUACIÓN'!O220=0,0,TEXT('SEGUIMIENTO Y EVALUACIÓN'!O220,"##.###")&amp;" / "&amp;TEXT(FORMULACIÓN!P220,"##.###"))))</f>
        <v xml:space="preserve"> / </v>
      </c>
      <c r="AU220" s="57">
        <f ca="1">IFERROR(IF((P220/FORMULACIÓN!Q220)&lt;&gt;0,IF($H220=Lists!$S$6,COUNTIF('SEGUIMIENTO Y EVALUACIÓN'!K220:N220,"&lt;"&amp;FORMULACIÓN!Q220),'SEGUIMIENTO Y EVALUACIÓN'!P220)/IF($H220=Lists!$S$6,COUNTIF('SEGUIMIENTO Y EVALUACIÓN'!K220:N220,"&gt;"&amp;0),FORMULACIÓN!P220),0),0)</f>
        <v>0</v>
      </c>
      <c r="AV220" s="93" t="str">
        <f t="shared" ca="1" si="32"/>
        <v/>
      </c>
      <c r="AW220" s="93" cm="1">
        <f t="array" ref="AW220">IF(INDEX(AO220:AU220,1,$AV$3)&gt;1,1,INDEX(AO220:AU220,1,$AV$3))</f>
        <v>1</v>
      </c>
      <c r="AX220" s="3"/>
      <c r="AY220" s="119" t="str">
        <f>IFERROR(IF((W220/FORMULACIÓN!X220)&lt;&gt;0,W220/FORMULACIÓN!X220,0),"")</f>
        <v/>
      </c>
      <c r="AZ220" s="119" t="str">
        <f>IFERROR(IF((AA220/FORMULACIÓN!AB220)&lt;&gt;0,AA220/FORMULACIÓN!AB220,0),"")</f>
        <v/>
      </c>
      <c r="BA220" s="119" t="str">
        <f>IFERROR(IF((AE220/FORMULACIÓN!AF220)&lt;&gt;0,(AE220/FORMULACIÓN!AF220),0),"")</f>
        <v/>
      </c>
      <c r="BB220" s="119" t="str">
        <f>IFERROR(IF((AI220/FORMULACIÓN!AJ220)&lt;&gt;0,AI220/FORMULACIÓN!AJ220,0),"")</f>
        <v/>
      </c>
      <c r="BC220" s="120" t="str">
        <f>IF('SEGUIMIENTO Y EVALUACIÓN'!AI220=0,0,TEXT('SEGUIMIENTO Y EVALUACIÓN'!AI220,"$ ##.###")&amp;" / "&amp;TEXT(FORMULACIÓN!AK220,"$ ##.###"))</f>
        <v xml:space="preserve"> / </v>
      </c>
      <c r="BD220" s="57">
        <f>IFERROR(IF((AJ220/FORMULACIÓN!AK220)&lt;&gt;0,AJ220/FORMULACIÓN!AK220,0),0)</f>
        <v>0</v>
      </c>
      <c r="CL220" s="7"/>
    </row>
    <row r="221" spans="1:90" s="1" customFormat="1" ht="99.95" customHeight="1">
      <c r="A221" s="45" t="str">
        <f>IF(FORMULACIÓN!A221="","",FORMULACIÓN!A221)</f>
        <v/>
      </c>
      <c r="B221" s="45" t="str">
        <f>IF(FORMULACIÓN!B221="","",FORMULACIÓN!B221)</f>
        <v/>
      </c>
      <c r="C221" s="45" t="str">
        <f>IF(FORMULACIÓN!E221="","",FORMULACIÓN!E221)</f>
        <v/>
      </c>
      <c r="D221" s="45" t="str">
        <f>IF(FORMULACIÓN!F221="","",FORMULACIÓN!F221)</f>
        <v/>
      </c>
      <c r="E221" s="45" t="str">
        <f>IF(FORMULACIÓN!G221="","",FORMULACIÓN!G221)</f>
        <v/>
      </c>
      <c r="F221" s="45" t="str">
        <f>IF(FORMULACIÓN!H221="","",FORMULACIÓN!H221)</f>
        <v/>
      </c>
      <c r="G221" s="45" t="str">
        <f>IF(FORMULACIÓN!I221="","",FORMULACIÓN!I221)</f>
        <v/>
      </c>
      <c r="H221" s="45" t="str">
        <f>IF(FORMULACIÓN!J221="","",FORMULACIÓN!J221)</f>
        <v/>
      </c>
      <c r="I221" s="188" t="str">
        <f ca="1">IF($G221=Lists!$R$3,"PDI: "&amp;TEXT(FORMULACIÓN!Q221,"00,00%")&amp;CHAR(10)&amp;CHAR(10)&amp;"T1: "&amp;TEXT(FORMULACIÓN!L221,"00,00%")&amp;CHAR(10)&amp;"T2: "&amp;TEXT(FORMULACIÓN!M221,"00,00%")&amp;CHAR(10)&amp;"T3: "&amp;TEXT(FORMULACIÓN!N221,"00,00%")&amp;CHAR(10)&amp;"Tn: "&amp;TEXT(FORMULACIÓN!O221,"00,00%"),IF(FORMULACIÓN!Q221=0,0,"PDI: "&amp;TEXT(FORMULACIÓN!Q221,"##.###")&amp;CHAR(10)&amp;CHAR(10)&amp;"T1: "&amp;TEXT(FORMULACIÓN!L221,"##.###")&amp;CHAR(10)&amp;"T2: "&amp;TEXT(FORMULACIÓN!M221,"##.###")&amp;CHAR(10)&amp;"T3: "&amp;TEXT(FORMULACIÓN!N221,"##.###")&amp;CHAR(10)&amp;"Tn: "&amp;TEXT(FORMULACIÓN!O221,"##.###")))</f>
        <v xml:space="preserve">PDI: 
T1: 
T2: 
T3: 
Tn: </v>
      </c>
      <c r="J221" s="122" t="str">
        <f>IF(FORMULACIÓN!K221&lt;&gt;"",FORMULACIÓN!K221,"")</f>
        <v/>
      </c>
      <c r="K221" s="58"/>
      <c r="L221" s="58"/>
      <c r="M221" s="58"/>
      <c r="N221" s="58"/>
      <c r="O221" s="47" t="str">
        <f ca="1">IFERROR(IF($H221=Lists!$S$2,SUM('SEGUIMIENTO Y EVALUACIÓN'!J221:N221),IF('SEGUIMIENTO Y EVALUACIÓN'!$H221=Lists!$S$3,SUM('SEGUIMIENTO Y EVALUACIÓN'!K221:N221),IF('SEGUIMIENTO Y EVALUACIÓN'!$H221=Lists!$S$4,AVERAGE('SEGUIMIENTO Y EVALUACIÓN'!K221:N221),IF('SEGUIMIENTO Y EVALUACIÓN'!$H221=Lists!$S$5,OFFSET(J221,0,COUNTA(K221:N221)),IF($H221=Lists!$S$6,COUNTIF(K221:N221,"&lt;"&amp;FORMULACIÓN!Q221)/COUNT('SEGUIMIENTO Y EVALUACIÓN'!K221:N221),""))))),"")</f>
        <v/>
      </c>
      <c r="P221" s="51" t="str">
        <f ca="1">IF($G221=Lists!$R$3,TEXT('SEGUIMIENTO Y EVALUACIÓN'!O221,"00,00%"),IF('SEGUIMIENTO Y EVALUACIÓN'!O221=0,0,TEXT('SEGUIMIENTO Y EVALUACIÓN'!O221,"##.###")))</f>
        <v/>
      </c>
      <c r="Q221" s="209" t="str">
        <f>IF(FORMULACIÓN!R221&lt;&gt;"",FORMULACIÓN!R221,"")</f>
        <v/>
      </c>
      <c r="R221" s="209" t="str">
        <f>IF(FORMULACIÓN!S221&lt;&gt;"",FORMULACIÓN!S221,"")</f>
        <v/>
      </c>
      <c r="S221" s="209" t="str">
        <f>IF(FORMULACIÓN!T221&lt;&gt;"",FORMULACIÓN!T221,"")</f>
        <v/>
      </c>
      <c r="T221" s="42"/>
      <c r="U221" s="42"/>
      <c r="V221" s="42"/>
      <c r="W221" s="43" t="str">
        <f t="shared" si="27"/>
        <v/>
      </c>
      <c r="X221" s="42"/>
      <c r="Y221" s="42"/>
      <c r="Z221" s="42"/>
      <c r="AA221" s="43" t="str">
        <f t="shared" si="28"/>
        <v/>
      </c>
      <c r="AB221" s="42"/>
      <c r="AC221" s="42"/>
      <c r="AD221" s="42"/>
      <c r="AE221" s="43" t="str">
        <f t="shared" si="29"/>
        <v/>
      </c>
      <c r="AF221" s="42"/>
      <c r="AG221" s="42"/>
      <c r="AH221" s="42"/>
      <c r="AI221" s="46" t="str">
        <f t="shared" si="30"/>
        <v/>
      </c>
      <c r="AJ221" s="46" t="str">
        <f>IF(SUM(AA221,AE221,W221,AI221)=0,"",SUM((AA221,AE221,W221,AI221)))</f>
        <v/>
      </c>
      <c r="AK221" s="2"/>
      <c r="AL221" s="1" t="str">
        <f t="shared" si="31"/>
        <v/>
      </c>
      <c r="AM221" s="56" t="str">
        <f t="shared" si="33"/>
        <v/>
      </c>
      <c r="AN221" s="112" t="str">
        <f ca="1">IF($G221=Lists!$R$3,"T1: "&amp;TEXT(FORMULACIÓN!L221,"00,00%")&amp;CHAR(10)&amp;"T2: "&amp;TEXT(FORMULACIÓN!M221,"00,00%")&amp;CHAR(10)&amp;"T3: "&amp;TEXT(FORMULACIÓN!N221,"00,00%")&amp;CHAR(10)&amp;"Tn: "&amp;TEXT(FORMULACIÓN!O221,"00,00%"),IF(FORMULACIÓN!Q221=0,0,"T1: "&amp;TEXT(FORMULACIÓN!L221,"##.###")&amp;CHAR(10)&amp;"T2: "&amp;TEXT(FORMULACIÓN!M221,"##.###")&amp;CHAR(10)&amp;"T3: "&amp;TEXT(FORMULACIÓN!N221,"##.###")&amp;CHAR(10)&amp;"Tn: "&amp;TEXT(FORMULACIÓN!O221,"##.###")))</f>
        <v xml:space="preserve">T1: 
T2: 
T3: 
Tn: </v>
      </c>
      <c r="AO221" s="117" t="str">
        <f>IFERROR(IF($H221=Lists!$S$6,IF(AND(FORMULACIÓN!L221&gt;K221,K221&gt;0),1,0),IF((K221/FORMULACIÓN!L221)&lt;&gt;0,K221/FORMULACIÓN!L221,0)),"")</f>
        <v/>
      </c>
      <c r="AP221" s="117" t="str">
        <f>IFERROR(IF($H221=Lists!$S$6,IF(AND(FORMULACIÓN!M221&gt;L221,L221&gt;0),1,0),IF((L221/FORMULACIÓN!M221)&lt;&gt;0,L221/FORMULACIÓN!M221,0)),"")</f>
        <v/>
      </c>
      <c r="AQ221" s="117" t="str">
        <f>IFERROR(IF($H221=Lists!$S$6,IF(AND(FORMULACIÓN!N221&gt;M221,M221&gt;0),1,0),IF((M221/FORMULACIÓN!N221)&lt;&gt;0,M221/FORMULACIÓN!N221,0)),"")</f>
        <v/>
      </c>
      <c r="AR221" s="117" t="str">
        <f>IFERROR(IF($H221=Lists!$S$6,IF(AND(FORMULACIÓN!O221&gt;N221,N221&gt;0),1,0),IF((N221/FORMULACIÓN!O221)&lt;&gt;0,N221/FORMULACIÓN!O221,0)),"")</f>
        <v/>
      </c>
      <c r="AS221" s="110"/>
      <c r="AT221" s="118" t="str">
        <f ca="1">IF($H221=Lists!$S$6,TEXT(COUNTIF('SEGUIMIENTO Y EVALUACIÓN'!K221:N221,"&lt;"&amp;FORMULACIÓN!Q221),"##.###")&amp;" / "&amp;TEXT(COUNTIF('SEGUIMIENTO Y EVALUACIÓN'!K221:N221,"&gt;"&amp;0),"##.###"),IF($G221=Lists!$R$3,TEXT('SEGUIMIENTO Y EVALUACIÓN'!O221,"00,00%")&amp;" / "&amp;TEXT(FORMULACIÓN!P221,"00,00%"),IF('SEGUIMIENTO Y EVALUACIÓN'!O221=0,0,TEXT('SEGUIMIENTO Y EVALUACIÓN'!O221,"##.###")&amp;" / "&amp;TEXT(FORMULACIÓN!P221,"##.###"))))</f>
        <v xml:space="preserve"> / </v>
      </c>
      <c r="AU221" s="57">
        <f ca="1">IFERROR(IF((P221/FORMULACIÓN!Q221)&lt;&gt;0,IF($H221=Lists!$S$6,COUNTIF('SEGUIMIENTO Y EVALUACIÓN'!K221:N221,"&lt;"&amp;FORMULACIÓN!Q221),'SEGUIMIENTO Y EVALUACIÓN'!P221)/IF($H221=Lists!$S$6,COUNTIF('SEGUIMIENTO Y EVALUACIÓN'!K221:N221,"&gt;"&amp;0),FORMULACIÓN!P221),0),0)</f>
        <v>0</v>
      </c>
      <c r="AV221" s="93" t="str">
        <f t="shared" ca="1" si="32"/>
        <v/>
      </c>
      <c r="AW221" s="93" cm="1">
        <f t="array" ref="AW221">IF(INDEX(AO221:AU221,1,$AV$3)&gt;1,1,INDEX(AO221:AU221,1,$AV$3))</f>
        <v>1</v>
      </c>
      <c r="AX221" s="3"/>
      <c r="AY221" s="119" t="str">
        <f>IFERROR(IF((W221/FORMULACIÓN!X221)&lt;&gt;0,W221/FORMULACIÓN!X221,0),"")</f>
        <v/>
      </c>
      <c r="AZ221" s="119" t="str">
        <f>IFERROR(IF((AA221/FORMULACIÓN!AB221)&lt;&gt;0,AA221/FORMULACIÓN!AB221,0),"")</f>
        <v/>
      </c>
      <c r="BA221" s="119" t="str">
        <f>IFERROR(IF((AE221/FORMULACIÓN!AF221)&lt;&gt;0,(AE221/FORMULACIÓN!AF221),0),"")</f>
        <v/>
      </c>
      <c r="BB221" s="119" t="str">
        <f>IFERROR(IF((AI221/FORMULACIÓN!AJ221)&lt;&gt;0,AI221/FORMULACIÓN!AJ221,0),"")</f>
        <v/>
      </c>
      <c r="BC221" s="120" t="str">
        <f>IF('SEGUIMIENTO Y EVALUACIÓN'!AI221=0,0,TEXT('SEGUIMIENTO Y EVALUACIÓN'!AI221,"$ ##.###")&amp;" / "&amp;TEXT(FORMULACIÓN!AK221,"$ ##.###"))</f>
        <v xml:space="preserve"> / </v>
      </c>
      <c r="BD221" s="57">
        <f>IFERROR(IF((AJ221/FORMULACIÓN!AK221)&lt;&gt;0,AJ221/FORMULACIÓN!AK221,0),0)</f>
        <v>0</v>
      </c>
      <c r="CL221" s="7"/>
    </row>
    <row r="222" spans="1:90" s="1" customFormat="1" ht="99.95" customHeight="1">
      <c r="A222" s="45" t="str">
        <f>IF(FORMULACIÓN!A222="","",FORMULACIÓN!A222)</f>
        <v/>
      </c>
      <c r="B222" s="45" t="str">
        <f>IF(FORMULACIÓN!B222="","",FORMULACIÓN!B222)</f>
        <v/>
      </c>
      <c r="C222" s="45" t="str">
        <f>IF(FORMULACIÓN!E222="","",FORMULACIÓN!E222)</f>
        <v/>
      </c>
      <c r="D222" s="45" t="str">
        <f>IF(FORMULACIÓN!F222="","",FORMULACIÓN!F222)</f>
        <v/>
      </c>
      <c r="E222" s="45" t="str">
        <f>IF(FORMULACIÓN!G222="","",FORMULACIÓN!G222)</f>
        <v/>
      </c>
      <c r="F222" s="45" t="str">
        <f>IF(FORMULACIÓN!H222="","",FORMULACIÓN!H222)</f>
        <v/>
      </c>
      <c r="G222" s="45" t="str">
        <f>IF(FORMULACIÓN!I222="","",FORMULACIÓN!I222)</f>
        <v/>
      </c>
      <c r="H222" s="45" t="str">
        <f>IF(FORMULACIÓN!J222="","",FORMULACIÓN!J222)</f>
        <v/>
      </c>
      <c r="I222" s="188" t="str">
        <f ca="1">IF($G222=Lists!$R$3,"PDI: "&amp;TEXT(FORMULACIÓN!Q222,"00,00%")&amp;CHAR(10)&amp;CHAR(10)&amp;"T1: "&amp;TEXT(FORMULACIÓN!L222,"00,00%")&amp;CHAR(10)&amp;"T2: "&amp;TEXT(FORMULACIÓN!M222,"00,00%")&amp;CHAR(10)&amp;"T3: "&amp;TEXT(FORMULACIÓN!N222,"00,00%")&amp;CHAR(10)&amp;"Tn: "&amp;TEXT(FORMULACIÓN!O222,"00,00%"),IF(FORMULACIÓN!Q222=0,0,"PDI: "&amp;TEXT(FORMULACIÓN!Q222,"##.###")&amp;CHAR(10)&amp;CHAR(10)&amp;"T1: "&amp;TEXT(FORMULACIÓN!L222,"##.###")&amp;CHAR(10)&amp;"T2: "&amp;TEXT(FORMULACIÓN!M222,"##.###")&amp;CHAR(10)&amp;"T3: "&amp;TEXT(FORMULACIÓN!N222,"##.###")&amp;CHAR(10)&amp;"Tn: "&amp;TEXT(FORMULACIÓN!O222,"##.###")))</f>
        <v xml:space="preserve">PDI: 
T1: 
T2: 
T3: 
Tn: </v>
      </c>
      <c r="J222" s="122" t="str">
        <f>IF(FORMULACIÓN!K222&lt;&gt;"",FORMULACIÓN!K222,"")</f>
        <v/>
      </c>
      <c r="K222" s="58"/>
      <c r="L222" s="58"/>
      <c r="M222" s="58"/>
      <c r="N222" s="58"/>
      <c r="O222" s="47" t="str">
        <f ca="1">IFERROR(IF($H222=Lists!$S$2,SUM('SEGUIMIENTO Y EVALUACIÓN'!J222:N222),IF('SEGUIMIENTO Y EVALUACIÓN'!$H222=Lists!$S$3,SUM('SEGUIMIENTO Y EVALUACIÓN'!K222:N222),IF('SEGUIMIENTO Y EVALUACIÓN'!$H222=Lists!$S$4,AVERAGE('SEGUIMIENTO Y EVALUACIÓN'!K222:N222),IF('SEGUIMIENTO Y EVALUACIÓN'!$H222=Lists!$S$5,OFFSET(J222,0,COUNTA(K222:N222)),IF($H222=Lists!$S$6,COUNTIF(K222:N222,"&lt;"&amp;FORMULACIÓN!Q222)/COUNT('SEGUIMIENTO Y EVALUACIÓN'!K222:N222),""))))),"")</f>
        <v/>
      </c>
      <c r="P222" s="51" t="str">
        <f ca="1">IF($G222=Lists!$R$3,TEXT('SEGUIMIENTO Y EVALUACIÓN'!O222,"00,00%"),IF('SEGUIMIENTO Y EVALUACIÓN'!O222=0,0,TEXT('SEGUIMIENTO Y EVALUACIÓN'!O222,"##.###")))</f>
        <v/>
      </c>
      <c r="Q222" s="209" t="str">
        <f>IF(FORMULACIÓN!R222&lt;&gt;"",FORMULACIÓN!R222,"")</f>
        <v/>
      </c>
      <c r="R222" s="209" t="str">
        <f>IF(FORMULACIÓN!S222&lt;&gt;"",FORMULACIÓN!S222,"")</f>
        <v/>
      </c>
      <c r="S222" s="209" t="str">
        <f>IF(FORMULACIÓN!T222&lt;&gt;"",FORMULACIÓN!T222,"")</f>
        <v/>
      </c>
      <c r="T222" s="42"/>
      <c r="U222" s="42"/>
      <c r="V222" s="42"/>
      <c r="W222" s="43" t="str">
        <f t="shared" si="27"/>
        <v/>
      </c>
      <c r="X222" s="42"/>
      <c r="Y222" s="42"/>
      <c r="Z222" s="42"/>
      <c r="AA222" s="43" t="str">
        <f t="shared" si="28"/>
        <v/>
      </c>
      <c r="AB222" s="42"/>
      <c r="AC222" s="42"/>
      <c r="AD222" s="42"/>
      <c r="AE222" s="43" t="str">
        <f t="shared" si="29"/>
        <v/>
      </c>
      <c r="AF222" s="42"/>
      <c r="AG222" s="42"/>
      <c r="AH222" s="42"/>
      <c r="AI222" s="46" t="str">
        <f t="shared" si="30"/>
        <v/>
      </c>
      <c r="AJ222" s="46" t="str">
        <f>IF(SUM(AA222,AE222,W222,AI222)=0,"",SUM((AA222,AE222,W222,AI222)))</f>
        <v/>
      </c>
      <c r="AK222" s="2"/>
      <c r="AL222" s="1" t="str">
        <f t="shared" si="31"/>
        <v/>
      </c>
      <c r="AM222" s="56" t="str">
        <f t="shared" si="33"/>
        <v/>
      </c>
      <c r="AN222" s="112" t="str">
        <f ca="1">IF($G222=Lists!$R$3,"T1: "&amp;TEXT(FORMULACIÓN!L222,"00,00%")&amp;CHAR(10)&amp;"T2: "&amp;TEXT(FORMULACIÓN!M222,"00,00%")&amp;CHAR(10)&amp;"T3: "&amp;TEXT(FORMULACIÓN!N222,"00,00%")&amp;CHAR(10)&amp;"Tn: "&amp;TEXT(FORMULACIÓN!O222,"00,00%"),IF(FORMULACIÓN!Q222=0,0,"T1: "&amp;TEXT(FORMULACIÓN!L222,"##.###")&amp;CHAR(10)&amp;"T2: "&amp;TEXT(FORMULACIÓN!M222,"##.###")&amp;CHAR(10)&amp;"T3: "&amp;TEXT(FORMULACIÓN!N222,"##.###")&amp;CHAR(10)&amp;"Tn: "&amp;TEXT(FORMULACIÓN!O222,"##.###")))</f>
        <v xml:space="preserve">T1: 
T2: 
T3: 
Tn: </v>
      </c>
      <c r="AO222" s="117" t="str">
        <f>IFERROR(IF($H222=Lists!$S$6,IF(AND(FORMULACIÓN!L222&gt;K222,K222&gt;0),1,0),IF((K222/FORMULACIÓN!L222)&lt;&gt;0,K222/FORMULACIÓN!L222,0)),"")</f>
        <v/>
      </c>
      <c r="AP222" s="117" t="str">
        <f>IFERROR(IF($H222=Lists!$S$6,IF(AND(FORMULACIÓN!M222&gt;L222,L222&gt;0),1,0),IF((L222/FORMULACIÓN!M222)&lt;&gt;0,L222/FORMULACIÓN!M222,0)),"")</f>
        <v/>
      </c>
      <c r="AQ222" s="117" t="str">
        <f>IFERROR(IF($H222=Lists!$S$6,IF(AND(FORMULACIÓN!N222&gt;M222,M222&gt;0),1,0),IF((M222/FORMULACIÓN!N222)&lt;&gt;0,M222/FORMULACIÓN!N222,0)),"")</f>
        <v/>
      </c>
      <c r="AR222" s="117" t="str">
        <f>IFERROR(IF($H222=Lists!$S$6,IF(AND(FORMULACIÓN!O222&gt;N222,N222&gt;0),1,0),IF((N222/FORMULACIÓN!O222)&lt;&gt;0,N222/FORMULACIÓN!O222,0)),"")</f>
        <v/>
      </c>
      <c r="AS222" s="110"/>
      <c r="AT222" s="118" t="str">
        <f ca="1">IF($H222=Lists!$S$6,TEXT(COUNTIF('SEGUIMIENTO Y EVALUACIÓN'!K222:N222,"&lt;"&amp;FORMULACIÓN!Q222),"##.###")&amp;" / "&amp;TEXT(COUNTIF('SEGUIMIENTO Y EVALUACIÓN'!K222:N222,"&gt;"&amp;0),"##.###"),IF($G222=Lists!$R$3,TEXT('SEGUIMIENTO Y EVALUACIÓN'!O222,"00,00%")&amp;" / "&amp;TEXT(FORMULACIÓN!P222,"00,00%"),IF('SEGUIMIENTO Y EVALUACIÓN'!O222=0,0,TEXT('SEGUIMIENTO Y EVALUACIÓN'!O222,"##.###")&amp;" / "&amp;TEXT(FORMULACIÓN!P222,"##.###"))))</f>
        <v xml:space="preserve"> / </v>
      </c>
      <c r="AU222" s="57">
        <f ca="1">IFERROR(IF((P222/FORMULACIÓN!Q222)&lt;&gt;0,IF($H222=Lists!$S$6,COUNTIF('SEGUIMIENTO Y EVALUACIÓN'!K222:N222,"&lt;"&amp;FORMULACIÓN!Q222),'SEGUIMIENTO Y EVALUACIÓN'!P222)/IF($H222=Lists!$S$6,COUNTIF('SEGUIMIENTO Y EVALUACIÓN'!K222:N222,"&gt;"&amp;0),FORMULACIÓN!P222),0),0)</f>
        <v>0</v>
      </c>
      <c r="AV222" s="93" t="str">
        <f t="shared" ca="1" si="32"/>
        <v/>
      </c>
      <c r="AW222" s="93" cm="1">
        <f t="array" ref="AW222">IF(INDEX(AO222:AU222,1,$AV$3)&gt;1,1,INDEX(AO222:AU222,1,$AV$3))</f>
        <v>1</v>
      </c>
      <c r="AX222" s="3"/>
      <c r="AY222" s="119" t="str">
        <f>IFERROR(IF((W222/FORMULACIÓN!X222)&lt;&gt;0,W222/FORMULACIÓN!X222,0),"")</f>
        <v/>
      </c>
      <c r="AZ222" s="119" t="str">
        <f>IFERROR(IF((AA222/FORMULACIÓN!AB222)&lt;&gt;0,AA222/FORMULACIÓN!AB222,0),"")</f>
        <v/>
      </c>
      <c r="BA222" s="119" t="str">
        <f>IFERROR(IF((AE222/FORMULACIÓN!AF222)&lt;&gt;0,(AE222/FORMULACIÓN!AF222),0),"")</f>
        <v/>
      </c>
      <c r="BB222" s="119" t="str">
        <f>IFERROR(IF((AI222/FORMULACIÓN!AJ222)&lt;&gt;0,AI222/FORMULACIÓN!AJ222,0),"")</f>
        <v/>
      </c>
      <c r="BC222" s="120" t="str">
        <f>IF('SEGUIMIENTO Y EVALUACIÓN'!AI222=0,0,TEXT('SEGUIMIENTO Y EVALUACIÓN'!AI222,"$ ##.###")&amp;" / "&amp;TEXT(FORMULACIÓN!AK222,"$ ##.###"))</f>
        <v xml:space="preserve"> / </v>
      </c>
      <c r="BD222" s="57">
        <f>IFERROR(IF((AJ222/FORMULACIÓN!AK222)&lt;&gt;0,AJ222/FORMULACIÓN!AK222,0),0)</f>
        <v>0</v>
      </c>
      <c r="CL222" s="7"/>
    </row>
    <row r="223" spans="1:90" s="1" customFormat="1" ht="99.95" customHeight="1">
      <c r="A223" s="45" t="str">
        <f>IF(FORMULACIÓN!A223="","",FORMULACIÓN!A223)</f>
        <v/>
      </c>
      <c r="B223" s="45" t="str">
        <f>IF(FORMULACIÓN!B223="","",FORMULACIÓN!B223)</f>
        <v/>
      </c>
      <c r="C223" s="45" t="str">
        <f>IF(FORMULACIÓN!E223="","",FORMULACIÓN!E223)</f>
        <v/>
      </c>
      <c r="D223" s="45" t="str">
        <f>IF(FORMULACIÓN!F223="","",FORMULACIÓN!F223)</f>
        <v/>
      </c>
      <c r="E223" s="45" t="str">
        <f>IF(FORMULACIÓN!G223="","",FORMULACIÓN!G223)</f>
        <v/>
      </c>
      <c r="F223" s="45" t="str">
        <f>IF(FORMULACIÓN!H223="","",FORMULACIÓN!H223)</f>
        <v/>
      </c>
      <c r="G223" s="45" t="str">
        <f>IF(FORMULACIÓN!I223="","",FORMULACIÓN!I223)</f>
        <v/>
      </c>
      <c r="H223" s="45" t="str">
        <f>IF(FORMULACIÓN!J223="","",FORMULACIÓN!J223)</f>
        <v/>
      </c>
      <c r="I223" s="188" t="str">
        <f ca="1">IF($G223=Lists!$R$3,"PDI: "&amp;TEXT(FORMULACIÓN!Q223,"00,00%")&amp;CHAR(10)&amp;CHAR(10)&amp;"T1: "&amp;TEXT(FORMULACIÓN!L223,"00,00%")&amp;CHAR(10)&amp;"T2: "&amp;TEXT(FORMULACIÓN!M223,"00,00%")&amp;CHAR(10)&amp;"T3: "&amp;TEXT(FORMULACIÓN!N223,"00,00%")&amp;CHAR(10)&amp;"Tn: "&amp;TEXT(FORMULACIÓN!O223,"00,00%"),IF(FORMULACIÓN!Q223=0,0,"PDI: "&amp;TEXT(FORMULACIÓN!Q223,"##.###")&amp;CHAR(10)&amp;CHAR(10)&amp;"T1: "&amp;TEXT(FORMULACIÓN!L223,"##.###")&amp;CHAR(10)&amp;"T2: "&amp;TEXT(FORMULACIÓN!M223,"##.###")&amp;CHAR(10)&amp;"T3: "&amp;TEXT(FORMULACIÓN!N223,"##.###")&amp;CHAR(10)&amp;"Tn: "&amp;TEXT(FORMULACIÓN!O223,"##.###")))</f>
        <v xml:space="preserve">PDI: 
T1: 
T2: 
T3: 
Tn: </v>
      </c>
      <c r="J223" s="122" t="str">
        <f>IF(FORMULACIÓN!K223&lt;&gt;"",FORMULACIÓN!K223,"")</f>
        <v/>
      </c>
      <c r="K223" s="58"/>
      <c r="L223" s="58"/>
      <c r="M223" s="58"/>
      <c r="N223" s="58"/>
      <c r="O223" s="47" t="str">
        <f ca="1">IFERROR(IF($H223=Lists!$S$2,SUM('SEGUIMIENTO Y EVALUACIÓN'!J223:N223),IF('SEGUIMIENTO Y EVALUACIÓN'!$H223=Lists!$S$3,SUM('SEGUIMIENTO Y EVALUACIÓN'!K223:N223),IF('SEGUIMIENTO Y EVALUACIÓN'!$H223=Lists!$S$4,AVERAGE('SEGUIMIENTO Y EVALUACIÓN'!K223:N223),IF('SEGUIMIENTO Y EVALUACIÓN'!$H223=Lists!$S$5,OFFSET(J223,0,COUNTA(K223:N223)),IF($H223=Lists!$S$6,COUNTIF(K223:N223,"&lt;"&amp;FORMULACIÓN!Q223)/COUNT('SEGUIMIENTO Y EVALUACIÓN'!K223:N223),""))))),"")</f>
        <v/>
      </c>
      <c r="P223" s="51" t="str">
        <f ca="1">IF($G223=Lists!$R$3,TEXT('SEGUIMIENTO Y EVALUACIÓN'!O223,"00,00%"),IF('SEGUIMIENTO Y EVALUACIÓN'!O223=0,0,TEXT('SEGUIMIENTO Y EVALUACIÓN'!O223,"##.###")))</f>
        <v/>
      </c>
      <c r="Q223" s="209" t="str">
        <f>IF(FORMULACIÓN!R223&lt;&gt;"",FORMULACIÓN!R223,"")</f>
        <v/>
      </c>
      <c r="R223" s="209" t="str">
        <f>IF(FORMULACIÓN!S223&lt;&gt;"",FORMULACIÓN!S223,"")</f>
        <v/>
      </c>
      <c r="S223" s="209" t="str">
        <f>IF(FORMULACIÓN!T223&lt;&gt;"",FORMULACIÓN!T223,"")</f>
        <v/>
      </c>
      <c r="T223" s="42"/>
      <c r="U223" s="42"/>
      <c r="V223" s="42"/>
      <c r="W223" s="43" t="str">
        <f t="shared" si="27"/>
        <v/>
      </c>
      <c r="X223" s="42"/>
      <c r="Y223" s="42"/>
      <c r="Z223" s="42"/>
      <c r="AA223" s="43" t="str">
        <f t="shared" si="28"/>
        <v/>
      </c>
      <c r="AB223" s="42"/>
      <c r="AC223" s="42"/>
      <c r="AD223" s="42"/>
      <c r="AE223" s="43" t="str">
        <f t="shared" si="29"/>
        <v/>
      </c>
      <c r="AF223" s="42"/>
      <c r="AG223" s="42"/>
      <c r="AH223" s="42"/>
      <c r="AI223" s="46" t="str">
        <f t="shared" si="30"/>
        <v/>
      </c>
      <c r="AJ223" s="46" t="str">
        <f>IF(SUM(AA223,AE223,W223,AI223)=0,"",SUM((AA223,AE223,W223,AI223)))</f>
        <v/>
      </c>
      <c r="AK223" s="2"/>
      <c r="AL223" s="1" t="str">
        <f t="shared" si="31"/>
        <v/>
      </c>
      <c r="AM223" s="56" t="str">
        <f t="shared" si="33"/>
        <v/>
      </c>
      <c r="AN223" s="112" t="str">
        <f ca="1">IF($G223=Lists!$R$3,"T1: "&amp;TEXT(FORMULACIÓN!L223,"00,00%")&amp;CHAR(10)&amp;"T2: "&amp;TEXT(FORMULACIÓN!M223,"00,00%")&amp;CHAR(10)&amp;"T3: "&amp;TEXT(FORMULACIÓN!N223,"00,00%")&amp;CHAR(10)&amp;"Tn: "&amp;TEXT(FORMULACIÓN!O223,"00,00%"),IF(FORMULACIÓN!Q223=0,0,"T1: "&amp;TEXT(FORMULACIÓN!L223,"##.###")&amp;CHAR(10)&amp;"T2: "&amp;TEXT(FORMULACIÓN!M223,"##.###")&amp;CHAR(10)&amp;"T3: "&amp;TEXT(FORMULACIÓN!N223,"##.###")&amp;CHAR(10)&amp;"Tn: "&amp;TEXT(FORMULACIÓN!O223,"##.###")))</f>
        <v xml:space="preserve">T1: 
T2: 
T3: 
Tn: </v>
      </c>
      <c r="AO223" s="117" t="str">
        <f>IFERROR(IF($H223=Lists!$S$6,IF(AND(FORMULACIÓN!L223&gt;K223,K223&gt;0),1,0),IF((K223/FORMULACIÓN!L223)&lt;&gt;0,K223/FORMULACIÓN!L223,0)),"")</f>
        <v/>
      </c>
      <c r="AP223" s="117" t="str">
        <f>IFERROR(IF($H223=Lists!$S$6,IF(AND(FORMULACIÓN!M223&gt;L223,L223&gt;0),1,0),IF((L223/FORMULACIÓN!M223)&lt;&gt;0,L223/FORMULACIÓN!M223,0)),"")</f>
        <v/>
      </c>
      <c r="AQ223" s="117" t="str">
        <f>IFERROR(IF($H223=Lists!$S$6,IF(AND(FORMULACIÓN!N223&gt;M223,M223&gt;0),1,0),IF((M223/FORMULACIÓN!N223)&lt;&gt;0,M223/FORMULACIÓN!N223,0)),"")</f>
        <v/>
      </c>
      <c r="AR223" s="117" t="str">
        <f>IFERROR(IF($H223=Lists!$S$6,IF(AND(FORMULACIÓN!O223&gt;N223,N223&gt;0),1,0),IF((N223/FORMULACIÓN!O223)&lt;&gt;0,N223/FORMULACIÓN!O223,0)),"")</f>
        <v/>
      </c>
      <c r="AS223" s="110"/>
      <c r="AT223" s="118" t="str">
        <f ca="1">IF($H223=Lists!$S$6,TEXT(COUNTIF('SEGUIMIENTO Y EVALUACIÓN'!K223:N223,"&lt;"&amp;FORMULACIÓN!Q223),"##.###")&amp;" / "&amp;TEXT(COUNTIF('SEGUIMIENTO Y EVALUACIÓN'!K223:N223,"&gt;"&amp;0),"##.###"),IF($G223=Lists!$R$3,TEXT('SEGUIMIENTO Y EVALUACIÓN'!O223,"00,00%")&amp;" / "&amp;TEXT(FORMULACIÓN!P223,"00,00%"),IF('SEGUIMIENTO Y EVALUACIÓN'!O223=0,0,TEXT('SEGUIMIENTO Y EVALUACIÓN'!O223,"##.###")&amp;" / "&amp;TEXT(FORMULACIÓN!P223,"##.###"))))</f>
        <v xml:space="preserve"> / </v>
      </c>
      <c r="AU223" s="57">
        <f ca="1">IFERROR(IF((P223/FORMULACIÓN!Q223)&lt;&gt;0,IF($H223=Lists!$S$6,COUNTIF('SEGUIMIENTO Y EVALUACIÓN'!K223:N223,"&lt;"&amp;FORMULACIÓN!Q223),'SEGUIMIENTO Y EVALUACIÓN'!P223)/IF($H223=Lists!$S$6,COUNTIF('SEGUIMIENTO Y EVALUACIÓN'!K223:N223,"&gt;"&amp;0),FORMULACIÓN!P223),0),0)</f>
        <v>0</v>
      </c>
      <c r="AV223" s="93" t="str">
        <f t="shared" ca="1" si="32"/>
        <v/>
      </c>
      <c r="AW223" s="93" cm="1">
        <f t="array" ref="AW223">IF(INDEX(AO223:AU223,1,$AV$3)&gt;1,1,INDEX(AO223:AU223,1,$AV$3))</f>
        <v>1</v>
      </c>
      <c r="AX223" s="3"/>
      <c r="AY223" s="119" t="str">
        <f>IFERROR(IF((W223/FORMULACIÓN!X223)&lt;&gt;0,W223/FORMULACIÓN!X223,0),"")</f>
        <v/>
      </c>
      <c r="AZ223" s="119" t="str">
        <f>IFERROR(IF((AA223/FORMULACIÓN!AB223)&lt;&gt;0,AA223/FORMULACIÓN!AB223,0),"")</f>
        <v/>
      </c>
      <c r="BA223" s="119" t="str">
        <f>IFERROR(IF((AE223/FORMULACIÓN!AF223)&lt;&gt;0,(AE223/FORMULACIÓN!AF223),0),"")</f>
        <v/>
      </c>
      <c r="BB223" s="119" t="str">
        <f>IFERROR(IF((AI223/FORMULACIÓN!AJ223)&lt;&gt;0,AI223/FORMULACIÓN!AJ223,0),"")</f>
        <v/>
      </c>
      <c r="BC223" s="120" t="str">
        <f>IF('SEGUIMIENTO Y EVALUACIÓN'!AI223=0,0,TEXT('SEGUIMIENTO Y EVALUACIÓN'!AI223,"$ ##.###")&amp;" / "&amp;TEXT(FORMULACIÓN!AK223,"$ ##.###"))</f>
        <v xml:space="preserve"> / </v>
      </c>
      <c r="BD223" s="57">
        <f>IFERROR(IF((AJ223/FORMULACIÓN!AK223)&lt;&gt;0,AJ223/FORMULACIÓN!AK223,0),0)</f>
        <v>0</v>
      </c>
      <c r="CL223" s="7"/>
    </row>
    <row r="224" spans="1:90" s="1" customFormat="1" ht="99.95" customHeight="1">
      <c r="A224" s="45" t="str">
        <f>IF(FORMULACIÓN!A224="","",FORMULACIÓN!A224)</f>
        <v/>
      </c>
      <c r="B224" s="45" t="str">
        <f>IF(FORMULACIÓN!B224="","",FORMULACIÓN!B224)</f>
        <v/>
      </c>
      <c r="C224" s="45" t="str">
        <f>IF(FORMULACIÓN!E224="","",FORMULACIÓN!E224)</f>
        <v/>
      </c>
      <c r="D224" s="45" t="str">
        <f>IF(FORMULACIÓN!F224="","",FORMULACIÓN!F224)</f>
        <v/>
      </c>
      <c r="E224" s="45" t="str">
        <f>IF(FORMULACIÓN!G224="","",FORMULACIÓN!G224)</f>
        <v/>
      </c>
      <c r="F224" s="45" t="str">
        <f>IF(FORMULACIÓN!H224="","",FORMULACIÓN!H224)</f>
        <v/>
      </c>
      <c r="G224" s="45" t="str">
        <f>IF(FORMULACIÓN!I224="","",FORMULACIÓN!I224)</f>
        <v/>
      </c>
      <c r="H224" s="45" t="str">
        <f>IF(FORMULACIÓN!J224="","",FORMULACIÓN!J224)</f>
        <v/>
      </c>
      <c r="I224" s="188" t="str">
        <f ca="1">IF($G224=Lists!$R$3,"PDI: "&amp;TEXT(FORMULACIÓN!Q224,"00,00%")&amp;CHAR(10)&amp;CHAR(10)&amp;"T1: "&amp;TEXT(FORMULACIÓN!L224,"00,00%")&amp;CHAR(10)&amp;"T2: "&amp;TEXT(FORMULACIÓN!M224,"00,00%")&amp;CHAR(10)&amp;"T3: "&amp;TEXT(FORMULACIÓN!N224,"00,00%")&amp;CHAR(10)&amp;"Tn: "&amp;TEXT(FORMULACIÓN!O224,"00,00%"),IF(FORMULACIÓN!Q224=0,0,"PDI: "&amp;TEXT(FORMULACIÓN!Q224,"##.###")&amp;CHAR(10)&amp;CHAR(10)&amp;"T1: "&amp;TEXT(FORMULACIÓN!L224,"##.###")&amp;CHAR(10)&amp;"T2: "&amp;TEXT(FORMULACIÓN!M224,"##.###")&amp;CHAR(10)&amp;"T3: "&amp;TEXT(FORMULACIÓN!N224,"##.###")&amp;CHAR(10)&amp;"Tn: "&amp;TEXT(FORMULACIÓN!O224,"##.###")))</f>
        <v xml:space="preserve">PDI: 
T1: 
T2: 
T3: 
Tn: </v>
      </c>
      <c r="J224" s="122" t="str">
        <f>IF(FORMULACIÓN!K224&lt;&gt;"",FORMULACIÓN!K224,"")</f>
        <v/>
      </c>
      <c r="K224" s="58"/>
      <c r="L224" s="58"/>
      <c r="M224" s="58"/>
      <c r="N224" s="58"/>
      <c r="O224" s="47" t="str">
        <f ca="1">IFERROR(IF($H224=Lists!$S$2,SUM('SEGUIMIENTO Y EVALUACIÓN'!J224:N224),IF('SEGUIMIENTO Y EVALUACIÓN'!$H224=Lists!$S$3,SUM('SEGUIMIENTO Y EVALUACIÓN'!K224:N224),IF('SEGUIMIENTO Y EVALUACIÓN'!$H224=Lists!$S$4,AVERAGE('SEGUIMIENTO Y EVALUACIÓN'!K224:N224),IF('SEGUIMIENTO Y EVALUACIÓN'!$H224=Lists!$S$5,OFFSET(J224,0,COUNTA(K224:N224)),IF($H224=Lists!$S$6,COUNTIF(K224:N224,"&lt;"&amp;FORMULACIÓN!Q224)/COUNT('SEGUIMIENTO Y EVALUACIÓN'!K224:N224),""))))),"")</f>
        <v/>
      </c>
      <c r="P224" s="51" t="str">
        <f ca="1">IF($G224=Lists!$R$3,TEXT('SEGUIMIENTO Y EVALUACIÓN'!O224,"00,00%"),IF('SEGUIMIENTO Y EVALUACIÓN'!O224=0,0,TEXT('SEGUIMIENTO Y EVALUACIÓN'!O224,"##.###")))</f>
        <v/>
      </c>
      <c r="Q224" s="209" t="str">
        <f>IF(FORMULACIÓN!R224&lt;&gt;"",FORMULACIÓN!R224,"")</f>
        <v/>
      </c>
      <c r="R224" s="209" t="str">
        <f>IF(FORMULACIÓN!S224&lt;&gt;"",FORMULACIÓN!S224,"")</f>
        <v/>
      </c>
      <c r="S224" s="209" t="str">
        <f>IF(FORMULACIÓN!T224&lt;&gt;"",FORMULACIÓN!T224,"")</f>
        <v/>
      </c>
      <c r="T224" s="42"/>
      <c r="U224" s="42"/>
      <c r="V224" s="42"/>
      <c r="W224" s="43" t="str">
        <f t="shared" si="27"/>
        <v/>
      </c>
      <c r="X224" s="42"/>
      <c r="Y224" s="42"/>
      <c r="Z224" s="42"/>
      <c r="AA224" s="43" t="str">
        <f t="shared" si="28"/>
        <v/>
      </c>
      <c r="AB224" s="42"/>
      <c r="AC224" s="42"/>
      <c r="AD224" s="42"/>
      <c r="AE224" s="43" t="str">
        <f t="shared" si="29"/>
        <v/>
      </c>
      <c r="AF224" s="42"/>
      <c r="AG224" s="42"/>
      <c r="AH224" s="42"/>
      <c r="AI224" s="46" t="str">
        <f t="shared" si="30"/>
        <v/>
      </c>
      <c r="AJ224" s="46" t="str">
        <f>IF(SUM(AA224,AE224,W224,AI224)=0,"",SUM((AA224,AE224,W224,AI224)))</f>
        <v/>
      </c>
      <c r="AK224" s="2"/>
      <c r="AL224" s="1" t="str">
        <f t="shared" si="31"/>
        <v/>
      </c>
      <c r="AM224" s="56" t="str">
        <f t="shared" si="33"/>
        <v/>
      </c>
      <c r="AN224" s="112" t="str">
        <f ca="1">IF($G224=Lists!$R$3,"T1: "&amp;TEXT(FORMULACIÓN!L224,"00,00%")&amp;CHAR(10)&amp;"T2: "&amp;TEXT(FORMULACIÓN!M224,"00,00%")&amp;CHAR(10)&amp;"T3: "&amp;TEXT(FORMULACIÓN!N224,"00,00%")&amp;CHAR(10)&amp;"Tn: "&amp;TEXT(FORMULACIÓN!O224,"00,00%"),IF(FORMULACIÓN!Q224=0,0,"T1: "&amp;TEXT(FORMULACIÓN!L224,"##.###")&amp;CHAR(10)&amp;"T2: "&amp;TEXT(FORMULACIÓN!M224,"##.###")&amp;CHAR(10)&amp;"T3: "&amp;TEXT(FORMULACIÓN!N224,"##.###")&amp;CHAR(10)&amp;"Tn: "&amp;TEXT(FORMULACIÓN!O224,"##.###")))</f>
        <v xml:space="preserve">T1: 
T2: 
T3: 
Tn: </v>
      </c>
      <c r="AO224" s="117" t="str">
        <f>IFERROR(IF($H224=Lists!$S$6,IF(AND(FORMULACIÓN!L224&gt;K224,K224&gt;0),1,0),IF((K224/FORMULACIÓN!L224)&lt;&gt;0,K224/FORMULACIÓN!L224,0)),"")</f>
        <v/>
      </c>
      <c r="AP224" s="117" t="str">
        <f>IFERROR(IF($H224=Lists!$S$6,IF(AND(FORMULACIÓN!M224&gt;L224,L224&gt;0),1,0),IF((L224/FORMULACIÓN!M224)&lt;&gt;0,L224/FORMULACIÓN!M224,0)),"")</f>
        <v/>
      </c>
      <c r="AQ224" s="117" t="str">
        <f>IFERROR(IF($H224=Lists!$S$6,IF(AND(FORMULACIÓN!N224&gt;M224,M224&gt;0),1,0),IF((M224/FORMULACIÓN!N224)&lt;&gt;0,M224/FORMULACIÓN!N224,0)),"")</f>
        <v/>
      </c>
      <c r="AR224" s="117" t="str">
        <f>IFERROR(IF($H224=Lists!$S$6,IF(AND(FORMULACIÓN!O224&gt;N224,N224&gt;0),1,0),IF((N224/FORMULACIÓN!O224)&lt;&gt;0,N224/FORMULACIÓN!O224,0)),"")</f>
        <v/>
      </c>
      <c r="AS224" s="110"/>
      <c r="AT224" s="118" t="str">
        <f ca="1">IF($H224=Lists!$S$6,TEXT(COUNTIF('SEGUIMIENTO Y EVALUACIÓN'!K224:N224,"&lt;"&amp;FORMULACIÓN!Q224),"##.###")&amp;" / "&amp;TEXT(COUNTIF('SEGUIMIENTO Y EVALUACIÓN'!K224:N224,"&gt;"&amp;0),"##.###"),IF($G224=Lists!$R$3,TEXT('SEGUIMIENTO Y EVALUACIÓN'!O224,"00,00%")&amp;" / "&amp;TEXT(FORMULACIÓN!P224,"00,00%"),IF('SEGUIMIENTO Y EVALUACIÓN'!O224=0,0,TEXT('SEGUIMIENTO Y EVALUACIÓN'!O224,"##.###")&amp;" / "&amp;TEXT(FORMULACIÓN!P224,"##.###"))))</f>
        <v xml:space="preserve"> / </v>
      </c>
      <c r="AU224" s="57">
        <f ca="1">IFERROR(IF((P224/FORMULACIÓN!Q224)&lt;&gt;0,IF($H224=Lists!$S$6,COUNTIF('SEGUIMIENTO Y EVALUACIÓN'!K224:N224,"&lt;"&amp;FORMULACIÓN!Q224),'SEGUIMIENTO Y EVALUACIÓN'!P224)/IF($H224=Lists!$S$6,COUNTIF('SEGUIMIENTO Y EVALUACIÓN'!K224:N224,"&gt;"&amp;0),FORMULACIÓN!P224),0),0)</f>
        <v>0</v>
      </c>
      <c r="AV224" s="93" t="str">
        <f t="shared" ca="1" si="32"/>
        <v/>
      </c>
      <c r="AW224" s="93" cm="1">
        <f t="array" ref="AW224">IF(INDEX(AO224:AU224,1,$AV$3)&gt;1,1,INDEX(AO224:AU224,1,$AV$3))</f>
        <v>1</v>
      </c>
      <c r="AX224" s="3"/>
      <c r="AY224" s="119" t="str">
        <f>IFERROR(IF((W224/FORMULACIÓN!X224)&lt;&gt;0,W224/FORMULACIÓN!X224,0),"")</f>
        <v/>
      </c>
      <c r="AZ224" s="119" t="str">
        <f>IFERROR(IF((AA224/FORMULACIÓN!AB224)&lt;&gt;0,AA224/FORMULACIÓN!AB224,0),"")</f>
        <v/>
      </c>
      <c r="BA224" s="119" t="str">
        <f>IFERROR(IF((AE224/FORMULACIÓN!AF224)&lt;&gt;0,(AE224/FORMULACIÓN!AF224),0),"")</f>
        <v/>
      </c>
      <c r="BB224" s="119" t="str">
        <f>IFERROR(IF((AI224/FORMULACIÓN!AJ224)&lt;&gt;0,AI224/FORMULACIÓN!AJ224,0),"")</f>
        <v/>
      </c>
      <c r="BC224" s="120" t="str">
        <f>IF('SEGUIMIENTO Y EVALUACIÓN'!AI224=0,0,TEXT('SEGUIMIENTO Y EVALUACIÓN'!AI224,"$ ##.###")&amp;" / "&amp;TEXT(FORMULACIÓN!AK224,"$ ##.###"))</f>
        <v xml:space="preserve"> / </v>
      </c>
      <c r="BD224" s="57">
        <f>IFERROR(IF((AJ224/FORMULACIÓN!AK224)&lt;&gt;0,AJ224/FORMULACIÓN!AK224,0),0)</f>
        <v>0</v>
      </c>
      <c r="CL224" s="7"/>
    </row>
    <row r="225" spans="1:90" s="1" customFormat="1" ht="99.95" customHeight="1">
      <c r="A225" s="45" t="str">
        <f>IF(FORMULACIÓN!A225="","",FORMULACIÓN!A225)</f>
        <v/>
      </c>
      <c r="B225" s="45" t="str">
        <f>IF(FORMULACIÓN!B225="","",FORMULACIÓN!B225)</f>
        <v/>
      </c>
      <c r="C225" s="45" t="str">
        <f>IF(FORMULACIÓN!E225="","",FORMULACIÓN!E225)</f>
        <v/>
      </c>
      <c r="D225" s="45" t="str">
        <f>IF(FORMULACIÓN!F225="","",FORMULACIÓN!F225)</f>
        <v/>
      </c>
      <c r="E225" s="45" t="str">
        <f>IF(FORMULACIÓN!G225="","",FORMULACIÓN!G225)</f>
        <v/>
      </c>
      <c r="F225" s="45" t="str">
        <f>IF(FORMULACIÓN!H225="","",FORMULACIÓN!H225)</f>
        <v/>
      </c>
      <c r="G225" s="45" t="str">
        <f>IF(FORMULACIÓN!I225="","",FORMULACIÓN!I225)</f>
        <v/>
      </c>
      <c r="H225" s="45" t="str">
        <f>IF(FORMULACIÓN!J225="","",FORMULACIÓN!J225)</f>
        <v/>
      </c>
      <c r="I225" s="188" t="str">
        <f ca="1">IF($G225=Lists!$R$3,"PDI: "&amp;TEXT(FORMULACIÓN!Q225,"00,00%")&amp;CHAR(10)&amp;CHAR(10)&amp;"T1: "&amp;TEXT(FORMULACIÓN!L225,"00,00%")&amp;CHAR(10)&amp;"T2: "&amp;TEXT(FORMULACIÓN!M225,"00,00%")&amp;CHAR(10)&amp;"T3: "&amp;TEXT(FORMULACIÓN!N225,"00,00%")&amp;CHAR(10)&amp;"Tn: "&amp;TEXT(FORMULACIÓN!O225,"00,00%"),IF(FORMULACIÓN!Q225=0,0,"PDI: "&amp;TEXT(FORMULACIÓN!Q225,"##.###")&amp;CHAR(10)&amp;CHAR(10)&amp;"T1: "&amp;TEXT(FORMULACIÓN!L225,"##.###")&amp;CHAR(10)&amp;"T2: "&amp;TEXT(FORMULACIÓN!M225,"##.###")&amp;CHAR(10)&amp;"T3: "&amp;TEXT(FORMULACIÓN!N225,"##.###")&amp;CHAR(10)&amp;"Tn: "&amp;TEXT(FORMULACIÓN!O225,"##.###")))</f>
        <v xml:space="preserve">PDI: 
T1: 
T2: 
T3: 
Tn: </v>
      </c>
      <c r="J225" s="122" t="str">
        <f>IF(FORMULACIÓN!K225&lt;&gt;"",FORMULACIÓN!K225,"")</f>
        <v/>
      </c>
      <c r="K225" s="58"/>
      <c r="L225" s="58"/>
      <c r="M225" s="58"/>
      <c r="N225" s="58"/>
      <c r="O225" s="47" t="str">
        <f ca="1">IFERROR(IF($H225=Lists!$S$2,SUM('SEGUIMIENTO Y EVALUACIÓN'!J225:N225),IF('SEGUIMIENTO Y EVALUACIÓN'!$H225=Lists!$S$3,SUM('SEGUIMIENTO Y EVALUACIÓN'!K225:N225),IF('SEGUIMIENTO Y EVALUACIÓN'!$H225=Lists!$S$4,AVERAGE('SEGUIMIENTO Y EVALUACIÓN'!K225:N225),IF('SEGUIMIENTO Y EVALUACIÓN'!$H225=Lists!$S$5,OFFSET(J225,0,COUNTA(K225:N225)),IF($H225=Lists!$S$6,COUNTIF(K225:N225,"&lt;"&amp;FORMULACIÓN!Q225)/COUNT('SEGUIMIENTO Y EVALUACIÓN'!K225:N225),""))))),"")</f>
        <v/>
      </c>
      <c r="P225" s="51" t="str">
        <f ca="1">IF($G225=Lists!$R$3,TEXT('SEGUIMIENTO Y EVALUACIÓN'!O225,"00,00%"),IF('SEGUIMIENTO Y EVALUACIÓN'!O225=0,0,TEXT('SEGUIMIENTO Y EVALUACIÓN'!O225,"##.###")))</f>
        <v/>
      </c>
      <c r="Q225" s="209" t="str">
        <f>IF(FORMULACIÓN!R225&lt;&gt;"",FORMULACIÓN!R225,"")</f>
        <v/>
      </c>
      <c r="R225" s="209" t="str">
        <f>IF(FORMULACIÓN!S225&lt;&gt;"",FORMULACIÓN!S225,"")</f>
        <v/>
      </c>
      <c r="S225" s="209" t="str">
        <f>IF(FORMULACIÓN!T225&lt;&gt;"",FORMULACIÓN!T225,"")</f>
        <v/>
      </c>
      <c r="T225" s="42"/>
      <c r="U225" s="42"/>
      <c r="V225" s="42"/>
      <c r="W225" s="43" t="str">
        <f t="shared" si="27"/>
        <v/>
      </c>
      <c r="X225" s="42"/>
      <c r="Y225" s="42"/>
      <c r="Z225" s="42"/>
      <c r="AA225" s="43" t="str">
        <f t="shared" si="28"/>
        <v/>
      </c>
      <c r="AB225" s="42"/>
      <c r="AC225" s="42"/>
      <c r="AD225" s="42"/>
      <c r="AE225" s="43" t="str">
        <f t="shared" si="29"/>
        <v/>
      </c>
      <c r="AF225" s="42"/>
      <c r="AG225" s="42"/>
      <c r="AH225" s="42"/>
      <c r="AI225" s="46" t="str">
        <f t="shared" si="30"/>
        <v/>
      </c>
      <c r="AJ225" s="46" t="str">
        <f>IF(SUM(AA225,AE225,W225,AI225)=0,"",SUM((AA225,AE225,W225,AI225)))</f>
        <v/>
      </c>
      <c r="AK225" s="2"/>
      <c r="AL225" s="1" t="str">
        <f t="shared" si="31"/>
        <v/>
      </c>
      <c r="AM225" s="56" t="str">
        <f t="shared" si="33"/>
        <v/>
      </c>
      <c r="AN225" s="112" t="str">
        <f ca="1">IF($G225=Lists!$R$3,"T1: "&amp;TEXT(FORMULACIÓN!L225,"00,00%")&amp;CHAR(10)&amp;"T2: "&amp;TEXT(FORMULACIÓN!M225,"00,00%")&amp;CHAR(10)&amp;"T3: "&amp;TEXT(FORMULACIÓN!N225,"00,00%")&amp;CHAR(10)&amp;"Tn: "&amp;TEXT(FORMULACIÓN!O225,"00,00%"),IF(FORMULACIÓN!Q225=0,0,"T1: "&amp;TEXT(FORMULACIÓN!L225,"##.###")&amp;CHAR(10)&amp;"T2: "&amp;TEXT(FORMULACIÓN!M225,"##.###")&amp;CHAR(10)&amp;"T3: "&amp;TEXT(FORMULACIÓN!N225,"##.###")&amp;CHAR(10)&amp;"Tn: "&amp;TEXT(FORMULACIÓN!O225,"##.###")))</f>
        <v xml:space="preserve">T1: 
T2: 
T3: 
Tn: </v>
      </c>
      <c r="AO225" s="117" t="str">
        <f>IFERROR(IF($H225=Lists!$S$6,IF(AND(FORMULACIÓN!L225&gt;K225,K225&gt;0),1,0),IF((K225/FORMULACIÓN!L225)&lt;&gt;0,K225/FORMULACIÓN!L225,0)),"")</f>
        <v/>
      </c>
      <c r="AP225" s="117" t="str">
        <f>IFERROR(IF($H225=Lists!$S$6,IF(AND(FORMULACIÓN!M225&gt;L225,L225&gt;0),1,0),IF((L225/FORMULACIÓN!M225)&lt;&gt;0,L225/FORMULACIÓN!M225,0)),"")</f>
        <v/>
      </c>
      <c r="AQ225" s="117" t="str">
        <f>IFERROR(IF($H225=Lists!$S$6,IF(AND(FORMULACIÓN!N225&gt;M225,M225&gt;0),1,0),IF((M225/FORMULACIÓN!N225)&lt;&gt;0,M225/FORMULACIÓN!N225,0)),"")</f>
        <v/>
      </c>
      <c r="AR225" s="117" t="str">
        <f>IFERROR(IF($H225=Lists!$S$6,IF(AND(FORMULACIÓN!O225&gt;N225,N225&gt;0),1,0),IF((N225/FORMULACIÓN!O225)&lt;&gt;0,N225/FORMULACIÓN!O225,0)),"")</f>
        <v/>
      </c>
      <c r="AS225" s="110"/>
      <c r="AT225" s="118" t="str">
        <f ca="1">IF($H225=Lists!$S$6,TEXT(COUNTIF('SEGUIMIENTO Y EVALUACIÓN'!K225:N225,"&lt;"&amp;FORMULACIÓN!Q225),"##.###")&amp;" / "&amp;TEXT(COUNTIF('SEGUIMIENTO Y EVALUACIÓN'!K225:N225,"&gt;"&amp;0),"##.###"),IF($G225=Lists!$R$3,TEXT('SEGUIMIENTO Y EVALUACIÓN'!O225,"00,00%")&amp;" / "&amp;TEXT(FORMULACIÓN!P225,"00,00%"),IF('SEGUIMIENTO Y EVALUACIÓN'!O225=0,0,TEXT('SEGUIMIENTO Y EVALUACIÓN'!O225,"##.###")&amp;" / "&amp;TEXT(FORMULACIÓN!P225,"##.###"))))</f>
        <v xml:space="preserve"> / </v>
      </c>
      <c r="AU225" s="57">
        <f ca="1">IFERROR(IF((P225/FORMULACIÓN!Q225)&lt;&gt;0,IF($H225=Lists!$S$6,COUNTIF('SEGUIMIENTO Y EVALUACIÓN'!K225:N225,"&lt;"&amp;FORMULACIÓN!Q225),'SEGUIMIENTO Y EVALUACIÓN'!P225)/IF($H225=Lists!$S$6,COUNTIF('SEGUIMIENTO Y EVALUACIÓN'!K225:N225,"&gt;"&amp;0),FORMULACIÓN!P225),0),0)</f>
        <v>0</v>
      </c>
      <c r="AV225" s="93" t="str">
        <f t="shared" ca="1" si="32"/>
        <v/>
      </c>
      <c r="AW225" s="93" cm="1">
        <f t="array" ref="AW225">IF(INDEX(AO225:AU225,1,$AV$3)&gt;1,1,INDEX(AO225:AU225,1,$AV$3))</f>
        <v>1</v>
      </c>
      <c r="AX225" s="3"/>
      <c r="AY225" s="119" t="str">
        <f>IFERROR(IF((W225/FORMULACIÓN!X225)&lt;&gt;0,W225/FORMULACIÓN!X225,0),"")</f>
        <v/>
      </c>
      <c r="AZ225" s="119" t="str">
        <f>IFERROR(IF((AA225/FORMULACIÓN!AB225)&lt;&gt;0,AA225/FORMULACIÓN!AB225,0),"")</f>
        <v/>
      </c>
      <c r="BA225" s="119" t="str">
        <f>IFERROR(IF((AE225/FORMULACIÓN!AF225)&lt;&gt;0,(AE225/FORMULACIÓN!AF225),0),"")</f>
        <v/>
      </c>
      <c r="BB225" s="119" t="str">
        <f>IFERROR(IF((AI225/FORMULACIÓN!AJ225)&lt;&gt;0,AI225/FORMULACIÓN!AJ225,0),"")</f>
        <v/>
      </c>
      <c r="BC225" s="120" t="str">
        <f>IF('SEGUIMIENTO Y EVALUACIÓN'!AI225=0,0,TEXT('SEGUIMIENTO Y EVALUACIÓN'!AI225,"$ ##.###")&amp;" / "&amp;TEXT(FORMULACIÓN!AK225,"$ ##.###"))</f>
        <v xml:space="preserve"> / </v>
      </c>
      <c r="BD225" s="57">
        <f>IFERROR(IF((AJ225/FORMULACIÓN!AK225)&lt;&gt;0,AJ225/FORMULACIÓN!AK225,0),0)</f>
        <v>0</v>
      </c>
      <c r="CL225" s="7"/>
    </row>
    <row r="226" spans="1:90" s="1" customFormat="1" ht="99.95" customHeight="1">
      <c r="A226" s="45" t="str">
        <f>IF(FORMULACIÓN!A226="","",FORMULACIÓN!A226)</f>
        <v/>
      </c>
      <c r="B226" s="45" t="str">
        <f>IF(FORMULACIÓN!B226="","",FORMULACIÓN!B226)</f>
        <v/>
      </c>
      <c r="C226" s="45" t="str">
        <f>IF(FORMULACIÓN!E226="","",FORMULACIÓN!E226)</f>
        <v/>
      </c>
      <c r="D226" s="45" t="str">
        <f>IF(FORMULACIÓN!F226="","",FORMULACIÓN!F226)</f>
        <v/>
      </c>
      <c r="E226" s="45" t="str">
        <f>IF(FORMULACIÓN!G226="","",FORMULACIÓN!G226)</f>
        <v/>
      </c>
      <c r="F226" s="45" t="str">
        <f>IF(FORMULACIÓN!H226="","",FORMULACIÓN!H226)</f>
        <v/>
      </c>
      <c r="G226" s="45" t="str">
        <f>IF(FORMULACIÓN!I226="","",FORMULACIÓN!I226)</f>
        <v/>
      </c>
      <c r="H226" s="45" t="str">
        <f>IF(FORMULACIÓN!J226="","",FORMULACIÓN!J226)</f>
        <v/>
      </c>
      <c r="I226" s="188" t="str">
        <f ca="1">IF($G226=Lists!$R$3,"PDI: "&amp;TEXT(FORMULACIÓN!Q226,"00,00%")&amp;CHAR(10)&amp;CHAR(10)&amp;"T1: "&amp;TEXT(FORMULACIÓN!L226,"00,00%")&amp;CHAR(10)&amp;"T2: "&amp;TEXT(FORMULACIÓN!M226,"00,00%")&amp;CHAR(10)&amp;"T3: "&amp;TEXT(FORMULACIÓN!N226,"00,00%")&amp;CHAR(10)&amp;"Tn: "&amp;TEXT(FORMULACIÓN!O226,"00,00%"),IF(FORMULACIÓN!Q226=0,0,"PDI: "&amp;TEXT(FORMULACIÓN!Q226,"##.###")&amp;CHAR(10)&amp;CHAR(10)&amp;"T1: "&amp;TEXT(FORMULACIÓN!L226,"##.###")&amp;CHAR(10)&amp;"T2: "&amp;TEXT(FORMULACIÓN!M226,"##.###")&amp;CHAR(10)&amp;"T3: "&amp;TEXT(FORMULACIÓN!N226,"##.###")&amp;CHAR(10)&amp;"Tn: "&amp;TEXT(FORMULACIÓN!O226,"##.###")))</f>
        <v xml:space="preserve">PDI: 
T1: 
T2: 
T3: 
Tn: </v>
      </c>
      <c r="J226" s="122" t="str">
        <f>IF(FORMULACIÓN!K226&lt;&gt;"",FORMULACIÓN!K226,"")</f>
        <v/>
      </c>
      <c r="K226" s="58"/>
      <c r="L226" s="58"/>
      <c r="M226" s="58"/>
      <c r="N226" s="58"/>
      <c r="O226" s="47" t="str">
        <f ca="1">IFERROR(IF($H226=Lists!$S$2,SUM('SEGUIMIENTO Y EVALUACIÓN'!J226:N226),IF('SEGUIMIENTO Y EVALUACIÓN'!$H226=Lists!$S$3,SUM('SEGUIMIENTO Y EVALUACIÓN'!K226:N226),IF('SEGUIMIENTO Y EVALUACIÓN'!$H226=Lists!$S$4,AVERAGE('SEGUIMIENTO Y EVALUACIÓN'!K226:N226),IF('SEGUIMIENTO Y EVALUACIÓN'!$H226=Lists!$S$5,OFFSET(J226,0,COUNTA(K226:N226)),IF($H226=Lists!$S$6,COUNTIF(K226:N226,"&lt;"&amp;FORMULACIÓN!Q226)/COUNT('SEGUIMIENTO Y EVALUACIÓN'!K226:N226),""))))),"")</f>
        <v/>
      </c>
      <c r="P226" s="51" t="str">
        <f ca="1">IF($G226=Lists!$R$3,TEXT('SEGUIMIENTO Y EVALUACIÓN'!O226,"00,00%"),IF('SEGUIMIENTO Y EVALUACIÓN'!O226=0,0,TEXT('SEGUIMIENTO Y EVALUACIÓN'!O226,"##.###")))</f>
        <v/>
      </c>
      <c r="Q226" s="209" t="str">
        <f>IF(FORMULACIÓN!R226&lt;&gt;"",FORMULACIÓN!R226,"")</f>
        <v/>
      </c>
      <c r="R226" s="209" t="str">
        <f>IF(FORMULACIÓN!S226&lt;&gt;"",FORMULACIÓN!S226,"")</f>
        <v/>
      </c>
      <c r="S226" s="209" t="str">
        <f>IF(FORMULACIÓN!T226&lt;&gt;"",FORMULACIÓN!T226,"")</f>
        <v/>
      </c>
      <c r="T226" s="42"/>
      <c r="U226" s="42"/>
      <c r="V226" s="42"/>
      <c r="W226" s="43" t="str">
        <f t="shared" si="27"/>
        <v/>
      </c>
      <c r="X226" s="42"/>
      <c r="Y226" s="42"/>
      <c r="Z226" s="42"/>
      <c r="AA226" s="43" t="str">
        <f t="shared" si="28"/>
        <v/>
      </c>
      <c r="AB226" s="42"/>
      <c r="AC226" s="42"/>
      <c r="AD226" s="42"/>
      <c r="AE226" s="43" t="str">
        <f t="shared" si="29"/>
        <v/>
      </c>
      <c r="AF226" s="42"/>
      <c r="AG226" s="42"/>
      <c r="AH226" s="42"/>
      <c r="AI226" s="46" t="str">
        <f t="shared" si="30"/>
        <v/>
      </c>
      <c r="AJ226" s="46" t="str">
        <f>IF(SUM(AA226,AE226,W226,AI226)=0,"",SUM((AA226,AE226,W226,AI226)))</f>
        <v/>
      </c>
      <c r="AK226" s="2"/>
      <c r="AL226" s="1" t="str">
        <f t="shared" si="31"/>
        <v/>
      </c>
      <c r="AM226" s="56" t="str">
        <f t="shared" si="33"/>
        <v/>
      </c>
      <c r="AN226" s="112" t="str">
        <f ca="1">IF($G226=Lists!$R$3,"T1: "&amp;TEXT(FORMULACIÓN!L226,"00,00%")&amp;CHAR(10)&amp;"T2: "&amp;TEXT(FORMULACIÓN!M226,"00,00%")&amp;CHAR(10)&amp;"T3: "&amp;TEXT(FORMULACIÓN!N226,"00,00%")&amp;CHAR(10)&amp;"Tn: "&amp;TEXT(FORMULACIÓN!O226,"00,00%"),IF(FORMULACIÓN!Q226=0,0,"T1: "&amp;TEXT(FORMULACIÓN!L226,"##.###")&amp;CHAR(10)&amp;"T2: "&amp;TEXT(FORMULACIÓN!M226,"##.###")&amp;CHAR(10)&amp;"T3: "&amp;TEXT(FORMULACIÓN!N226,"##.###")&amp;CHAR(10)&amp;"Tn: "&amp;TEXT(FORMULACIÓN!O226,"##.###")))</f>
        <v xml:space="preserve">T1: 
T2: 
T3: 
Tn: </v>
      </c>
      <c r="AO226" s="117" t="str">
        <f>IFERROR(IF($H226=Lists!$S$6,IF(AND(FORMULACIÓN!L226&gt;K226,K226&gt;0),1,0),IF((K226/FORMULACIÓN!L226)&lt;&gt;0,K226/FORMULACIÓN!L226,0)),"")</f>
        <v/>
      </c>
      <c r="AP226" s="117" t="str">
        <f>IFERROR(IF($H226=Lists!$S$6,IF(AND(FORMULACIÓN!M226&gt;L226,L226&gt;0),1,0),IF((L226/FORMULACIÓN!M226)&lt;&gt;0,L226/FORMULACIÓN!M226,0)),"")</f>
        <v/>
      </c>
      <c r="AQ226" s="117" t="str">
        <f>IFERROR(IF($H226=Lists!$S$6,IF(AND(FORMULACIÓN!N226&gt;M226,M226&gt;0),1,0),IF((M226/FORMULACIÓN!N226)&lt;&gt;0,M226/FORMULACIÓN!N226,0)),"")</f>
        <v/>
      </c>
      <c r="AR226" s="117" t="str">
        <f>IFERROR(IF($H226=Lists!$S$6,IF(AND(FORMULACIÓN!O226&gt;N226,N226&gt;0),1,0),IF((N226/FORMULACIÓN!O226)&lt;&gt;0,N226/FORMULACIÓN!O226,0)),"")</f>
        <v/>
      </c>
      <c r="AS226" s="110"/>
      <c r="AT226" s="118" t="str">
        <f ca="1">IF($H226=Lists!$S$6,TEXT(COUNTIF('SEGUIMIENTO Y EVALUACIÓN'!K226:N226,"&lt;"&amp;FORMULACIÓN!Q226),"##.###")&amp;" / "&amp;TEXT(COUNTIF('SEGUIMIENTO Y EVALUACIÓN'!K226:N226,"&gt;"&amp;0),"##.###"),IF($G226=Lists!$R$3,TEXT('SEGUIMIENTO Y EVALUACIÓN'!O226,"00,00%")&amp;" / "&amp;TEXT(FORMULACIÓN!P226,"00,00%"),IF('SEGUIMIENTO Y EVALUACIÓN'!O226=0,0,TEXT('SEGUIMIENTO Y EVALUACIÓN'!O226,"##.###")&amp;" / "&amp;TEXT(FORMULACIÓN!P226,"##.###"))))</f>
        <v xml:space="preserve"> / </v>
      </c>
      <c r="AU226" s="57">
        <f ca="1">IFERROR(IF((P226/FORMULACIÓN!Q226)&lt;&gt;0,IF($H226=Lists!$S$6,COUNTIF('SEGUIMIENTO Y EVALUACIÓN'!K226:N226,"&lt;"&amp;FORMULACIÓN!Q226),'SEGUIMIENTO Y EVALUACIÓN'!P226)/IF($H226=Lists!$S$6,COUNTIF('SEGUIMIENTO Y EVALUACIÓN'!K226:N226,"&gt;"&amp;0),FORMULACIÓN!P226),0),0)</f>
        <v>0</v>
      </c>
      <c r="AV226" s="93" t="str">
        <f t="shared" ca="1" si="32"/>
        <v/>
      </c>
      <c r="AW226" s="93" cm="1">
        <f t="array" ref="AW226">IF(INDEX(AO226:AU226,1,$AV$3)&gt;1,1,INDEX(AO226:AU226,1,$AV$3))</f>
        <v>1</v>
      </c>
      <c r="AX226" s="3"/>
      <c r="AY226" s="119" t="str">
        <f>IFERROR(IF((W226/FORMULACIÓN!X226)&lt;&gt;0,W226/FORMULACIÓN!X226,0),"")</f>
        <v/>
      </c>
      <c r="AZ226" s="119" t="str">
        <f>IFERROR(IF((AA226/FORMULACIÓN!AB226)&lt;&gt;0,AA226/FORMULACIÓN!AB226,0),"")</f>
        <v/>
      </c>
      <c r="BA226" s="119" t="str">
        <f>IFERROR(IF((AE226/FORMULACIÓN!AF226)&lt;&gt;0,(AE226/FORMULACIÓN!AF226),0),"")</f>
        <v/>
      </c>
      <c r="BB226" s="119" t="str">
        <f>IFERROR(IF((AI226/FORMULACIÓN!AJ226)&lt;&gt;0,AI226/FORMULACIÓN!AJ226,0),"")</f>
        <v/>
      </c>
      <c r="BC226" s="120" t="str">
        <f>IF('SEGUIMIENTO Y EVALUACIÓN'!AI226=0,0,TEXT('SEGUIMIENTO Y EVALUACIÓN'!AI226,"$ ##.###")&amp;" / "&amp;TEXT(FORMULACIÓN!AK226,"$ ##.###"))</f>
        <v xml:space="preserve"> / </v>
      </c>
      <c r="BD226" s="57">
        <f>IFERROR(IF((AJ226/FORMULACIÓN!AK226)&lt;&gt;0,AJ226/FORMULACIÓN!AK226,0),0)</f>
        <v>0</v>
      </c>
      <c r="CL226" s="7"/>
    </row>
    <row r="227" spans="1:90" s="1" customFormat="1" ht="99.95" customHeight="1">
      <c r="A227" s="45" t="str">
        <f>IF(FORMULACIÓN!A227="","",FORMULACIÓN!A227)</f>
        <v/>
      </c>
      <c r="B227" s="45" t="str">
        <f>IF(FORMULACIÓN!B227="","",FORMULACIÓN!B227)</f>
        <v/>
      </c>
      <c r="C227" s="45" t="str">
        <f>IF(FORMULACIÓN!E227="","",FORMULACIÓN!E227)</f>
        <v/>
      </c>
      <c r="D227" s="45" t="str">
        <f>IF(FORMULACIÓN!F227="","",FORMULACIÓN!F227)</f>
        <v/>
      </c>
      <c r="E227" s="45" t="str">
        <f>IF(FORMULACIÓN!G227="","",FORMULACIÓN!G227)</f>
        <v/>
      </c>
      <c r="F227" s="45" t="str">
        <f>IF(FORMULACIÓN!H227="","",FORMULACIÓN!H227)</f>
        <v/>
      </c>
      <c r="G227" s="45" t="str">
        <f>IF(FORMULACIÓN!I227="","",FORMULACIÓN!I227)</f>
        <v/>
      </c>
      <c r="H227" s="45" t="str">
        <f>IF(FORMULACIÓN!J227="","",FORMULACIÓN!J227)</f>
        <v/>
      </c>
      <c r="I227" s="188" t="str">
        <f ca="1">IF($G227=Lists!$R$3,"PDI: "&amp;TEXT(FORMULACIÓN!Q227,"00,00%")&amp;CHAR(10)&amp;CHAR(10)&amp;"T1: "&amp;TEXT(FORMULACIÓN!L227,"00,00%")&amp;CHAR(10)&amp;"T2: "&amp;TEXT(FORMULACIÓN!M227,"00,00%")&amp;CHAR(10)&amp;"T3: "&amp;TEXT(FORMULACIÓN!N227,"00,00%")&amp;CHAR(10)&amp;"Tn: "&amp;TEXT(FORMULACIÓN!O227,"00,00%"),IF(FORMULACIÓN!Q227=0,0,"PDI: "&amp;TEXT(FORMULACIÓN!Q227,"##.###")&amp;CHAR(10)&amp;CHAR(10)&amp;"T1: "&amp;TEXT(FORMULACIÓN!L227,"##.###")&amp;CHAR(10)&amp;"T2: "&amp;TEXT(FORMULACIÓN!M227,"##.###")&amp;CHAR(10)&amp;"T3: "&amp;TEXT(FORMULACIÓN!N227,"##.###")&amp;CHAR(10)&amp;"Tn: "&amp;TEXT(FORMULACIÓN!O227,"##.###")))</f>
        <v xml:space="preserve">PDI: 
T1: 
T2: 
T3: 
Tn: </v>
      </c>
      <c r="J227" s="122" t="str">
        <f>IF(FORMULACIÓN!K227&lt;&gt;"",FORMULACIÓN!K227,"")</f>
        <v/>
      </c>
      <c r="K227" s="58"/>
      <c r="L227" s="58"/>
      <c r="M227" s="58"/>
      <c r="N227" s="58"/>
      <c r="O227" s="47" t="str">
        <f ca="1">IFERROR(IF($H227=Lists!$S$2,SUM('SEGUIMIENTO Y EVALUACIÓN'!J227:N227),IF('SEGUIMIENTO Y EVALUACIÓN'!$H227=Lists!$S$3,SUM('SEGUIMIENTO Y EVALUACIÓN'!K227:N227),IF('SEGUIMIENTO Y EVALUACIÓN'!$H227=Lists!$S$4,AVERAGE('SEGUIMIENTO Y EVALUACIÓN'!K227:N227),IF('SEGUIMIENTO Y EVALUACIÓN'!$H227=Lists!$S$5,OFFSET(J227,0,COUNTA(K227:N227)),IF($H227=Lists!$S$6,COUNTIF(K227:N227,"&lt;"&amp;FORMULACIÓN!Q227)/COUNT('SEGUIMIENTO Y EVALUACIÓN'!K227:N227),""))))),"")</f>
        <v/>
      </c>
      <c r="P227" s="51" t="str">
        <f ca="1">IF($G227=Lists!$R$3,TEXT('SEGUIMIENTO Y EVALUACIÓN'!O227,"00,00%"),IF('SEGUIMIENTO Y EVALUACIÓN'!O227=0,0,TEXT('SEGUIMIENTO Y EVALUACIÓN'!O227,"##.###")))</f>
        <v/>
      </c>
      <c r="Q227" s="209" t="str">
        <f>IF(FORMULACIÓN!R227&lt;&gt;"",FORMULACIÓN!R227,"")</f>
        <v/>
      </c>
      <c r="R227" s="209" t="str">
        <f>IF(FORMULACIÓN!S227&lt;&gt;"",FORMULACIÓN!S227,"")</f>
        <v/>
      </c>
      <c r="S227" s="209" t="str">
        <f>IF(FORMULACIÓN!T227&lt;&gt;"",FORMULACIÓN!T227,"")</f>
        <v/>
      </c>
      <c r="T227" s="42"/>
      <c r="U227" s="42"/>
      <c r="V227" s="42"/>
      <c r="W227" s="43" t="str">
        <f t="shared" si="27"/>
        <v/>
      </c>
      <c r="X227" s="42"/>
      <c r="Y227" s="42"/>
      <c r="Z227" s="42"/>
      <c r="AA227" s="43" t="str">
        <f t="shared" si="28"/>
        <v/>
      </c>
      <c r="AB227" s="42"/>
      <c r="AC227" s="42"/>
      <c r="AD227" s="42"/>
      <c r="AE227" s="43" t="str">
        <f t="shared" si="29"/>
        <v/>
      </c>
      <c r="AF227" s="42"/>
      <c r="AG227" s="42"/>
      <c r="AH227" s="42"/>
      <c r="AI227" s="46" t="str">
        <f t="shared" si="30"/>
        <v/>
      </c>
      <c r="AJ227" s="46" t="str">
        <f>IF(SUM(AA227,AE227,W227,AI227)=0,"",SUM((AA227,AE227,W227,AI227)))</f>
        <v/>
      </c>
      <c r="AK227" s="2"/>
      <c r="AL227" s="1" t="str">
        <f t="shared" si="31"/>
        <v/>
      </c>
      <c r="AM227" s="56" t="str">
        <f t="shared" si="33"/>
        <v/>
      </c>
      <c r="AN227" s="112" t="str">
        <f ca="1">IF($G227=Lists!$R$3,"T1: "&amp;TEXT(FORMULACIÓN!L227,"00,00%")&amp;CHAR(10)&amp;"T2: "&amp;TEXT(FORMULACIÓN!M227,"00,00%")&amp;CHAR(10)&amp;"T3: "&amp;TEXT(FORMULACIÓN!N227,"00,00%")&amp;CHAR(10)&amp;"Tn: "&amp;TEXT(FORMULACIÓN!O227,"00,00%"),IF(FORMULACIÓN!Q227=0,0,"T1: "&amp;TEXT(FORMULACIÓN!L227,"##.###")&amp;CHAR(10)&amp;"T2: "&amp;TEXT(FORMULACIÓN!M227,"##.###")&amp;CHAR(10)&amp;"T3: "&amp;TEXT(FORMULACIÓN!N227,"##.###")&amp;CHAR(10)&amp;"Tn: "&amp;TEXT(FORMULACIÓN!O227,"##.###")))</f>
        <v xml:space="preserve">T1: 
T2: 
T3: 
Tn: </v>
      </c>
      <c r="AO227" s="117" t="str">
        <f>IFERROR(IF($H227=Lists!$S$6,IF(AND(FORMULACIÓN!L227&gt;K227,K227&gt;0),1,0),IF((K227/FORMULACIÓN!L227)&lt;&gt;0,K227/FORMULACIÓN!L227,0)),"")</f>
        <v/>
      </c>
      <c r="AP227" s="117" t="str">
        <f>IFERROR(IF($H227=Lists!$S$6,IF(AND(FORMULACIÓN!M227&gt;L227,L227&gt;0),1,0),IF((L227/FORMULACIÓN!M227)&lt;&gt;0,L227/FORMULACIÓN!M227,0)),"")</f>
        <v/>
      </c>
      <c r="AQ227" s="117" t="str">
        <f>IFERROR(IF($H227=Lists!$S$6,IF(AND(FORMULACIÓN!N227&gt;M227,M227&gt;0),1,0),IF((M227/FORMULACIÓN!N227)&lt;&gt;0,M227/FORMULACIÓN!N227,0)),"")</f>
        <v/>
      </c>
      <c r="AR227" s="117" t="str">
        <f>IFERROR(IF($H227=Lists!$S$6,IF(AND(FORMULACIÓN!O227&gt;N227,N227&gt;0),1,0),IF((N227/FORMULACIÓN!O227)&lt;&gt;0,N227/FORMULACIÓN!O227,0)),"")</f>
        <v/>
      </c>
      <c r="AS227" s="110"/>
      <c r="AT227" s="118" t="str">
        <f ca="1">IF($H227=Lists!$S$6,TEXT(COUNTIF('SEGUIMIENTO Y EVALUACIÓN'!K227:N227,"&lt;"&amp;FORMULACIÓN!Q227),"##.###")&amp;" / "&amp;TEXT(COUNTIF('SEGUIMIENTO Y EVALUACIÓN'!K227:N227,"&gt;"&amp;0),"##.###"),IF($G227=Lists!$R$3,TEXT('SEGUIMIENTO Y EVALUACIÓN'!O227,"00,00%")&amp;" / "&amp;TEXT(FORMULACIÓN!P227,"00,00%"),IF('SEGUIMIENTO Y EVALUACIÓN'!O227=0,0,TEXT('SEGUIMIENTO Y EVALUACIÓN'!O227,"##.###")&amp;" / "&amp;TEXT(FORMULACIÓN!P227,"##.###"))))</f>
        <v xml:space="preserve"> / </v>
      </c>
      <c r="AU227" s="57">
        <f ca="1">IFERROR(IF((P227/FORMULACIÓN!Q227)&lt;&gt;0,IF($H227=Lists!$S$6,COUNTIF('SEGUIMIENTO Y EVALUACIÓN'!K227:N227,"&lt;"&amp;FORMULACIÓN!Q227),'SEGUIMIENTO Y EVALUACIÓN'!P227)/IF($H227=Lists!$S$6,COUNTIF('SEGUIMIENTO Y EVALUACIÓN'!K227:N227,"&gt;"&amp;0),FORMULACIÓN!P227),0),0)</f>
        <v>0</v>
      </c>
      <c r="AV227" s="93" t="str">
        <f t="shared" ca="1" si="32"/>
        <v/>
      </c>
      <c r="AW227" s="93" cm="1">
        <f t="array" ref="AW227">IF(INDEX(AO227:AU227,1,$AV$3)&gt;1,1,INDEX(AO227:AU227,1,$AV$3))</f>
        <v>1</v>
      </c>
      <c r="AX227" s="3"/>
      <c r="AY227" s="119" t="str">
        <f>IFERROR(IF((W227/FORMULACIÓN!X227)&lt;&gt;0,W227/FORMULACIÓN!X227,0),"")</f>
        <v/>
      </c>
      <c r="AZ227" s="119" t="str">
        <f>IFERROR(IF((AA227/FORMULACIÓN!AB227)&lt;&gt;0,AA227/FORMULACIÓN!AB227,0),"")</f>
        <v/>
      </c>
      <c r="BA227" s="119" t="str">
        <f>IFERROR(IF((AE227/FORMULACIÓN!AF227)&lt;&gt;0,(AE227/FORMULACIÓN!AF227),0),"")</f>
        <v/>
      </c>
      <c r="BB227" s="119" t="str">
        <f>IFERROR(IF((AI227/FORMULACIÓN!AJ227)&lt;&gt;0,AI227/FORMULACIÓN!AJ227,0),"")</f>
        <v/>
      </c>
      <c r="BC227" s="120" t="str">
        <f>IF('SEGUIMIENTO Y EVALUACIÓN'!AI227=0,0,TEXT('SEGUIMIENTO Y EVALUACIÓN'!AI227,"$ ##.###")&amp;" / "&amp;TEXT(FORMULACIÓN!AK227,"$ ##.###"))</f>
        <v xml:space="preserve"> / </v>
      </c>
      <c r="BD227" s="57">
        <f>IFERROR(IF((AJ227/FORMULACIÓN!AK227)&lt;&gt;0,AJ227/FORMULACIÓN!AK227,0),0)</f>
        <v>0</v>
      </c>
      <c r="CL227" s="7"/>
    </row>
    <row r="228" spans="1:90" s="1" customFormat="1" ht="99.95" customHeight="1">
      <c r="A228" s="45" t="str">
        <f>IF(FORMULACIÓN!A228="","",FORMULACIÓN!A228)</f>
        <v/>
      </c>
      <c r="B228" s="45" t="str">
        <f>IF(FORMULACIÓN!B228="","",FORMULACIÓN!B228)</f>
        <v/>
      </c>
      <c r="C228" s="45" t="str">
        <f>IF(FORMULACIÓN!E228="","",FORMULACIÓN!E228)</f>
        <v/>
      </c>
      <c r="D228" s="45" t="str">
        <f>IF(FORMULACIÓN!F228="","",FORMULACIÓN!F228)</f>
        <v/>
      </c>
      <c r="E228" s="45" t="str">
        <f>IF(FORMULACIÓN!G228="","",FORMULACIÓN!G228)</f>
        <v/>
      </c>
      <c r="F228" s="45" t="str">
        <f>IF(FORMULACIÓN!H228="","",FORMULACIÓN!H228)</f>
        <v/>
      </c>
      <c r="G228" s="45" t="str">
        <f>IF(FORMULACIÓN!I228="","",FORMULACIÓN!I228)</f>
        <v/>
      </c>
      <c r="H228" s="45" t="str">
        <f>IF(FORMULACIÓN!J228="","",FORMULACIÓN!J228)</f>
        <v/>
      </c>
      <c r="I228" s="188" t="str">
        <f ca="1">IF($G228=Lists!$R$3,"PDI: "&amp;TEXT(FORMULACIÓN!Q228,"00,00%")&amp;CHAR(10)&amp;CHAR(10)&amp;"T1: "&amp;TEXT(FORMULACIÓN!L228,"00,00%")&amp;CHAR(10)&amp;"T2: "&amp;TEXT(FORMULACIÓN!M228,"00,00%")&amp;CHAR(10)&amp;"T3: "&amp;TEXT(FORMULACIÓN!N228,"00,00%")&amp;CHAR(10)&amp;"Tn: "&amp;TEXT(FORMULACIÓN!O228,"00,00%"),IF(FORMULACIÓN!Q228=0,0,"PDI: "&amp;TEXT(FORMULACIÓN!Q228,"##.###")&amp;CHAR(10)&amp;CHAR(10)&amp;"T1: "&amp;TEXT(FORMULACIÓN!L228,"##.###")&amp;CHAR(10)&amp;"T2: "&amp;TEXT(FORMULACIÓN!M228,"##.###")&amp;CHAR(10)&amp;"T3: "&amp;TEXT(FORMULACIÓN!N228,"##.###")&amp;CHAR(10)&amp;"Tn: "&amp;TEXT(FORMULACIÓN!O228,"##.###")))</f>
        <v xml:space="preserve">PDI: 
T1: 
T2: 
T3: 
Tn: </v>
      </c>
      <c r="J228" s="122" t="str">
        <f>IF(FORMULACIÓN!K228&lt;&gt;"",FORMULACIÓN!K228,"")</f>
        <v/>
      </c>
      <c r="K228" s="58"/>
      <c r="L228" s="58"/>
      <c r="M228" s="58"/>
      <c r="N228" s="58"/>
      <c r="O228" s="47" t="str">
        <f ca="1">IFERROR(IF($H228=Lists!$S$2,SUM('SEGUIMIENTO Y EVALUACIÓN'!J228:N228),IF('SEGUIMIENTO Y EVALUACIÓN'!$H228=Lists!$S$3,SUM('SEGUIMIENTO Y EVALUACIÓN'!K228:N228),IF('SEGUIMIENTO Y EVALUACIÓN'!$H228=Lists!$S$4,AVERAGE('SEGUIMIENTO Y EVALUACIÓN'!K228:N228),IF('SEGUIMIENTO Y EVALUACIÓN'!$H228=Lists!$S$5,OFFSET(J228,0,COUNTA(K228:N228)),IF($H228=Lists!$S$6,COUNTIF(K228:N228,"&lt;"&amp;FORMULACIÓN!Q228)/COUNT('SEGUIMIENTO Y EVALUACIÓN'!K228:N228),""))))),"")</f>
        <v/>
      </c>
      <c r="P228" s="51" t="str">
        <f ca="1">IF($G228=Lists!$R$3,TEXT('SEGUIMIENTO Y EVALUACIÓN'!O228,"00,00%"),IF('SEGUIMIENTO Y EVALUACIÓN'!O228=0,0,TEXT('SEGUIMIENTO Y EVALUACIÓN'!O228,"##.###")))</f>
        <v/>
      </c>
      <c r="Q228" s="209" t="str">
        <f>IF(FORMULACIÓN!R228&lt;&gt;"",FORMULACIÓN!R228,"")</f>
        <v/>
      </c>
      <c r="R228" s="209" t="str">
        <f>IF(FORMULACIÓN!S228&lt;&gt;"",FORMULACIÓN!S228,"")</f>
        <v/>
      </c>
      <c r="S228" s="209" t="str">
        <f>IF(FORMULACIÓN!T228&lt;&gt;"",FORMULACIÓN!T228,"")</f>
        <v/>
      </c>
      <c r="T228" s="42"/>
      <c r="U228" s="42"/>
      <c r="V228" s="42"/>
      <c r="W228" s="43" t="str">
        <f t="shared" si="27"/>
        <v/>
      </c>
      <c r="X228" s="42"/>
      <c r="Y228" s="42"/>
      <c r="Z228" s="42"/>
      <c r="AA228" s="43" t="str">
        <f t="shared" si="28"/>
        <v/>
      </c>
      <c r="AB228" s="42"/>
      <c r="AC228" s="42"/>
      <c r="AD228" s="42"/>
      <c r="AE228" s="43" t="str">
        <f t="shared" si="29"/>
        <v/>
      </c>
      <c r="AF228" s="42"/>
      <c r="AG228" s="42"/>
      <c r="AH228" s="42"/>
      <c r="AI228" s="46" t="str">
        <f t="shared" si="30"/>
        <v/>
      </c>
      <c r="AJ228" s="46" t="str">
        <f>IF(SUM(AA228,AE228,W228,AI228)=0,"",SUM((AA228,AE228,W228,AI228)))</f>
        <v/>
      </c>
      <c r="AK228" s="2"/>
      <c r="AL228" s="1" t="str">
        <f t="shared" si="31"/>
        <v/>
      </c>
      <c r="AM228" s="56" t="str">
        <f t="shared" si="33"/>
        <v/>
      </c>
      <c r="AN228" s="112" t="str">
        <f ca="1">IF($G228=Lists!$R$3,"T1: "&amp;TEXT(FORMULACIÓN!L228,"00,00%")&amp;CHAR(10)&amp;"T2: "&amp;TEXT(FORMULACIÓN!M228,"00,00%")&amp;CHAR(10)&amp;"T3: "&amp;TEXT(FORMULACIÓN!N228,"00,00%")&amp;CHAR(10)&amp;"Tn: "&amp;TEXT(FORMULACIÓN!O228,"00,00%"),IF(FORMULACIÓN!Q228=0,0,"T1: "&amp;TEXT(FORMULACIÓN!L228,"##.###")&amp;CHAR(10)&amp;"T2: "&amp;TEXT(FORMULACIÓN!M228,"##.###")&amp;CHAR(10)&amp;"T3: "&amp;TEXT(FORMULACIÓN!N228,"##.###")&amp;CHAR(10)&amp;"Tn: "&amp;TEXT(FORMULACIÓN!O228,"##.###")))</f>
        <v xml:space="preserve">T1: 
T2: 
T3: 
Tn: </v>
      </c>
      <c r="AO228" s="117" t="str">
        <f>IFERROR(IF($H228=Lists!$S$6,IF(AND(FORMULACIÓN!L228&gt;K228,K228&gt;0),1,0),IF((K228/FORMULACIÓN!L228)&lt;&gt;0,K228/FORMULACIÓN!L228,0)),"")</f>
        <v/>
      </c>
      <c r="AP228" s="117" t="str">
        <f>IFERROR(IF($H228=Lists!$S$6,IF(AND(FORMULACIÓN!M228&gt;L228,L228&gt;0),1,0),IF((L228/FORMULACIÓN!M228)&lt;&gt;0,L228/FORMULACIÓN!M228,0)),"")</f>
        <v/>
      </c>
      <c r="AQ228" s="117" t="str">
        <f>IFERROR(IF($H228=Lists!$S$6,IF(AND(FORMULACIÓN!N228&gt;M228,M228&gt;0),1,0),IF((M228/FORMULACIÓN!N228)&lt;&gt;0,M228/FORMULACIÓN!N228,0)),"")</f>
        <v/>
      </c>
      <c r="AR228" s="117" t="str">
        <f>IFERROR(IF($H228=Lists!$S$6,IF(AND(FORMULACIÓN!O228&gt;N228,N228&gt;0),1,0),IF((N228/FORMULACIÓN!O228)&lt;&gt;0,N228/FORMULACIÓN!O228,0)),"")</f>
        <v/>
      </c>
      <c r="AS228" s="110"/>
      <c r="AT228" s="118" t="str">
        <f ca="1">IF($H228=Lists!$S$6,TEXT(COUNTIF('SEGUIMIENTO Y EVALUACIÓN'!K228:N228,"&lt;"&amp;FORMULACIÓN!Q228),"##.###")&amp;" / "&amp;TEXT(COUNTIF('SEGUIMIENTO Y EVALUACIÓN'!K228:N228,"&gt;"&amp;0),"##.###"),IF($G228=Lists!$R$3,TEXT('SEGUIMIENTO Y EVALUACIÓN'!O228,"00,00%")&amp;" / "&amp;TEXT(FORMULACIÓN!P228,"00,00%"),IF('SEGUIMIENTO Y EVALUACIÓN'!O228=0,0,TEXT('SEGUIMIENTO Y EVALUACIÓN'!O228,"##.###")&amp;" / "&amp;TEXT(FORMULACIÓN!P228,"##.###"))))</f>
        <v xml:space="preserve"> / </v>
      </c>
      <c r="AU228" s="57">
        <f ca="1">IFERROR(IF((P228/FORMULACIÓN!Q228)&lt;&gt;0,IF($H228=Lists!$S$6,COUNTIF('SEGUIMIENTO Y EVALUACIÓN'!K228:N228,"&lt;"&amp;FORMULACIÓN!Q228),'SEGUIMIENTO Y EVALUACIÓN'!P228)/IF($H228=Lists!$S$6,COUNTIF('SEGUIMIENTO Y EVALUACIÓN'!K228:N228,"&gt;"&amp;0),FORMULACIÓN!P228),0),0)</f>
        <v>0</v>
      </c>
      <c r="AV228" s="93" t="str">
        <f t="shared" ca="1" si="32"/>
        <v/>
      </c>
      <c r="AW228" s="93" cm="1">
        <f t="array" ref="AW228">IF(INDEX(AO228:AU228,1,$AV$3)&gt;1,1,INDEX(AO228:AU228,1,$AV$3))</f>
        <v>1</v>
      </c>
      <c r="AX228" s="3"/>
      <c r="AY228" s="119" t="str">
        <f>IFERROR(IF((W228/FORMULACIÓN!X228)&lt;&gt;0,W228/FORMULACIÓN!X228,0),"")</f>
        <v/>
      </c>
      <c r="AZ228" s="119" t="str">
        <f>IFERROR(IF((AA228/FORMULACIÓN!AB228)&lt;&gt;0,AA228/FORMULACIÓN!AB228,0),"")</f>
        <v/>
      </c>
      <c r="BA228" s="119" t="str">
        <f>IFERROR(IF((AE228/FORMULACIÓN!AF228)&lt;&gt;0,(AE228/FORMULACIÓN!AF228),0),"")</f>
        <v/>
      </c>
      <c r="BB228" s="119" t="str">
        <f>IFERROR(IF((AI228/FORMULACIÓN!AJ228)&lt;&gt;0,AI228/FORMULACIÓN!AJ228,0),"")</f>
        <v/>
      </c>
      <c r="BC228" s="120" t="str">
        <f>IF('SEGUIMIENTO Y EVALUACIÓN'!AI228=0,0,TEXT('SEGUIMIENTO Y EVALUACIÓN'!AI228,"$ ##.###")&amp;" / "&amp;TEXT(FORMULACIÓN!AK228,"$ ##.###"))</f>
        <v xml:space="preserve"> / </v>
      </c>
      <c r="BD228" s="57">
        <f>IFERROR(IF((AJ228/FORMULACIÓN!AK228)&lt;&gt;0,AJ228/FORMULACIÓN!AK228,0),0)</f>
        <v>0</v>
      </c>
      <c r="CL228" s="7"/>
    </row>
    <row r="229" spans="1:90" s="1" customFormat="1" ht="99.95" customHeight="1">
      <c r="A229" s="45" t="str">
        <f>IF(FORMULACIÓN!A229="","",FORMULACIÓN!A229)</f>
        <v/>
      </c>
      <c r="B229" s="45" t="str">
        <f>IF(FORMULACIÓN!B229="","",FORMULACIÓN!B229)</f>
        <v/>
      </c>
      <c r="C229" s="45" t="str">
        <f>IF(FORMULACIÓN!E229="","",FORMULACIÓN!E229)</f>
        <v/>
      </c>
      <c r="D229" s="45" t="str">
        <f>IF(FORMULACIÓN!F229="","",FORMULACIÓN!F229)</f>
        <v/>
      </c>
      <c r="E229" s="45" t="str">
        <f>IF(FORMULACIÓN!G229="","",FORMULACIÓN!G229)</f>
        <v/>
      </c>
      <c r="F229" s="45" t="str">
        <f>IF(FORMULACIÓN!H229="","",FORMULACIÓN!H229)</f>
        <v/>
      </c>
      <c r="G229" s="45" t="str">
        <f>IF(FORMULACIÓN!I229="","",FORMULACIÓN!I229)</f>
        <v/>
      </c>
      <c r="H229" s="45" t="str">
        <f>IF(FORMULACIÓN!J229="","",FORMULACIÓN!J229)</f>
        <v/>
      </c>
      <c r="I229" s="188" t="str">
        <f ca="1">IF($G229=Lists!$R$3,"PDI: "&amp;TEXT(FORMULACIÓN!Q229,"00,00%")&amp;CHAR(10)&amp;CHAR(10)&amp;"T1: "&amp;TEXT(FORMULACIÓN!L229,"00,00%")&amp;CHAR(10)&amp;"T2: "&amp;TEXT(FORMULACIÓN!M229,"00,00%")&amp;CHAR(10)&amp;"T3: "&amp;TEXT(FORMULACIÓN!N229,"00,00%")&amp;CHAR(10)&amp;"Tn: "&amp;TEXT(FORMULACIÓN!O229,"00,00%"),IF(FORMULACIÓN!Q229=0,0,"PDI: "&amp;TEXT(FORMULACIÓN!Q229,"##.###")&amp;CHAR(10)&amp;CHAR(10)&amp;"T1: "&amp;TEXT(FORMULACIÓN!L229,"##.###")&amp;CHAR(10)&amp;"T2: "&amp;TEXT(FORMULACIÓN!M229,"##.###")&amp;CHAR(10)&amp;"T3: "&amp;TEXT(FORMULACIÓN!N229,"##.###")&amp;CHAR(10)&amp;"Tn: "&amp;TEXT(FORMULACIÓN!O229,"##.###")))</f>
        <v xml:space="preserve">PDI: 
T1: 
T2: 
T3: 
Tn: </v>
      </c>
      <c r="J229" s="122" t="str">
        <f>IF(FORMULACIÓN!K229&lt;&gt;"",FORMULACIÓN!K229,"")</f>
        <v/>
      </c>
      <c r="K229" s="58"/>
      <c r="L229" s="58"/>
      <c r="M229" s="58"/>
      <c r="N229" s="58"/>
      <c r="O229" s="47" t="str">
        <f ca="1">IFERROR(IF($H229=Lists!$S$2,SUM('SEGUIMIENTO Y EVALUACIÓN'!J229:N229),IF('SEGUIMIENTO Y EVALUACIÓN'!$H229=Lists!$S$3,SUM('SEGUIMIENTO Y EVALUACIÓN'!K229:N229),IF('SEGUIMIENTO Y EVALUACIÓN'!$H229=Lists!$S$4,AVERAGE('SEGUIMIENTO Y EVALUACIÓN'!K229:N229),IF('SEGUIMIENTO Y EVALUACIÓN'!$H229=Lists!$S$5,OFFSET(J229,0,COUNTA(K229:N229)),IF($H229=Lists!$S$6,COUNTIF(K229:N229,"&lt;"&amp;FORMULACIÓN!Q229)/COUNT('SEGUIMIENTO Y EVALUACIÓN'!K229:N229),""))))),"")</f>
        <v/>
      </c>
      <c r="P229" s="51" t="str">
        <f ca="1">IF($G229=Lists!$R$3,TEXT('SEGUIMIENTO Y EVALUACIÓN'!O229,"00,00%"),IF('SEGUIMIENTO Y EVALUACIÓN'!O229=0,0,TEXT('SEGUIMIENTO Y EVALUACIÓN'!O229,"##.###")))</f>
        <v/>
      </c>
      <c r="Q229" s="209" t="str">
        <f>IF(FORMULACIÓN!R229&lt;&gt;"",FORMULACIÓN!R229,"")</f>
        <v/>
      </c>
      <c r="R229" s="209" t="str">
        <f>IF(FORMULACIÓN!S229&lt;&gt;"",FORMULACIÓN!S229,"")</f>
        <v/>
      </c>
      <c r="S229" s="209" t="str">
        <f>IF(FORMULACIÓN!T229&lt;&gt;"",FORMULACIÓN!T229,"")</f>
        <v/>
      </c>
      <c r="T229" s="42"/>
      <c r="U229" s="42"/>
      <c r="V229" s="42"/>
      <c r="W229" s="43" t="str">
        <f t="shared" si="27"/>
        <v/>
      </c>
      <c r="X229" s="42"/>
      <c r="Y229" s="42"/>
      <c r="Z229" s="42"/>
      <c r="AA229" s="43" t="str">
        <f t="shared" si="28"/>
        <v/>
      </c>
      <c r="AB229" s="42"/>
      <c r="AC229" s="42"/>
      <c r="AD229" s="42"/>
      <c r="AE229" s="43" t="str">
        <f t="shared" si="29"/>
        <v/>
      </c>
      <c r="AF229" s="42"/>
      <c r="AG229" s="42"/>
      <c r="AH229" s="42"/>
      <c r="AI229" s="46" t="str">
        <f t="shared" si="30"/>
        <v/>
      </c>
      <c r="AJ229" s="46" t="str">
        <f>IF(SUM(AA229,AE229,W229,AI229)=0,"",SUM((AA229,AE229,W229,AI229)))</f>
        <v/>
      </c>
      <c r="AK229" s="2"/>
      <c r="AL229" s="1" t="str">
        <f t="shared" si="31"/>
        <v/>
      </c>
      <c r="AM229" s="56" t="str">
        <f t="shared" si="33"/>
        <v/>
      </c>
      <c r="AN229" s="112" t="str">
        <f ca="1">IF($G229=Lists!$R$3,"T1: "&amp;TEXT(FORMULACIÓN!L229,"00,00%")&amp;CHAR(10)&amp;"T2: "&amp;TEXT(FORMULACIÓN!M229,"00,00%")&amp;CHAR(10)&amp;"T3: "&amp;TEXT(FORMULACIÓN!N229,"00,00%")&amp;CHAR(10)&amp;"Tn: "&amp;TEXT(FORMULACIÓN!O229,"00,00%"),IF(FORMULACIÓN!Q229=0,0,"T1: "&amp;TEXT(FORMULACIÓN!L229,"##.###")&amp;CHAR(10)&amp;"T2: "&amp;TEXT(FORMULACIÓN!M229,"##.###")&amp;CHAR(10)&amp;"T3: "&amp;TEXT(FORMULACIÓN!N229,"##.###")&amp;CHAR(10)&amp;"Tn: "&amp;TEXT(FORMULACIÓN!O229,"##.###")))</f>
        <v xml:space="preserve">T1: 
T2: 
T3: 
Tn: </v>
      </c>
      <c r="AO229" s="117" t="str">
        <f>IFERROR(IF($H229=Lists!$S$6,IF(AND(FORMULACIÓN!L229&gt;K229,K229&gt;0),1,0),IF((K229/FORMULACIÓN!L229)&lt;&gt;0,K229/FORMULACIÓN!L229,0)),"")</f>
        <v/>
      </c>
      <c r="AP229" s="117" t="str">
        <f>IFERROR(IF($H229=Lists!$S$6,IF(AND(FORMULACIÓN!M229&gt;L229,L229&gt;0),1,0),IF((L229/FORMULACIÓN!M229)&lt;&gt;0,L229/FORMULACIÓN!M229,0)),"")</f>
        <v/>
      </c>
      <c r="AQ229" s="117" t="str">
        <f>IFERROR(IF($H229=Lists!$S$6,IF(AND(FORMULACIÓN!N229&gt;M229,M229&gt;0),1,0),IF((M229/FORMULACIÓN!N229)&lt;&gt;0,M229/FORMULACIÓN!N229,0)),"")</f>
        <v/>
      </c>
      <c r="AR229" s="117" t="str">
        <f>IFERROR(IF($H229=Lists!$S$6,IF(AND(FORMULACIÓN!O229&gt;N229,N229&gt;0),1,0),IF((N229/FORMULACIÓN!O229)&lt;&gt;0,N229/FORMULACIÓN!O229,0)),"")</f>
        <v/>
      </c>
      <c r="AS229" s="110"/>
      <c r="AT229" s="118" t="str">
        <f ca="1">IF($H229=Lists!$S$6,TEXT(COUNTIF('SEGUIMIENTO Y EVALUACIÓN'!K229:N229,"&lt;"&amp;FORMULACIÓN!Q229),"##.###")&amp;" / "&amp;TEXT(COUNTIF('SEGUIMIENTO Y EVALUACIÓN'!K229:N229,"&gt;"&amp;0),"##.###"),IF($G229=Lists!$R$3,TEXT('SEGUIMIENTO Y EVALUACIÓN'!O229,"00,00%")&amp;" / "&amp;TEXT(FORMULACIÓN!P229,"00,00%"),IF('SEGUIMIENTO Y EVALUACIÓN'!O229=0,0,TEXT('SEGUIMIENTO Y EVALUACIÓN'!O229,"##.###")&amp;" / "&amp;TEXT(FORMULACIÓN!P229,"##.###"))))</f>
        <v xml:space="preserve"> / </v>
      </c>
      <c r="AU229" s="57">
        <f ca="1">IFERROR(IF((P229/FORMULACIÓN!Q229)&lt;&gt;0,IF($H229=Lists!$S$6,COUNTIF('SEGUIMIENTO Y EVALUACIÓN'!K229:N229,"&lt;"&amp;FORMULACIÓN!Q229),'SEGUIMIENTO Y EVALUACIÓN'!P229)/IF($H229=Lists!$S$6,COUNTIF('SEGUIMIENTO Y EVALUACIÓN'!K229:N229,"&gt;"&amp;0),FORMULACIÓN!P229),0),0)</f>
        <v>0</v>
      </c>
      <c r="AV229" s="93" t="str">
        <f t="shared" ca="1" si="32"/>
        <v/>
      </c>
      <c r="AW229" s="93" cm="1">
        <f t="array" ref="AW229">IF(INDEX(AO229:AU229,1,$AV$3)&gt;1,1,INDEX(AO229:AU229,1,$AV$3))</f>
        <v>1</v>
      </c>
      <c r="AX229" s="3"/>
      <c r="AY229" s="119" t="str">
        <f>IFERROR(IF((W229/FORMULACIÓN!X229)&lt;&gt;0,W229/FORMULACIÓN!X229,0),"")</f>
        <v/>
      </c>
      <c r="AZ229" s="119" t="str">
        <f>IFERROR(IF((AA229/FORMULACIÓN!AB229)&lt;&gt;0,AA229/FORMULACIÓN!AB229,0),"")</f>
        <v/>
      </c>
      <c r="BA229" s="119" t="str">
        <f>IFERROR(IF((AE229/FORMULACIÓN!AF229)&lt;&gt;0,(AE229/FORMULACIÓN!AF229),0),"")</f>
        <v/>
      </c>
      <c r="BB229" s="119" t="str">
        <f>IFERROR(IF((AI229/FORMULACIÓN!AJ229)&lt;&gt;0,AI229/FORMULACIÓN!AJ229,0),"")</f>
        <v/>
      </c>
      <c r="BC229" s="120" t="str">
        <f>IF('SEGUIMIENTO Y EVALUACIÓN'!AI229=0,0,TEXT('SEGUIMIENTO Y EVALUACIÓN'!AI229,"$ ##.###")&amp;" / "&amp;TEXT(FORMULACIÓN!AK229,"$ ##.###"))</f>
        <v xml:space="preserve"> / </v>
      </c>
      <c r="BD229" s="57">
        <f>IFERROR(IF((AJ229/FORMULACIÓN!AK229)&lt;&gt;0,AJ229/FORMULACIÓN!AK229,0),0)</f>
        <v>0</v>
      </c>
      <c r="CL229" s="7"/>
    </row>
    <row r="230" spans="1:90" s="1" customFormat="1" ht="99.95" customHeight="1">
      <c r="A230" s="45" t="str">
        <f>IF(FORMULACIÓN!A230="","",FORMULACIÓN!A230)</f>
        <v/>
      </c>
      <c r="B230" s="45" t="str">
        <f>IF(FORMULACIÓN!B230="","",FORMULACIÓN!B230)</f>
        <v/>
      </c>
      <c r="C230" s="45" t="str">
        <f>IF(FORMULACIÓN!E230="","",FORMULACIÓN!E230)</f>
        <v/>
      </c>
      <c r="D230" s="45" t="str">
        <f>IF(FORMULACIÓN!F230="","",FORMULACIÓN!F230)</f>
        <v/>
      </c>
      <c r="E230" s="45" t="str">
        <f>IF(FORMULACIÓN!G230="","",FORMULACIÓN!G230)</f>
        <v/>
      </c>
      <c r="F230" s="45" t="str">
        <f>IF(FORMULACIÓN!H230="","",FORMULACIÓN!H230)</f>
        <v/>
      </c>
      <c r="G230" s="45" t="str">
        <f>IF(FORMULACIÓN!I230="","",FORMULACIÓN!I230)</f>
        <v/>
      </c>
      <c r="H230" s="45" t="str">
        <f>IF(FORMULACIÓN!J230="","",FORMULACIÓN!J230)</f>
        <v/>
      </c>
      <c r="I230" s="188" t="str">
        <f ca="1">IF($G230=Lists!$R$3,"PDI: "&amp;TEXT(FORMULACIÓN!Q230,"00,00%")&amp;CHAR(10)&amp;CHAR(10)&amp;"T1: "&amp;TEXT(FORMULACIÓN!L230,"00,00%")&amp;CHAR(10)&amp;"T2: "&amp;TEXT(FORMULACIÓN!M230,"00,00%")&amp;CHAR(10)&amp;"T3: "&amp;TEXT(FORMULACIÓN!N230,"00,00%")&amp;CHAR(10)&amp;"Tn: "&amp;TEXT(FORMULACIÓN!O230,"00,00%"),IF(FORMULACIÓN!Q230=0,0,"PDI: "&amp;TEXT(FORMULACIÓN!Q230,"##.###")&amp;CHAR(10)&amp;CHAR(10)&amp;"T1: "&amp;TEXT(FORMULACIÓN!L230,"##.###")&amp;CHAR(10)&amp;"T2: "&amp;TEXT(FORMULACIÓN!M230,"##.###")&amp;CHAR(10)&amp;"T3: "&amp;TEXT(FORMULACIÓN!N230,"##.###")&amp;CHAR(10)&amp;"Tn: "&amp;TEXT(FORMULACIÓN!O230,"##.###")))</f>
        <v xml:space="preserve">PDI: 
T1: 
T2: 
T3: 
Tn: </v>
      </c>
      <c r="J230" s="122" t="str">
        <f>IF(FORMULACIÓN!K230&lt;&gt;"",FORMULACIÓN!K230,"")</f>
        <v/>
      </c>
      <c r="K230" s="58"/>
      <c r="L230" s="58"/>
      <c r="M230" s="58"/>
      <c r="N230" s="58"/>
      <c r="O230" s="47" t="str">
        <f ca="1">IFERROR(IF($H230=Lists!$S$2,SUM('SEGUIMIENTO Y EVALUACIÓN'!J230:N230),IF('SEGUIMIENTO Y EVALUACIÓN'!$H230=Lists!$S$3,SUM('SEGUIMIENTO Y EVALUACIÓN'!K230:N230),IF('SEGUIMIENTO Y EVALUACIÓN'!$H230=Lists!$S$4,AVERAGE('SEGUIMIENTO Y EVALUACIÓN'!K230:N230),IF('SEGUIMIENTO Y EVALUACIÓN'!$H230=Lists!$S$5,OFFSET(J230,0,COUNTA(K230:N230)),IF($H230=Lists!$S$6,COUNTIF(K230:N230,"&lt;"&amp;FORMULACIÓN!Q230)/COUNT('SEGUIMIENTO Y EVALUACIÓN'!K230:N230),""))))),"")</f>
        <v/>
      </c>
      <c r="P230" s="51" t="str">
        <f ca="1">IF($G230=Lists!$R$3,TEXT('SEGUIMIENTO Y EVALUACIÓN'!O230,"00,00%"),IF('SEGUIMIENTO Y EVALUACIÓN'!O230=0,0,TEXT('SEGUIMIENTO Y EVALUACIÓN'!O230,"##.###")))</f>
        <v/>
      </c>
      <c r="Q230" s="209" t="str">
        <f>IF(FORMULACIÓN!R230&lt;&gt;"",FORMULACIÓN!R230,"")</f>
        <v/>
      </c>
      <c r="R230" s="209" t="str">
        <f>IF(FORMULACIÓN!S230&lt;&gt;"",FORMULACIÓN!S230,"")</f>
        <v/>
      </c>
      <c r="S230" s="209" t="str">
        <f>IF(FORMULACIÓN!T230&lt;&gt;"",FORMULACIÓN!T230,"")</f>
        <v/>
      </c>
      <c r="T230" s="42"/>
      <c r="U230" s="42"/>
      <c r="V230" s="42"/>
      <c r="W230" s="43" t="str">
        <f t="shared" si="27"/>
        <v/>
      </c>
      <c r="X230" s="42"/>
      <c r="Y230" s="42"/>
      <c r="Z230" s="42"/>
      <c r="AA230" s="43" t="str">
        <f t="shared" si="28"/>
        <v/>
      </c>
      <c r="AB230" s="42"/>
      <c r="AC230" s="42"/>
      <c r="AD230" s="42"/>
      <c r="AE230" s="43" t="str">
        <f t="shared" si="29"/>
        <v/>
      </c>
      <c r="AF230" s="42"/>
      <c r="AG230" s="42"/>
      <c r="AH230" s="42"/>
      <c r="AI230" s="46" t="str">
        <f t="shared" si="30"/>
        <v/>
      </c>
      <c r="AJ230" s="46" t="str">
        <f>IF(SUM(AA230,AE230,W230,AI230)=0,"",SUM((AA230,AE230,W230,AI230)))</f>
        <v/>
      </c>
      <c r="AK230" s="2"/>
      <c r="AL230" s="1" t="str">
        <f t="shared" si="31"/>
        <v/>
      </c>
      <c r="AM230" s="56" t="str">
        <f t="shared" si="33"/>
        <v/>
      </c>
      <c r="AN230" s="112" t="str">
        <f ca="1">IF($G230=Lists!$R$3,"T1: "&amp;TEXT(FORMULACIÓN!L230,"00,00%")&amp;CHAR(10)&amp;"T2: "&amp;TEXT(FORMULACIÓN!M230,"00,00%")&amp;CHAR(10)&amp;"T3: "&amp;TEXT(FORMULACIÓN!N230,"00,00%")&amp;CHAR(10)&amp;"Tn: "&amp;TEXT(FORMULACIÓN!O230,"00,00%"),IF(FORMULACIÓN!Q230=0,0,"T1: "&amp;TEXT(FORMULACIÓN!L230,"##.###")&amp;CHAR(10)&amp;"T2: "&amp;TEXT(FORMULACIÓN!M230,"##.###")&amp;CHAR(10)&amp;"T3: "&amp;TEXT(FORMULACIÓN!N230,"##.###")&amp;CHAR(10)&amp;"Tn: "&amp;TEXT(FORMULACIÓN!O230,"##.###")))</f>
        <v xml:space="preserve">T1: 
T2: 
T3: 
Tn: </v>
      </c>
      <c r="AO230" s="117" t="str">
        <f>IFERROR(IF($H230=Lists!$S$6,IF(AND(FORMULACIÓN!L230&gt;K230,K230&gt;0),1,0),IF((K230/FORMULACIÓN!L230)&lt;&gt;0,K230/FORMULACIÓN!L230,0)),"")</f>
        <v/>
      </c>
      <c r="AP230" s="117" t="str">
        <f>IFERROR(IF($H230=Lists!$S$6,IF(AND(FORMULACIÓN!M230&gt;L230,L230&gt;0),1,0),IF((L230/FORMULACIÓN!M230)&lt;&gt;0,L230/FORMULACIÓN!M230,0)),"")</f>
        <v/>
      </c>
      <c r="AQ230" s="117" t="str">
        <f>IFERROR(IF($H230=Lists!$S$6,IF(AND(FORMULACIÓN!N230&gt;M230,M230&gt;0),1,0),IF((M230/FORMULACIÓN!N230)&lt;&gt;0,M230/FORMULACIÓN!N230,0)),"")</f>
        <v/>
      </c>
      <c r="AR230" s="117" t="str">
        <f>IFERROR(IF($H230=Lists!$S$6,IF(AND(FORMULACIÓN!O230&gt;N230,N230&gt;0),1,0),IF((N230/FORMULACIÓN!O230)&lt;&gt;0,N230/FORMULACIÓN!O230,0)),"")</f>
        <v/>
      </c>
      <c r="AS230" s="110"/>
      <c r="AT230" s="118" t="str">
        <f ca="1">IF($H230=Lists!$S$6,TEXT(COUNTIF('SEGUIMIENTO Y EVALUACIÓN'!K230:N230,"&lt;"&amp;FORMULACIÓN!Q230),"##.###")&amp;" / "&amp;TEXT(COUNTIF('SEGUIMIENTO Y EVALUACIÓN'!K230:N230,"&gt;"&amp;0),"##.###"),IF($G230=Lists!$R$3,TEXT('SEGUIMIENTO Y EVALUACIÓN'!O230,"00,00%")&amp;" / "&amp;TEXT(FORMULACIÓN!P230,"00,00%"),IF('SEGUIMIENTO Y EVALUACIÓN'!O230=0,0,TEXT('SEGUIMIENTO Y EVALUACIÓN'!O230,"##.###")&amp;" / "&amp;TEXT(FORMULACIÓN!P230,"##.###"))))</f>
        <v xml:space="preserve"> / </v>
      </c>
      <c r="AU230" s="57">
        <f ca="1">IFERROR(IF((P230/FORMULACIÓN!Q230)&lt;&gt;0,IF($H230=Lists!$S$6,COUNTIF('SEGUIMIENTO Y EVALUACIÓN'!K230:N230,"&lt;"&amp;FORMULACIÓN!Q230),'SEGUIMIENTO Y EVALUACIÓN'!P230)/IF($H230=Lists!$S$6,COUNTIF('SEGUIMIENTO Y EVALUACIÓN'!K230:N230,"&gt;"&amp;0),FORMULACIÓN!P230),0),0)</f>
        <v>0</v>
      </c>
      <c r="AV230" s="93" t="str">
        <f t="shared" ca="1" si="32"/>
        <v/>
      </c>
      <c r="AW230" s="93" cm="1">
        <f t="array" ref="AW230">IF(INDEX(AO230:AU230,1,$AV$3)&gt;1,1,INDEX(AO230:AU230,1,$AV$3))</f>
        <v>1</v>
      </c>
      <c r="AX230" s="3"/>
      <c r="AY230" s="119" t="str">
        <f>IFERROR(IF((W230/FORMULACIÓN!X230)&lt;&gt;0,W230/FORMULACIÓN!X230,0),"")</f>
        <v/>
      </c>
      <c r="AZ230" s="119" t="str">
        <f>IFERROR(IF((AA230/FORMULACIÓN!AB230)&lt;&gt;0,AA230/FORMULACIÓN!AB230,0),"")</f>
        <v/>
      </c>
      <c r="BA230" s="119" t="str">
        <f>IFERROR(IF((AE230/FORMULACIÓN!AF230)&lt;&gt;0,(AE230/FORMULACIÓN!AF230),0),"")</f>
        <v/>
      </c>
      <c r="BB230" s="119" t="str">
        <f>IFERROR(IF((AI230/FORMULACIÓN!AJ230)&lt;&gt;0,AI230/FORMULACIÓN!AJ230,0),"")</f>
        <v/>
      </c>
      <c r="BC230" s="120" t="str">
        <f>IF('SEGUIMIENTO Y EVALUACIÓN'!AI230=0,0,TEXT('SEGUIMIENTO Y EVALUACIÓN'!AI230,"$ ##.###")&amp;" / "&amp;TEXT(FORMULACIÓN!AK230,"$ ##.###"))</f>
        <v xml:space="preserve"> / </v>
      </c>
      <c r="BD230" s="57">
        <f>IFERROR(IF((AJ230/FORMULACIÓN!AK230)&lt;&gt;0,AJ230/FORMULACIÓN!AK230,0),0)</f>
        <v>0</v>
      </c>
      <c r="CL230" s="7"/>
    </row>
    <row r="231" spans="1:90" s="1" customFormat="1" ht="99.95" customHeight="1">
      <c r="A231" s="45" t="str">
        <f>IF(FORMULACIÓN!A231="","",FORMULACIÓN!A231)</f>
        <v/>
      </c>
      <c r="B231" s="45" t="str">
        <f>IF(FORMULACIÓN!B231="","",FORMULACIÓN!B231)</f>
        <v/>
      </c>
      <c r="C231" s="45" t="str">
        <f>IF(FORMULACIÓN!E231="","",FORMULACIÓN!E231)</f>
        <v/>
      </c>
      <c r="D231" s="45" t="str">
        <f>IF(FORMULACIÓN!F231="","",FORMULACIÓN!F231)</f>
        <v/>
      </c>
      <c r="E231" s="45" t="str">
        <f>IF(FORMULACIÓN!G231="","",FORMULACIÓN!G231)</f>
        <v/>
      </c>
      <c r="F231" s="45" t="str">
        <f>IF(FORMULACIÓN!H231="","",FORMULACIÓN!H231)</f>
        <v/>
      </c>
      <c r="G231" s="45" t="str">
        <f>IF(FORMULACIÓN!I231="","",FORMULACIÓN!I231)</f>
        <v/>
      </c>
      <c r="H231" s="45" t="str">
        <f>IF(FORMULACIÓN!J231="","",FORMULACIÓN!J231)</f>
        <v/>
      </c>
      <c r="I231" s="188" t="str">
        <f ca="1">IF($G231=Lists!$R$3,"PDI: "&amp;TEXT(FORMULACIÓN!Q231,"00,00%")&amp;CHAR(10)&amp;CHAR(10)&amp;"T1: "&amp;TEXT(FORMULACIÓN!L231,"00,00%")&amp;CHAR(10)&amp;"T2: "&amp;TEXT(FORMULACIÓN!M231,"00,00%")&amp;CHAR(10)&amp;"T3: "&amp;TEXT(FORMULACIÓN!N231,"00,00%")&amp;CHAR(10)&amp;"Tn: "&amp;TEXT(FORMULACIÓN!O231,"00,00%"),IF(FORMULACIÓN!Q231=0,0,"PDI: "&amp;TEXT(FORMULACIÓN!Q231,"##.###")&amp;CHAR(10)&amp;CHAR(10)&amp;"T1: "&amp;TEXT(FORMULACIÓN!L231,"##.###")&amp;CHAR(10)&amp;"T2: "&amp;TEXT(FORMULACIÓN!M231,"##.###")&amp;CHAR(10)&amp;"T3: "&amp;TEXT(FORMULACIÓN!N231,"##.###")&amp;CHAR(10)&amp;"Tn: "&amp;TEXT(FORMULACIÓN!O231,"##.###")))</f>
        <v xml:space="preserve">PDI: 
T1: 
T2: 
T3: 
Tn: </v>
      </c>
      <c r="J231" s="122" t="str">
        <f>IF(FORMULACIÓN!K231&lt;&gt;"",FORMULACIÓN!K231,"")</f>
        <v/>
      </c>
      <c r="K231" s="58"/>
      <c r="L231" s="58"/>
      <c r="M231" s="58"/>
      <c r="N231" s="58"/>
      <c r="O231" s="47" t="str">
        <f ca="1">IFERROR(IF($H231=Lists!$S$2,SUM('SEGUIMIENTO Y EVALUACIÓN'!J231:N231),IF('SEGUIMIENTO Y EVALUACIÓN'!$H231=Lists!$S$3,SUM('SEGUIMIENTO Y EVALUACIÓN'!K231:N231),IF('SEGUIMIENTO Y EVALUACIÓN'!$H231=Lists!$S$4,AVERAGE('SEGUIMIENTO Y EVALUACIÓN'!K231:N231),IF('SEGUIMIENTO Y EVALUACIÓN'!$H231=Lists!$S$5,OFFSET(J231,0,COUNTA(K231:N231)),IF($H231=Lists!$S$6,COUNTIF(K231:N231,"&lt;"&amp;FORMULACIÓN!Q231)/COUNT('SEGUIMIENTO Y EVALUACIÓN'!K231:N231),""))))),"")</f>
        <v/>
      </c>
      <c r="P231" s="51" t="str">
        <f ca="1">IF($G231=Lists!$R$3,TEXT('SEGUIMIENTO Y EVALUACIÓN'!O231,"00,00%"),IF('SEGUIMIENTO Y EVALUACIÓN'!O231=0,0,TEXT('SEGUIMIENTO Y EVALUACIÓN'!O231,"##.###")))</f>
        <v/>
      </c>
      <c r="Q231" s="209" t="str">
        <f>IF(FORMULACIÓN!R231&lt;&gt;"",FORMULACIÓN!R231,"")</f>
        <v/>
      </c>
      <c r="R231" s="209" t="str">
        <f>IF(FORMULACIÓN!S231&lt;&gt;"",FORMULACIÓN!S231,"")</f>
        <v/>
      </c>
      <c r="S231" s="209" t="str">
        <f>IF(FORMULACIÓN!T231&lt;&gt;"",FORMULACIÓN!T231,"")</f>
        <v/>
      </c>
      <c r="T231" s="42"/>
      <c r="U231" s="42"/>
      <c r="V231" s="42"/>
      <c r="W231" s="43" t="str">
        <f t="shared" si="27"/>
        <v/>
      </c>
      <c r="X231" s="42"/>
      <c r="Y231" s="42"/>
      <c r="Z231" s="42"/>
      <c r="AA231" s="43" t="str">
        <f t="shared" si="28"/>
        <v/>
      </c>
      <c r="AB231" s="42"/>
      <c r="AC231" s="42"/>
      <c r="AD231" s="42"/>
      <c r="AE231" s="43" t="str">
        <f t="shared" si="29"/>
        <v/>
      </c>
      <c r="AF231" s="42"/>
      <c r="AG231" s="42"/>
      <c r="AH231" s="42"/>
      <c r="AI231" s="46" t="str">
        <f t="shared" si="30"/>
        <v/>
      </c>
      <c r="AJ231" s="46" t="str">
        <f>IF(SUM(AA231,AE231,W231,AI231)=0,"",SUM((AA231,AE231,W231,AI231)))</f>
        <v/>
      </c>
      <c r="AK231" s="2"/>
      <c r="AL231" s="1" t="str">
        <f t="shared" si="31"/>
        <v/>
      </c>
      <c r="AM231" s="56" t="str">
        <f t="shared" si="33"/>
        <v/>
      </c>
      <c r="AN231" s="112" t="str">
        <f ca="1">IF($G231=Lists!$R$3,"T1: "&amp;TEXT(FORMULACIÓN!L231,"00,00%")&amp;CHAR(10)&amp;"T2: "&amp;TEXT(FORMULACIÓN!M231,"00,00%")&amp;CHAR(10)&amp;"T3: "&amp;TEXT(FORMULACIÓN!N231,"00,00%")&amp;CHAR(10)&amp;"Tn: "&amp;TEXT(FORMULACIÓN!O231,"00,00%"),IF(FORMULACIÓN!Q231=0,0,"T1: "&amp;TEXT(FORMULACIÓN!L231,"##.###")&amp;CHAR(10)&amp;"T2: "&amp;TEXT(FORMULACIÓN!M231,"##.###")&amp;CHAR(10)&amp;"T3: "&amp;TEXT(FORMULACIÓN!N231,"##.###")&amp;CHAR(10)&amp;"Tn: "&amp;TEXT(FORMULACIÓN!O231,"##.###")))</f>
        <v xml:space="preserve">T1: 
T2: 
T3: 
Tn: </v>
      </c>
      <c r="AO231" s="117" t="str">
        <f>IFERROR(IF($H231=Lists!$S$6,IF(AND(FORMULACIÓN!L231&gt;K231,K231&gt;0),1,0),IF((K231/FORMULACIÓN!L231)&lt;&gt;0,K231/FORMULACIÓN!L231,0)),"")</f>
        <v/>
      </c>
      <c r="AP231" s="117" t="str">
        <f>IFERROR(IF($H231=Lists!$S$6,IF(AND(FORMULACIÓN!M231&gt;L231,L231&gt;0),1,0),IF((L231/FORMULACIÓN!M231)&lt;&gt;0,L231/FORMULACIÓN!M231,0)),"")</f>
        <v/>
      </c>
      <c r="AQ231" s="117" t="str">
        <f>IFERROR(IF($H231=Lists!$S$6,IF(AND(FORMULACIÓN!N231&gt;M231,M231&gt;0),1,0),IF((M231/FORMULACIÓN!N231)&lt;&gt;0,M231/FORMULACIÓN!N231,0)),"")</f>
        <v/>
      </c>
      <c r="AR231" s="117" t="str">
        <f>IFERROR(IF($H231=Lists!$S$6,IF(AND(FORMULACIÓN!O231&gt;N231,N231&gt;0),1,0),IF((N231/FORMULACIÓN!O231)&lt;&gt;0,N231/FORMULACIÓN!O231,0)),"")</f>
        <v/>
      </c>
      <c r="AS231" s="110"/>
      <c r="AT231" s="118" t="str">
        <f ca="1">IF($H231=Lists!$S$6,TEXT(COUNTIF('SEGUIMIENTO Y EVALUACIÓN'!K231:N231,"&lt;"&amp;FORMULACIÓN!Q231),"##.###")&amp;" / "&amp;TEXT(COUNTIF('SEGUIMIENTO Y EVALUACIÓN'!K231:N231,"&gt;"&amp;0),"##.###"),IF($G231=Lists!$R$3,TEXT('SEGUIMIENTO Y EVALUACIÓN'!O231,"00,00%")&amp;" / "&amp;TEXT(FORMULACIÓN!P231,"00,00%"),IF('SEGUIMIENTO Y EVALUACIÓN'!O231=0,0,TEXT('SEGUIMIENTO Y EVALUACIÓN'!O231,"##.###")&amp;" / "&amp;TEXT(FORMULACIÓN!P231,"##.###"))))</f>
        <v xml:space="preserve"> / </v>
      </c>
      <c r="AU231" s="57">
        <f ca="1">IFERROR(IF((P231/FORMULACIÓN!Q231)&lt;&gt;0,IF($H231=Lists!$S$6,COUNTIF('SEGUIMIENTO Y EVALUACIÓN'!K231:N231,"&lt;"&amp;FORMULACIÓN!Q231),'SEGUIMIENTO Y EVALUACIÓN'!P231)/IF($H231=Lists!$S$6,COUNTIF('SEGUIMIENTO Y EVALUACIÓN'!K231:N231,"&gt;"&amp;0),FORMULACIÓN!P231),0),0)</f>
        <v>0</v>
      </c>
      <c r="AV231" s="93" t="str">
        <f t="shared" ca="1" si="32"/>
        <v/>
      </c>
      <c r="AW231" s="93" cm="1">
        <f t="array" ref="AW231">IF(INDEX(AO231:AU231,1,$AV$3)&gt;1,1,INDEX(AO231:AU231,1,$AV$3))</f>
        <v>1</v>
      </c>
      <c r="AX231" s="3"/>
      <c r="AY231" s="119" t="str">
        <f>IFERROR(IF((W231/FORMULACIÓN!X231)&lt;&gt;0,W231/FORMULACIÓN!X231,0),"")</f>
        <v/>
      </c>
      <c r="AZ231" s="119" t="str">
        <f>IFERROR(IF((AA231/FORMULACIÓN!AB231)&lt;&gt;0,AA231/FORMULACIÓN!AB231,0),"")</f>
        <v/>
      </c>
      <c r="BA231" s="119" t="str">
        <f>IFERROR(IF((AE231/FORMULACIÓN!AF231)&lt;&gt;0,(AE231/FORMULACIÓN!AF231),0),"")</f>
        <v/>
      </c>
      <c r="BB231" s="119" t="str">
        <f>IFERROR(IF((AI231/FORMULACIÓN!AJ231)&lt;&gt;0,AI231/FORMULACIÓN!AJ231,0),"")</f>
        <v/>
      </c>
      <c r="BC231" s="120" t="str">
        <f>IF('SEGUIMIENTO Y EVALUACIÓN'!AI231=0,0,TEXT('SEGUIMIENTO Y EVALUACIÓN'!AI231,"$ ##.###")&amp;" / "&amp;TEXT(FORMULACIÓN!AK231,"$ ##.###"))</f>
        <v xml:space="preserve"> / </v>
      </c>
      <c r="BD231" s="57">
        <f>IFERROR(IF((AJ231/FORMULACIÓN!AK231)&lt;&gt;0,AJ231/FORMULACIÓN!AK231,0),0)</f>
        <v>0</v>
      </c>
      <c r="CL231" s="7"/>
    </row>
    <row r="232" spans="1:90" s="1" customFormat="1" ht="99.95" customHeight="1">
      <c r="A232" s="45" t="str">
        <f>IF(FORMULACIÓN!A232="","",FORMULACIÓN!A232)</f>
        <v/>
      </c>
      <c r="B232" s="45" t="str">
        <f>IF(FORMULACIÓN!B232="","",FORMULACIÓN!B232)</f>
        <v/>
      </c>
      <c r="C232" s="45" t="str">
        <f>IF(FORMULACIÓN!E232="","",FORMULACIÓN!E232)</f>
        <v/>
      </c>
      <c r="D232" s="45" t="str">
        <f>IF(FORMULACIÓN!F232="","",FORMULACIÓN!F232)</f>
        <v/>
      </c>
      <c r="E232" s="45" t="str">
        <f>IF(FORMULACIÓN!G232="","",FORMULACIÓN!G232)</f>
        <v/>
      </c>
      <c r="F232" s="45" t="str">
        <f>IF(FORMULACIÓN!H232="","",FORMULACIÓN!H232)</f>
        <v/>
      </c>
      <c r="G232" s="45" t="str">
        <f>IF(FORMULACIÓN!I232="","",FORMULACIÓN!I232)</f>
        <v/>
      </c>
      <c r="H232" s="45" t="str">
        <f>IF(FORMULACIÓN!J232="","",FORMULACIÓN!J232)</f>
        <v/>
      </c>
      <c r="I232" s="188" t="str">
        <f ca="1">IF($G232=Lists!$R$3,"PDI: "&amp;TEXT(FORMULACIÓN!Q232,"00,00%")&amp;CHAR(10)&amp;CHAR(10)&amp;"T1: "&amp;TEXT(FORMULACIÓN!L232,"00,00%")&amp;CHAR(10)&amp;"T2: "&amp;TEXT(FORMULACIÓN!M232,"00,00%")&amp;CHAR(10)&amp;"T3: "&amp;TEXT(FORMULACIÓN!N232,"00,00%")&amp;CHAR(10)&amp;"Tn: "&amp;TEXT(FORMULACIÓN!O232,"00,00%"),IF(FORMULACIÓN!Q232=0,0,"PDI: "&amp;TEXT(FORMULACIÓN!Q232,"##.###")&amp;CHAR(10)&amp;CHAR(10)&amp;"T1: "&amp;TEXT(FORMULACIÓN!L232,"##.###")&amp;CHAR(10)&amp;"T2: "&amp;TEXT(FORMULACIÓN!M232,"##.###")&amp;CHAR(10)&amp;"T3: "&amp;TEXT(FORMULACIÓN!N232,"##.###")&amp;CHAR(10)&amp;"Tn: "&amp;TEXT(FORMULACIÓN!O232,"##.###")))</f>
        <v xml:space="preserve">PDI: 
T1: 
T2: 
T3: 
Tn: </v>
      </c>
      <c r="J232" s="122" t="str">
        <f>IF(FORMULACIÓN!K232&lt;&gt;"",FORMULACIÓN!K232,"")</f>
        <v/>
      </c>
      <c r="K232" s="58"/>
      <c r="L232" s="58"/>
      <c r="M232" s="58"/>
      <c r="N232" s="58"/>
      <c r="O232" s="47" t="str">
        <f ca="1">IFERROR(IF($H232=Lists!$S$2,SUM('SEGUIMIENTO Y EVALUACIÓN'!J232:N232),IF('SEGUIMIENTO Y EVALUACIÓN'!$H232=Lists!$S$3,SUM('SEGUIMIENTO Y EVALUACIÓN'!K232:N232),IF('SEGUIMIENTO Y EVALUACIÓN'!$H232=Lists!$S$4,AVERAGE('SEGUIMIENTO Y EVALUACIÓN'!K232:N232),IF('SEGUIMIENTO Y EVALUACIÓN'!$H232=Lists!$S$5,OFFSET(J232,0,COUNTA(K232:N232)),IF($H232=Lists!$S$6,COUNTIF(K232:N232,"&lt;"&amp;FORMULACIÓN!Q232)/COUNT('SEGUIMIENTO Y EVALUACIÓN'!K232:N232),""))))),"")</f>
        <v/>
      </c>
      <c r="P232" s="51" t="str">
        <f ca="1">IF($G232=Lists!$R$3,TEXT('SEGUIMIENTO Y EVALUACIÓN'!O232,"00,00%"),IF('SEGUIMIENTO Y EVALUACIÓN'!O232=0,0,TEXT('SEGUIMIENTO Y EVALUACIÓN'!O232,"##.###")))</f>
        <v/>
      </c>
      <c r="Q232" s="209" t="str">
        <f>IF(FORMULACIÓN!R232&lt;&gt;"",FORMULACIÓN!R232,"")</f>
        <v/>
      </c>
      <c r="R232" s="209" t="str">
        <f>IF(FORMULACIÓN!S232&lt;&gt;"",FORMULACIÓN!S232,"")</f>
        <v/>
      </c>
      <c r="S232" s="209" t="str">
        <f>IF(FORMULACIÓN!T232&lt;&gt;"",FORMULACIÓN!T232,"")</f>
        <v/>
      </c>
      <c r="T232" s="42"/>
      <c r="U232" s="42"/>
      <c r="V232" s="42"/>
      <c r="W232" s="43" t="str">
        <f t="shared" si="27"/>
        <v/>
      </c>
      <c r="X232" s="42"/>
      <c r="Y232" s="42"/>
      <c r="Z232" s="42"/>
      <c r="AA232" s="43" t="str">
        <f t="shared" si="28"/>
        <v/>
      </c>
      <c r="AB232" s="42"/>
      <c r="AC232" s="42"/>
      <c r="AD232" s="42"/>
      <c r="AE232" s="43" t="str">
        <f t="shared" si="29"/>
        <v/>
      </c>
      <c r="AF232" s="42"/>
      <c r="AG232" s="42"/>
      <c r="AH232" s="42"/>
      <c r="AI232" s="46" t="str">
        <f t="shared" si="30"/>
        <v/>
      </c>
      <c r="AJ232" s="46" t="str">
        <f>IF(SUM(AA232,AE232,W232,AI232)=0,"",SUM((AA232,AE232,W232,AI232)))</f>
        <v/>
      </c>
      <c r="AK232" s="2"/>
      <c r="AL232" s="1" t="str">
        <f t="shared" si="31"/>
        <v/>
      </c>
      <c r="AM232" s="56" t="str">
        <f t="shared" si="33"/>
        <v/>
      </c>
      <c r="AN232" s="112" t="str">
        <f ca="1">IF($G232=Lists!$R$3,"T1: "&amp;TEXT(FORMULACIÓN!L232,"00,00%")&amp;CHAR(10)&amp;"T2: "&amp;TEXT(FORMULACIÓN!M232,"00,00%")&amp;CHAR(10)&amp;"T3: "&amp;TEXT(FORMULACIÓN!N232,"00,00%")&amp;CHAR(10)&amp;"Tn: "&amp;TEXT(FORMULACIÓN!O232,"00,00%"),IF(FORMULACIÓN!Q232=0,0,"T1: "&amp;TEXT(FORMULACIÓN!L232,"##.###")&amp;CHAR(10)&amp;"T2: "&amp;TEXT(FORMULACIÓN!M232,"##.###")&amp;CHAR(10)&amp;"T3: "&amp;TEXT(FORMULACIÓN!N232,"##.###")&amp;CHAR(10)&amp;"Tn: "&amp;TEXT(FORMULACIÓN!O232,"##.###")))</f>
        <v xml:space="preserve">T1: 
T2: 
T3: 
Tn: </v>
      </c>
      <c r="AO232" s="117" t="str">
        <f>IFERROR(IF($H232=Lists!$S$6,IF(AND(FORMULACIÓN!L232&gt;K232,K232&gt;0),1,0),IF((K232/FORMULACIÓN!L232)&lt;&gt;0,K232/FORMULACIÓN!L232,0)),"")</f>
        <v/>
      </c>
      <c r="AP232" s="117" t="str">
        <f>IFERROR(IF($H232=Lists!$S$6,IF(AND(FORMULACIÓN!M232&gt;L232,L232&gt;0),1,0),IF((L232/FORMULACIÓN!M232)&lt;&gt;0,L232/FORMULACIÓN!M232,0)),"")</f>
        <v/>
      </c>
      <c r="AQ232" s="117" t="str">
        <f>IFERROR(IF($H232=Lists!$S$6,IF(AND(FORMULACIÓN!N232&gt;M232,M232&gt;0),1,0),IF((M232/FORMULACIÓN!N232)&lt;&gt;0,M232/FORMULACIÓN!N232,0)),"")</f>
        <v/>
      </c>
      <c r="AR232" s="117" t="str">
        <f>IFERROR(IF($H232=Lists!$S$6,IF(AND(FORMULACIÓN!O232&gt;N232,N232&gt;0),1,0),IF((N232/FORMULACIÓN!O232)&lt;&gt;0,N232/FORMULACIÓN!O232,0)),"")</f>
        <v/>
      </c>
      <c r="AS232" s="110"/>
      <c r="AT232" s="118" t="str">
        <f ca="1">IF($H232=Lists!$S$6,TEXT(COUNTIF('SEGUIMIENTO Y EVALUACIÓN'!K232:N232,"&lt;"&amp;FORMULACIÓN!Q232),"##.###")&amp;" / "&amp;TEXT(COUNTIF('SEGUIMIENTO Y EVALUACIÓN'!K232:N232,"&gt;"&amp;0),"##.###"),IF($G232=Lists!$R$3,TEXT('SEGUIMIENTO Y EVALUACIÓN'!O232,"00,00%")&amp;" / "&amp;TEXT(FORMULACIÓN!P232,"00,00%"),IF('SEGUIMIENTO Y EVALUACIÓN'!O232=0,0,TEXT('SEGUIMIENTO Y EVALUACIÓN'!O232,"##.###")&amp;" / "&amp;TEXT(FORMULACIÓN!P232,"##.###"))))</f>
        <v xml:space="preserve"> / </v>
      </c>
      <c r="AU232" s="57">
        <f ca="1">IFERROR(IF((P232/FORMULACIÓN!Q232)&lt;&gt;0,IF($H232=Lists!$S$6,COUNTIF('SEGUIMIENTO Y EVALUACIÓN'!K232:N232,"&lt;"&amp;FORMULACIÓN!Q232),'SEGUIMIENTO Y EVALUACIÓN'!P232)/IF($H232=Lists!$S$6,COUNTIF('SEGUIMIENTO Y EVALUACIÓN'!K232:N232,"&gt;"&amp;0),FORMULACIÓN!P232),0),0)</f>
        <v>0</v>
      </c>
      <c r="AV232" s="93" t="str">
        <f t="shared" ca="1" si="32"/>
        <v/>
      </c>
      <c r="AW232" s="93" cm="1">
        <f t="array" ref="AW232">IF(INDEX(AO232:AU232,1,$AV$3)&gt;1,1,INDEX(AO232:AU232,1,$AV$3))</f>
        <v>1</v>
      </c>
      <c r="AX232" s="3"/>
      <c r="AY232" s="119" t="str">
        <f>IFERROR(IF((W232/FORMULACIÓN!X232)&lt;&gt;0,W232/FORMULACIÓN!X232,0),"")</f>
        <v/>
      </c>
      <c r="AZ232" s="119" t="str">
        <f>IFERROR(IF((AA232/FORMULACIÓN!AB232)&lt;&gt;0,AA232/FORMULACIÓN!AB232,0),"")</f>
        <v/>
      </c>
      <c r="BA232" s="119" t="str">
        <f>IFERROR(IF((AE232/FORMULACIÓN!AF232)&lt;&gt;0,(AE232/FORMULACIÓN!AF232),0),"")</f>
        <v/>
      </c>
      <c r="BB232" s="119" t="str">
        <f>IFERROR(IF((AI232/FORMULACIÓN!AJ232)&lt;&gt;0,AI232/FORMULACIÓN!AJ232,0),"")</f>
        <v/>
      </c>
      <c r="BC232" s="120" t="str">
        <f>IF('SEGUIMIENTO Y EVALUACIÓN'!AI232=0,0,TEXT('SEGUIMIENTO Y EVALUACIÓN'!AI232,"$ ##.###")&amp;" / "&amp;TEXT(FORMULACIÓN!AK232,"$ ##.###"))</f>
        <v xml:space="preserve"> / </v>
      </c>
      <c r="BD232" s="57">
        <f>IFERROR(IF((AJ232/FORMULACIÓN!AK232)&lt;&gt;0,AJ232/FORMULACIÓN!AK232,0),0)</f>
        <v>0</v>
      </c>
      <c r="CL232" s="7"/>
    </row>
    <row r="233" spans="1:90" s="1" customFormat="1" ht="99.95" customHeight="1">
      <c r="A233" s="45" t="str">
        <f>IF(FORMULACIÓN!A233="","",FORMULACIÓN!A233)</f>
        <v/>
      </c>
      <c r="B233" s="45" t="str">
        <f>IF(FORMULACIÓN!B233="","",FORMULACIÓN!B233)</f>
        <v/>
      </c>
      <c r="C233" s="45" t="str">
        <f>IF(FORMULACIÓN!E233="","",FORMULACIÓN!E233)</f>
        <v/>
      </c>
      <c r="D233" s="45" t="str">
        <f>IF(FORMULACIÓN!F233="","",FORMULACIÓN!F233)</f>
        <v/>
      </c>
      <c r="E233" s="45" t="str">
        <f>IF(FORMULACIÓN!G233="","",FORMULACIÓN!G233)</f>
        <v/>
      </c>
      <c r="F233" s="45" t="str">
        <f>IF(FORMULACIÓN!H233="","",FORMULACIÓN!H233)</f>
        <v/>
      </c>
      <c r="G233" s="45" t="str">
        <f>IF(FORMULACIÓN!I233="","",FORMULACIÓN!I233)</f>
        <v/>
      </c>
      <c r="H233" s="45" t="str">
        <f>IF(FORMULACIÓN!J233="","",FORMULACIÓN!J233)</f>
        <v/>
      </c>
      <c r="I233" s="188" t="str">
        <f ca="1">IF($G233=Lists!$R$3,"PDI: "&amp;TEXT(FORMULACIÓN!Q233,"00,00%")&amp;CHAR(10)&amp;CHAR(10)&amp;"T1: "&amp;TEXT(FORMULACIÓN!L233,"00,00%")&amp;CHAR(10)&amp;"T2: "&amp;TEXT(FORMULACIÓN!M233,"00,00%")&amp;CHAR(10)&amp;"T3: "&amp;TEXT(FORMULACIÓN!N233,"00,00%")&amp;CHAR(10)&amp;"Tn: "&amp;TEXT(FORMULACIÓN!O233,"00,00%"),IF(FORMULACIÓN!Q233=0,0,"PDI: "&amp;TEXT(FORMULACIÓN!Q233,"##.###")&amp;CHAR(10)&amp;CHAR(10)&amp;"T1: "&amp;TEXT(FORMULACIÓN!L233,"##.###")&amp;CHAR(10)&amp;"T2: "&amp;TEXT(FORMULACIÓN!M233,"##.###")&amp;CHAR(10)&amp;"T3: "&amp;TEXT(FORMULACIÓN!N233,"##.###")&amp;CHAR(10)&amp;"Tn: "&amp;TEXT(FORMULACIÓN!O233,"##.###")))</f>
        <v xml:space="preserve">PDI: 
T1: 
T2: 
T3: 
Tn: </v>
      </c>
      <c r="J233" s="122" t="str">
        <f>IF(FORMULACIÓN!K233&lt;&gt;"",FORMULACIÓN!K233,"")</f>
        <v/>
      </c>
      <c r="K233" s="58"/>
      <c r="L233" s="58"/>
      <c r="M233" s="58"/>
      <c r="N233" s="58"/>
      <c r="O233" s="47" t="str">
        <f ca="1">IFERROR(IF($H233=Lists!$S$2,SUM('SEGUIMIENTO Y EVALUACIÓN'!J233:N233),IF('SEGUIMIENTO Y EVALUACIÓN'!$H233=Lists!$S$3,SUM('SEGUIMIENTO Y EVALUACIÓN'!K233:N233),IF('SEGUIMIENTO Y EVALUACIÓN'!$H233=Lists!$S$4,AVERAGE('SEGUIMIENTO Y EVALUACIÓN'!K233:N233),IF('SEGUIMIENTO Y EVALUACIÓN'!$H233=Lists!$S$5,OFFSET(J233,0,COUNTA(K233:N233)),IF($H233=Lists!$S$6,COUNTIF(K233:N233,"&lt;"&amp;FORMULACIÓN!Q233)/COUNT('SEGUIMIENTO Y EVALUACIÓN'!K233:N233),""))))),"")</f>
        <v/>
      </c>
      <c r="P233" s="51" t="str">
        <f ca="1">IF($G233=Lists!$R$3,TEXT('SEGUIMIENTO Y EVALUACIÓN'!O233,"00,00%"),IF('SEGUIMIENTO Y EVALUACIÓN'!O233=0,0,TEXT('SEGUIMIENTO Y EVALUACIÓN'!O233,"##.###")))</f>
        <v/>
      </c>
      <c r="Q233" s="209" t="str">
        <f>IF(FORMULACIÓN!R233&lt;&gt;"",FORMULACIÓN!R233,"")</f>
        <v/>
      </c>
      <c r="R233" s="209" t="str">
        <f>IF(FORMULACIÓN!S233&lt;&gt;"",FORMULACIÓN!S233,"")</f>
        <v/>
      </c>
      <c r="S233" s="209" t="str">
        <f>IF(FORMULACIÓN!T233&lt;&gt;"",FORMULACIÓN!T233,"")</f>
        <v/>
      </c>
      <c r="T233" s="42"/>
      <c r="U233" s="42"/>
      <c r="V233" s="42"/>
      <c r="W233" s="43" t="str">
        <f t="shared" si="27"/>
        <v/>
      </c>
      <c r="X233" s="42"/>
      <c r="Y233" s="42"/>
      <c r="Z233" s="42"/>
      <c r="AA233" s="43" t="str">
        <f t="shared" si="28"/>
        <v/>
      </c>
      <c r="AB233" s="42"/>
      <c r="AC233" s="42"/>
      <c r="AD233" s="42"/>
      <c r="AE233" s="43" t="str">
        <f t="shared" si="29"/>
        <v/>
      </c>
      <c r="AF233" s="42"/>
      <c r="AG233" s="42"/>
      <c r="AH233" s="42"/>
      <c r="AI233" s="46" t="str">
        <f t="shared" si="30"/>
        <v/>
      </c>
      <c r="AJ233" s="46" t="str">
        <f>IF(SUM(AA233,AE233,W233,AI233)=0,"",SUM((AA233,AE233,W233,AI233)))</f>
        <v/>
      </c>
      <c r="AK233" s="2"/>
      <c r="AL233" s="1" t="str">
        <f t="shared" si="31"/>
        <v/>
      </c>
      <c r="AM233" s="56" t="str">
        <f t="shared" si="33"/>
        <v/>
      </c>
      <c r="AN233" s="112" t="str">
        <f ca="1">IF($G233=Lists!$R$3,"T1: "&amp;TEXT(FORMULACIÓN!L233,"00,00%")&amp;CHAR(10)&amp;"T2: "&amp;TEXT(FORMULACIÓN!M233,"00,00%")&amp;CHAR(10)&amp;"T3: "&amp;TEXT(FORMULACIÓN!N233,"00,00%")&amp;CHAR(10)&amp;"Tn: "&amp;TEXT(FORMULACIÓN!O233,"00,00%"),IF(FORMULACIÓN!Q233=0,0,"T1: "&amp;TEXT(FORMULACIÓN!L233,"##.###")&amp;CHAR(10)&amp;"T2: "&amp;TEXT(FORMULACIÓN!M233,"##.###")&amp;CHAR(10)&amp;"T3: "&amp;TEXT(FORMULACIÓN!N233,"##.###")&amp;CHAR(10)&amp;"Tn: "&amp;TEXT(FORMULACIÓN!O233,"##.###")))</f>
        <v xml:space="preserve">T1: 
T2: 
T3: 
Tn: </v>
      </c>
      <c r="AO233" s="117" t="str">
        <f>IFERROR(IF($H233=Lists!$S$6,IF(AND(FORMULACIÓN!L233&gt;K233,K233&gt;0),1,0),IF((K233/FORMULACIÓN!L233)&lt;&gt;0,K233/FORMULACIÓN!L233,0)),"")</f>
        <v/>
      </c>
      <c r="AP233" s="117" t="str">
        <f>IFERROR(IF($H233=Lists!$S$6,IF(AND(FORMULACIÓN!M233&gt;L233,L233&gt;0),1,0),IF((L233/FORMULACIÓN!M233)&lt;&gt;0,L233/FORMULACIÓN!M233,0)),"")</f>
        <v/>
      </c>
      <c r="AQ233" s="117" t="str">
        <f>IFERROR(IF($H233=Lists!$S$6,IF(AND(FORMULACIÓN!N233&gt;M233,M233&gt;0),1,0),IF((M233/FORMULACIÓN!N233)&lt;&gt;0,M233/FORMULACIÓN!N233,0)),"")</f>
        <v/>
      </c>
      <c r="AR233" s="117" t="str">
        <f>IFERROR(IF($H233=Lists!$S$6,IF(AND(FORMULACIÓN!O233&gt;N233,N233&gt;0),1,0),IF((N233/FORMULACIÓN!O233)&lt;&gt;0,N233/FORMULACIÓN!O233,0)),"")</f>
        <v/>
      </c>
      <c r="AS233" s="110"/>
      <c r="AT233" s="118" t="str">
        <f ca="1">IF($H233=Lists!$S$6,TEXT(COUNTIF('SEGUIMIENTO Y EVALUACIÓN'!K233:N233,"&lt;"&amp;FORMULACIÓN!Q233),"##.###")&amp;" / "&amp;TEXT(COUNTIF('SEGUIMIENTO Y EVALUACIÓN'!K233:N233,"&gt;"&amp;0),"##.###"),IF($G233=Lists!$R$3,TEXT('SEGUIMIENTO Y EVALUACIÓN'!O233,"00,00%")&amp;" / "&amp;TEXT(FORMULACIÓN!P233,"00,00%"),IF('SEGUIMIENTO Y EVALUACIÓN'!O233=0,0,TEXT('SEGUIMIENTO Y EVALUACIÓN'!O233,"##.###")&amp;" / "&amp;TEXT(FORMULACIÓN!P233,"##.###"))))</f>
        <v xml:space="preserve"> / </v>
      </c>
      <c r="AU233" s="57">
        <f ca="1">IFERROR(IF((P233/FORMULACIÓN!Q233)&lt;&gt;0,IF($H233=Lists!$S$6,COUNTIF('SEGUIMIENTO Y EVALUACIÓN'!K233:N233,"&lt;"&amp;FORMULACIÓN!Q233),'SEGUIMIENTO Y EVALUACIÓN'!P233)/IF($H233=Lists!$S$6,COUNTIF('SEGUIMIENTO Y EVALUACIÓN'!K233:N233,"&gt;"&amp;0),FORMULACIÓN!P233),0),0)</f>
        <v>0</v>
      </c>
      <c r="AV233" s="93" t="str">
        <f t="shared" ca="1" si="32"/>
        <v/>
      </c>
      <c r="AW233" s="93" cm="1">
        <f t="array" ref="AW233">IF(INDEX(AO233:AU233,1,$AV$3)&gt;1,1,INDEX(AO233:AU233,1,$AV$3))</f>
        <v>1</v>
      </c>
      <c r="AX233" s="3"/>
      <c r="AY233" s="119" t="str">
        <f>IFERROR(IF((W233/FORMULACIÓN!X233)&lt;&gt;0,W233/FORMULACIÓN!X233,0),"")</f>
        <v/>
      </c>
      <c r="AZ233" s="119" t="str">
        <f>IFERROR(IF((AA233/FORMULACIÓN!AB233)&lt;&gt;0,AA233/FORMULACIÓN!AB233,0),"")</f>
        <v/>
      </c>
      <c r="BA233" s="119" t="str">
        <f>IFERROR(IF((AE233/FORMULACIÓN!AF233)&lt;&gt;0,(AE233/FORMULACIÓN!AF233),0),"")</f>
        <v/>
      </c>
      <c r="BB233" s="119" t="str">
        <f>IFERROR(IF((AI233/FORMULACIÓN!AJ233)&lt;&gt;0,AI233/FORMULACIÓN!AJ233,0),"")</f>
        <v/>
      </c>
      <c r="BC233" s="120" t="str">
        <f>IF('SEGUIMIENTO Y EVALUACIÓN'!AI233=0,0,TEXT('SEGUIMIENTO Y EVALUACIÓN'!AI233,"$ ##.###")&amp;" / "&amp;TEXT(FORMULACIÓN!AK233,"$ ##.###"))</f>
        <v xml:space="preserve"> / </v>
      </c>
      <c r="BD233" s="57">
        <f>IFERROR(IF((AJ233/FORMULACIÓN!AK233)&lt;&gt;0,AJ233/FORMULACIÓN!AK233,0),0)</f>
        <v>0</v>
      </c>
      <c r="CL233" s="7"/>
    </row>
    <row r="234" spans="1:90" s="1" customFormat="1" ht="99.95" customHeight="1">
      <c r="A234" s="45" t="str">
        <f>IF(FORMULACIÓN!A234="","",FORMULACIÓN!A234)</f>
        <v/>
      </c>
      <c r="B234" s="45" t="str">
        <f>IF(FORMULACIÓN!B234="","",FORMULACIÓN!B234)</f>
        <v/>
      </c>
      <c r="C234" s="45" t="str">
        <f>IF(FORMULACIÓN!E234="","",FORMULACIÓN!E234)</f>
        <v/>
      </c>
      <c r="D234" s="45" t="str">
        <f>IF(FORMULACIÓN!F234="","",FORMULACIÓN!F234)</f>
        <v/>
      </c>
      <c r="E234" s="45" t="str">
        <f>IF(FORMULACIÓN!G234="","",FORMULACIÓN!G234)</f>
        <v/>
      </c>
      <c r="F234" s="45" t="str">
        <f>IF(FORMULACIÓN!H234="","",FORMULACIÓN!H234)</f>
        <v/>
      </c>
      <c r="G234" s="45" t="str">
        <f>IF(FORMULACIÓN!I234="","",FORMULACIÓN!I234)</f>
        <v/>
      </c>
      <c r="H234" s="45" t="str">
        <f>IF(FORMULACIÓN!J234="","",FORMULACIÓN!J234)</f>
        <v/>
      </c>
      <c r="I234" s="188" t="str">
        <f ca="1">IF($G234=Lists!$R$3,"PDI: "&amp;TEXT(FORMULACIÓN!Q234,"00,00%")&amp;CHAR(10)&amp;CHAR(10)&amp;"T1: "&amp;TEXT(FORMULACIÓN!L234,"00,00%")&amp;CHAR(10)&amp;"T2: "&amp;TEXT(FORMULACIÓN!M234,"00,00%")&amp;CHAR(10)&amp;"T3: "&amp;TEXT(FORMULACIÓN!N234,"00,00%")&amp;CHAR(10)&amp;"Tn: "&amp;TEXT(FORMULACIÓN!O234,"00,00%"),IF(FORMULACIÓN!Q234=0,0,"PDI: "&amp;TEXT(FORMULACIÓN!Q234,"##.###")&amp;CHAR(10)&amp;CHAR(10)&amp;"T1: "&amp;TEXT(FORMULACIÓN!L234,"##.###")&amp;CHAR(10)&amp;"T2: "&amp;TEXT(FORMULACIÓN!M234,"##.###")&amp;CHAR(10)&amp;"T3: "&amp;TEXT(FORMULACIÓN!N234,"##.###")&amp;CHAR(10)&amp;"Tn: "&amp;TEXT(FORMULACIÓN!O234,"##.###")))</f>
        <v xml:space="preserve">PDI: 
T1: 
T2: 
T3: 
Tn: </v>
      </c>
      <c r="J234" s="122" t="str">
        <f>IF(FORMULACIÓN!K234&lt;&gt;"",FORMULACIÓN!K234,"")</f>
        <v/>
      </c>
      <c r="K234" s="58"/>
      <c r="L234" s="58"/>
      <c r="M234" s="58"/>
      <c r="N234" s="58"/>
      <c r="O234" s="47" t="str">
        <f ca="1">IFERROR(IF($H234=Lists!$S$2,SUM('SEGUIMIENTO Y EVALUACIÓN'!J234:N234),IF('SEGUIMIENTO Y EVALUACIÓN'!$H234=Lists!$S$3,SUM('SEGUIMIENTO Y EVALUACIÓN'!K234:N234),IF('SEGUIMIENTO Y EVALUACIÓN'!$H234=Lists!$S$4,AVERAGE('SEGUIMIENTO Y EVALUACIÓN'!K234:N234),IF('SEGUIMIENTO Y EVALUACIÓN'!$H234=Lists!$S$5,OFFSET(J234,0,COUNTA(K234:N234)),IF($H234=Lists!$S$6,COUNTIF(K234:N234,"&lt;"&amp;FORMULACIÓN!Q234)/COUNT('SEGUIMIENTO Y EVALUACIÓN'!K234:N234),""))))),"")</f>
        <v/>
      </c>
      <c r="P234" s="51" t="str">
        <f ca="1">IF($G234=Lists!$R$3,TEXT('SEGUIMIENTO Y EVALUACIÓN'!O234,"00,00%"),IF('SEGUIMIENTO Y EVALUACIÓN'!O234=0,0,TEXT('SEGUIMIENTO Y EVALUACIÓN'!O234,"##.###")))</f>
        <v/>
      </c>
      <c r="Q234" s="209" t="str">
        <f>IF(FORMULACIÓN!R234&lt;&gt;"",FORMULACIÓN!R234,"")</f>
        <v/>
      </c>
      <c r="R234" s="209" t="str">
        <f>IF(FORMULACIÓN!S234&lt;&gt;"",FORMULACIÓN!S234,"")</f>
        <v/>
      </c>
      <c r="S234" s="209" t="str">
        <f>IF(FORMULACIÓN!T234&lt;&gt;"",FORMULACIÓN!T234,"")</f>
        <v/>
      </c>
      <c r="T234" s="42"/>
      <c r="U234" s="42"/>
      <c r="V234" s="42"/>
      <c r="W234" s="43" t="str">
        <f t="shared" si="27"/>
        <v/>
      </c>
      <c r="X234" s="42"/>
      <c r="Y234" s="42"/>
      <c r="Z234" s="42"/>
      <c r="AA234" s="43" t="str">
        <f t="shared" si="28"/>
        <v/>
      </c>
      <c r="AB234" s="42"/>
      <c r="AC234" s="42"/>
      <c r="AD234" s="42"/>
      <c r="AE234" s="43" t="str">
        <f t="shared" si="29"/>
        <v/>
      </c>
      <c r="AF234" s="42"/>
      <c r="AG234" s="42"/>
      <c r="AH234" s="42"/>
      <c r="AI234" s="46" t="str">
        <f t="shared" si="30"/>
        <v/>
      </c>
      <c r="AJ234" s="46" t="str">
        <f>IF(SUM(AA234,AE234,W234,AI234)=0,"",SUM((AA234,AE234,W234,AI234)))</f>
        <v/>
      </c>
      <c r="AK234" s="2"/>
      <c r="AL234" s="1" t="str">
        <f t="shared" si="31"/>
        <v/>
      </c>
      <c r="AM234" s="56" t="str">
        <f t="shared" si="33"/>
        <v/>
      </c>
      <c r="AN234" s="112" t="str">
        <f ca="1">IF($G234=Lists!$R$3,"T1: "&amp;TEXT(FORMULACIÓN!L234,"00,00%")&amp;CHAR(10)&amp;"T2: "&amp;TEXT(FORMULACIÓN!M234,"00,00%")&amp;CHAR(10)&amp;"T3: "&amp;TEXT(FORMULACIÓN!N234,"00,00%")&amp;CHAR(10)&amp;"Tn: "&amp;TEXT(FORMULACIÓN!O234,"00,00%"),IF(FORMULACIÓN!Q234=0,0,"T1: "&amp;TEXT(FORMULACIÓN!L234,"##.###")&amp;CHAR(10)&amp;"T2: "&amp;TEXT(FORMULACIÓN!M234,"##.###")&amp;CHAR(10)&amp;"T3: "&amp;TEXT(FORMULACIÓN!N234,"##.###")&amp;CHAR(10)&amp;"Tn: "&amp;TEXT(FORMULACIÓN!O234,"##.###")))</f>
        <v xml:space="preserve">T1: 
T2: 
T3: 
Tn: </v>
      </c>
      <c r="AO234" s="117" t="str">
        <f>IFERROR(IF($H234=Lists!$S$6,IF(AND(FORMULACIÓN!L234&gt;K234,K234&gt;0),1,0),IF((K234/FORMULACIÓN!L234)&lt;&gt;0,K234/FORMULACIÓN!L234,0)),"")</f>
        <v/>
      </c>
      <c r="AP234" s="117" t="str">
        <f>IFERROR(IF($H234=Lists!$S$6,IF(AND(FORMULACIÓN!M234&gt;L234,L234&gt;0),1,0),IF((L234/FORMULACIÓN!M234)&lt;&gt;0,L234/FORMULACIÓN!M234,0)),"")</f>
        <v/>
      </c>
      <c r="AQ234" s="117" t="str">
        <f>IFERROR(IF($H234=Lists!$S$6,IF(AND(FORMULACIÓN!N234&gt;M234,M234&gt;0),1,0),IF((M234/FORMULACIÓN!N234)&lt;&gt;0,M234/FORMULACIÓN!N234,0)),"")</f>
        <v/>
      </c>
      <c r="AR234" s="117" t="str">
        <f>IFERROR(IF($H234=Lists!$S$6,IF(AND(FORMULACIÓN!O234&gt;N234,N234&gt;0),1,0),IF((N234/FORMULACIÓN!O234)&lt;&gt;0,N234/FORMULACIÓN!O234,0)),"")</f>
        <v/>
      </c>
      <c r="AS234" s="110"/>
      <c r="AT234" s="118" t="str">
        <f ca="1">IF($H234=Lists!$S$6,TEXT(COUNTIF('SEGUIMIENTO Y EVALUACIÓN'!K234:N234,"&lt;"&amp;FORMULACIÓN!Q234),"##.###")&amp;" / "&amp;TEXT(COUNTIF('SEGUIMIENTO Y EVALUACIÓN'!K234:N234,"&gt;"&amp;0),"##.###"),IF($G234=Lists!$R$3,TEXT('SEGUIMIENTO Y EVALUACIÓN'!O234,"00,00%")&amp;" / "&amp;TEXT(FORMULACIÓN!P234,"00,00%"),IF('SEGUIMIENTO Y EVALUACIÓN'!O234=0,0,TEXT('SEGUIMIENTO Y EVALUACIÓN'!O234,"##.###")&amp;" / "&amp;TEXT(FORMULACIÓN!P234,"##.###"))))</f>
        <v xml:space="preserve"> / </v>
      </c>
      <c r="AU234" s="57">
        <f ca="1">IFERROR(IF((P234/FORMULACIÓN!Q234)&lt;&gt;0,IF($H234=Lists!$S$6,COUNTIF('SEGUIMIENTO Y EVALUACIÓN'!K234:N234,"&lt;"&amp;FORMULACIÓN!Q234),'SEGUIMIENTO Y EVALUACIÓN'!P234)/IF($H234=Lists!$S$6,COUNTIF('SEGUIMIENTO Y EVALUACIÓN'!K234:N234,"&gt;"&amp;0),FORMULACIÓN!P234),0),0)</f>
        <v>0</v>
      </c>
      <c r="AV234" s="93" t="str">
        <f t="shared" ca="1" si="32"/>
        <v/>
      </c>
      <c r="AW234" s="93" cm="1">
        <f t="array" ref="AW234">IF(INDEX(AO234:AU234,1,$AV$3)&gt;1,1,INDEX(AO234:AU234,1,$AV$3))</f>
        <v>1</v>
      </c>
      <c r="AX234" s="3"/>
      <c r="AY234" s="119" t="str">
        <f>IFERROR(IF((W234/FORMULACIÓN!X234)&lt;&gt;0,W234/FORMULACIÓN!X234,0),"")</f>
        <v/>
      </c>
      <c r="AZ234" s="119" t="str">
        <f>IFERROR(IF((AA234/FORMULACIÓN!AB234)&lt;&gt;0,AA234/FORMULACIÓN!AB234,0),"")</f>
        <v/>
      </c>
      <c r="BA234" s="119" t="str">
        <f>IFERROR(IF((AE234/FORMULACIÓN!AF234)&lt;&gt;0,(AE234/FORMULACIÓN!AF234),0),"")</f>
        <v/>
      </c>
      <c r="BB234" s="119" t="str">
        <f>IFERROR(IF((AI234/FORMULACIÓN!AJ234)&lt;&gt;0,AI234/FORMULACIÓN!AJ234,0),"")</f>
        <v/>
      </c>
      <c r="BC234" s="120" t="str">
        <f>IF('SEGUIMIENTO Y EVALUACIÓN'!AI234=0,0,TEXT('SEGUIMIENTO Y EVALUACIÓN'!AI234,"$ ##.###")&amp;" / "&amp;TEXT(FORMULACIÓN!AK234,"$ ##.###"))</f>
        <v xml:space="preserve"> / </v>
      </c>
      <c r="BD234" s="57">
        <f>IFERROR(IF((AJ234/FORMULACIÓN!AK234)&lt;&gt;0,AJ234/FORMULACIÓN!AK234,0),0)</f>
        <v>0</v>
      </c>
      <c r="CL234" s="7"/>
    </row>
    <row r="235" spans="1:90" s="1" customFormat="1" ht="99.95" customHeight="1">
      <c r="A235" s="45" t="str">
        <f>IF(FORMULACIÓN!A235="","",FORMULACIÓN!A235)</f>
        <v/>
      </c>
      <c r="B235" s="45" t="str">
        <f>IF(FORMULACIÓN!B235="","",FORMULACIÓN!B235)</f>
        <v/>
      </c>
      <c r="C235" s="45" t="str">
        <f>IF(FORMULACIÓN!E235="","",FORMULACIÓN!E235)</f>
        <v/>
      </c>
      <c r="D235" s="45" t="str">
        <f>IF(FORMULACIÓN!F235="","",FORMULACIÓN!F235)</f>
        <v/>
      </c>
      <c r="E235" s="45" t="str">
        <f>IF(FORMULACIÓN!G235="","",FORMULACIÓN!G235)</f>
        <v/>
      </c>
      <c r="F235" s="45" t="str">
        <f>IF(FORMULACIÓN!H235="","",FORMULACIÓN!H235)</f>
        <v/>
      </c>
      <c r="G235" s="45" t="str">
        <f>IF(FORMULACIÓN!I235="","",FORMULACIÓN!I235)</f>
        <v/>
      </c>
      <c r="H235" s="45" t="str">
        <f>IF(FORMULACIÓN!J235="","",FORMULACIÓN!J235)</f>
        <v/>
      </c>
      <c r="I235" s="188" t="str">
        <f ca="1">IF($G235=Lists!$R$3,"PDI: "&amp;TEXT(FORMULACIÓN!Q235,"00,00%")&amp;CHAR(10)&amp;CHAR(10)&amp;"T1: "&amp;TEXT(FORMULACIÓN!L235,"00,00%")&amp;CHAR(10)&amp;"T2: "&amp;TEXT(FORMULACIÓN!M235,"00,00%")&amp;CHAR(10)&amp;"T3: "&amp;TEXT(FORMULACIÓN!N235,"00,00%")&amp;CHAR(10)&amp;"Tn: "&amp;TEXT(FORMULACIÓN!O235,"00,00%"),IF(FORMULACIÓN!Q235=0,0,"PDI: "&amp;TEXT(FORMULACIÓN!Q235,"##.###")&amp;CHAR(10)&amp;CHAR(10)&amp;"T1: "&amp;TEXT(FORMULACIÓN!L235,"##.###")&amp;CHAR(10)&amp;"T2: "&amp;TEXT(FORMULACIÓN!M235,"##.###")&amp;CHAR(10)&amp;"T3: "&amp;TEXT(FORMULACIÓN!N235,"##.###")&amp;CHAR(10)&amp;"Tn: "&amp;TEXT(FORMULACIÓN!O235,"##.###")))</f>
        <v xml:space="preserve">PDI: 
T1: 
T2: 
T3: 
Tn: </v>
      </c>
      <c r="J235" s="122" t="str">
        <f>IF(FORMULACIÓN!K235&lt;&gt;"",FORMULACIÓN!K235,"")</f>
        <v/>
      </c>
      <c r="K235" s="58"/>
      <c r="L235" s="58"/>
      <c r="M235" s="58"/>
      <c r="N235" s="58"/>
      <c r="O235" s="47" t="str">
        <f ca="1">IFERROR(IF($H235=Lists!$S$2,SUM('SEGUIMIENTO Y EVALUACIÓN'!J235:N235),IF('SEGUIMIENTO Y EVALUACIÓN'!$H235=Lists!$S$3,SUM('SEGUIMIENTO Y EVALUACIÓN'!K235:N235),IF('SEGUIMIENTO Y EVALUACIÓN'!$H235=Lists!$S$4,AVERAGE('SEGUIMIENTO Y EVALUACIÓN'!K235:N235),IF('SEGUIMIENTO Y EVALUACIÓN'!$H235=Lists!$S$5,OFFSET(J235,0,COUNTA(K235:N235)),IF($H235=Lists!$S$6,COUNTIF(K235:N235,"&lt;"&amp;FORMULACIÓN!Q235)/COUNT('SEGUIMIENTO Y EVALUACIÓN'!K235:N235),""))))),"")</f>
        <v/>
      </c>
      <c r="P235" s="51" t="str">
        <f ca="1">IF($G235=Lists!$R$3,TEXT('SEGUIMIENTO Y EVALUACIÓN'!O235,"00,00%"),IF('SEGUIMIENTO Y EVALUACIÓN'!O235=0,0,TEXT('SEGUIMIENTO Y EVALUACIÓN'!O235,"##.###")))</f>
        <v/>
      </c>
      <c r="Q235" s="209" t="str">
        <f>IF(FORMULACIÓN!R235&lt;&gt;"",FORMULACIÓN!R235,"")</f>
        <v/>
      </c>
      <c r="R235" s="209" t="str">
        <f>IF(FORMULACIÓN!S235&lt;&gt;"",FORMULACIÓN!S235,"")</f>
        <v/>
      </c>
      <c r="S235" s="209" t="str">
        <f>IF(FORMULACIÓN!T235&lt;&gt;"",FORMULACIÓN!T235,"")</f>
        <v/>
      </c>
      <c r="T235" s="42"/>
      <c r="U235" s="42"/>
      <c r="V235" s="42"/>
      <c r="W235" s="43" t="str">
        <f t="shared" si="27"/>
        <v/>
      </c>
      <c r="X235" s="42"/>
      <c r="Y235" s="42"/>
      <c r="Z235" s="42"/>
      <c r="AA235" s="43" t="str">
        <f t="shared" si="28"/>
        <v/>
      </c>
      <c r="AB235" s="42"/>
      <c r="AC235" s="42"/>
      <c r="AD235" s="42"/>
      <c r="AE235" s="43" t="str">
        <f t="shared" si="29"/>
        <v/>
      </c>
      <c r="AF235" s="42"/>
      <c r="AG235" s="42"/>
      <c r="AH235" s="42"/>
      <c r="AI235" s="46" t="str">
        <f t="shared" si="30"/>
        <v/>
      </c>
      <c r="AJ235" s="46" t="str">
        <f>IF(SUM(AA235,AE235,W235,AI235)=0,"",SUM((AA235,AE235,W235,AI235)))</f>
        <v/>
      </c>
      <c r="AK235" s="2"/>
      <c r="AL235" s="1" t="str">
        <f t="shared" si="31"/>
        <v/>
      </c>
      <c r="AM235" s="56" t="str">
        <f t="shared" si="33"/>
        <v/>
      </c>
      <c r="AN235" s="112" t="str">
        <f ca="1">IF($G235=Lists!$R$3,"T1: "&amp;TEXT(FORMULACIÓN!L235,"00,00%")&amp;CHAR(10)&amp;"T2: "&amp;TEXT(FORMULACIÓN!M235,"00,00%")&amp;CHAR(10)&amp;"T3: "&amp;TEXT(FORMULACIÓN!N235,"00,00%")&amp;CHAR(10)&amp;"Tn: "&amp;TEXT(FORMULACIÓN!O235,"00,00%"),IF(FORMULACIÓN!Q235=0,0,"T1: "&amp;TEXT(FORMULACIÓN!L235,"##.###")&amp;CHAR(10)&amp;"T2: "&amp;TEXT(FORMULACIÓN!M235,"##.###")&amp;CHAR(10)&amp;"T3: "&amp;TEXT(FORMULACIÓN!N235,"##.###")&amp;CHAR(10)&amp;"Tn: "&amp;TEXT(FORMULACIÓN!O235,"##.###")))</f>
        <v xml:space="preserve">T1: 
T2: 
T3: 
Tn: </v>
      </c>
      <c r="AO235" s="117" t="str">
        <f>IFERROR(IF($H235=Lists!$S$6,IF(AND(FORMULACIÓN!L235&gt;K235,K235&gt;0),1,0),IF((K235/FORMULACIÓN!L235)&lt;&gt;0,K235/FORMULACIÓN!L235,0)),"")</f>
        <v/>
      </c>
      <c r="AP235" s="117" t="str">
        <f>IFERROR(IF($H235=Lists!$S$6,IF(AND(FORMULACIÓN!M235&gt;L235,L235&gt;0),1,0),IF((L235/FORMULACIÓN!M235)&lt;&gt;0,L235/FORMULACIÓN!M235,0)),"")</f>
        <v/>
      </c>
      <c r="AQ235" s="117" t="str">
        <f>IFERROR(IF($H235=Lists!$S$6,IF(AND(FORMULACIÓN!N235&gt;M235,M235&gt;0),1,0),IF((M235/FORMULACIÓN!N235)&lt;&gt;0,M235/FORMULACIÓN!N235,0)),"")</f>
        <v/>
      </c>
      <c r="AR235" s="117" t="str">
        <f>IFERROR(IF($H235=Lists!$S$6,IF(AND(FORMULACIÓN!O235&gt;N235,N235&gt;0),1,0),IF((N235/FORMULACIÓN!O235)&lt;&gt;0,N235/FORMULACIÓN!O235,0)),"")</f>
        <v/>
      </c>
      <c r="AS235" s="110"/>
      <c r="AT235" s="118" t="str">
        <f ca="1">IF($H235=Lists!$S$6,TEXT(COUNTIF('SEGUIMIENTO Y EVALUACIÓN'!K235:N235,"&lt;"&amp;FORMULACIÓN!Q235),"##.###")&amp;" / "&amp;TEXT(COUNTIF('SEGUIMIENTO Y EVALUACIÓN'!K235:N235,"&gt;"&amp;0),"##.###"),IF($G235=Lists!$R$3,TEXT('SEGUIMIENTO Y EVALUACIÓN'!O235,"00,00%")&amp;" / "&amp;TEXT(FORMULACIÓN!P235,"00,00%"),IF('SEGUIMIENTO Y EVALUACIÓN'!O235=0,0,TEXT('SEGUIMIENTO Y EVALUACIÓN'!O235,"##.###")&amp;" / "&amp;TEXT(FORMULACIÓN!P235,"##.###"))))</f>
        <v xml:space="preserve"> / </v>
      </c>
      <c r="AU235" s="57">
        <f ca="1">IFERROR(IF((P235/FORMULACIÓN!Q235)&lt;&gt;0,IF($H235=Lists!$S$6,COUNTIF('SEGUIMIENTO Y EVALUACIÓN'!K235:N235,"&lt;"&amp;FORMULACIÓN!Q235),'SEGUIMIENTO Y EVALUACIÓN'!P235)/IF($H235=Lists!$S$6,COUNTIF('SEGUIMIENTO Y EVALUACIÓN'!K235:N235,"&gt;"&amp;0),FORMULACIÓN!P235),0),0)</f>
        <v>0</v>
      </c>
      <c r="AV235" s="93" t="str">
        <f t="shared" ca="1" si="32"/>
        <v/>
      </c>
      <c r="AW235" s="93" cm="1">
        <f t="array" ref="AW235">IF(INDEX(AO235:AU235,1,$AV$3)&gt;1,1,INDEX(AO235:AU235,1,$AV$3))</f>
        <v>1</v>
      </c>
      <c r="AX235" s="3"/>
      <c r="AY235" s="119" t="str">
        <f>IFERROR(IF((W235/FORMULACIÓN!X235)&lt;&gt;0,W235/FORMULACIÓN!X235,0),"")</f>
        <v/>
      </c>
      <c r="AZ235" s="119" t="str">
        <f>IFERROR(IF((AA235/FORMULACIÓN!AB235)&lt;&gt;0,AA235/FORMULACIÓN!AB235,0),"")</f>
        <v/>
      </c>
      <c r="BA235" s="119" t="str">
        <f>IFERROR(IF((AE235/FORMULACIÓN!AF235)&lt;&gt;0,(AE235/FORMULACIÓN!AF235),0),"")</f>
        <v/>
      </c>
      <c r="BB235" s="119" t="str">
        <f>IFERROR(IF((AI235/FORMULACIÓN!AJ235)&lt;&gt;0,AI235/FORMULACIÓN!AJ235,0),"")</f>
        <v/>
      </c>
      <c r="BC235" s="120" t="str">
        <f>IF('SEGUIMIENTO Y EVALUACIÓN'!AI235=0,0,TEXT('SEGUIMIENTO Y EVALUACIÓN'!AI235,"$ ##.###")&amp;" / "&amp;TEXT(FORMULACIÓN!AK235,"$ ##.###"))</f>
        <v xml:space="preserve"> / </v>
      </c>
      <c r="BD235" s="57">
        <f>IFERROR(IF((AJ235/FORMULACIÓN!AK235)&lt;&gt;0,AJ235/FORMULACIÓN!AK235,0),0)</f>
        <v>0</v>
      </c>
      <c r="CL235" s="7"/>
    </row>
    <row r="236" spans="1:90" s="1" customFormat="1" ht="99.95" customHeight="1">
      <c r="A236" s="45" t="str">
        <f>IF(FORMULACIÓN!A236="","",FORMULACIÓN!A236)</f>
        <v/>
      </c>
      <c r="B236" s="45" t="str">
        <f>IF(FORMULACIÓN!B236="","",FORMULACIÓN!B236)</f>
        <v/>
      </c>
      <c r="C236" s="45" t="str">
        <f>IF(FORMULACIÓN!E236="","",FORMULACIÓN!E236)</f>
        <v/>
      </c>
      <c r="D236" s="45" t="str">
        <f>IF(FORMULACIÓN!F236="","",FORMULACIÓN!F236)</f>
        <v/>
      </c>
      <c r="E236" s="45" t="str">
        <f>IF(FORMULACIÓN!G236="","",FORMULACIÓN!G236)</f>
        <v/>
      </c>
      <c r="F236" s="45" t="str">
        <f>IF(FORMULACIÓN!H236="","",FORMULACIÓN!H236)</f>
        <v/>
      </c>
      <c r="G236" s="45" t="str">
        <f>IF(FORMULACIÓN!I236="","",FORMULACIÓN!I236)</f>
        <v/>
      </c>
      <c r="H236" s="45" t="str">
        <f>IF(FORMULACIÓN!J236="","",FORMULACIÓN!J236)</f>
        <v/>
      </c>
      <c r="I236" s="188" t="str">
        <f ca="1">IF($G236=Lists!$R$3,"PDI: "&amp;TEXT(FORMULACIÓN!Q236,"00,00%")&amp;CHAR(10)&amp;CHAR(10)&amp;"T1: "&amp;TEXT(FORMULACIÓN!L236,"00,00%")&amp;CHAR(10)&amp;"T2: "&amp;TEXT(FORMULACIÓN!M236,"00,00%")&amp;CHAR(10)&amp;"T3: "&amp;TEXT(FORMULACIÓN!N236,"00,00%")&amp;CHAR(10)&amp;"Tn: "&amp;TEXT(FORMULACIÓN!O236,"00,00%"),IF(FORMULACIÓN!Q236=0,0,"PDI: "&amp;TEXT(FORMULACIÓN!Q236,"##.###")&amp;CHAR(10)&amp;CHAR(10)&amp;"T1: "&amp;TEXT(FORMULACIÓN!L236,"##.###")&amp;CHAR(10)&amp;"T2: "&amp;TEXT(FORMULACIÓN!M236,"##.###")&amp;CHAR(10)&amp;"T3: "&amp;TEXT(FORMULACIÓN!N236,"##.###")&amp;CHAR(10)&amp;"Tn: "&amp;TEXT(FORMULACIÓN!O236,"##.###")))</f>
        <v xml:space="preserve">PDI: 
T1: 
T2: 
T3: 
Tn: </v>
      </c>
      <c r="J236" s="122" t="str">
        <f>IF(FORMULACIÓN!K236&lt;&gt;"",FORMULACIÓN!K236,"")</f>
        <v/>
      </c>
      <c r="K236" s="58"/>
      <c r="L236" s="58"/>
      <c r="M236" s="58"/>
      <c r="N236" s="58"/>
      <c r="O236" s="47" t="str">
        <f ca="1">IFERROR(IF($H236=Lists!$S$2,SUM('SEGUIMIENTO Y EVALUACIÓN'!J236:N236),IF('SEGUIMIENTO Y EVALUACIÓN'!$H236=Lists!$S$3,SUM('SEGUIMIENTO Y EVALUACIÓN'!K236:N236),IF('SEGUIMIENTO Y EVALUACIÓN'!$H236=Lists!$S$4,AVERAGE('SEGUIMIENTO Y EVALUACIÓN'!K236:N236),IF('SEGUIMIENTO Y EVALUACIÓN'!$H236=Lists!$S$5,OFFSET(J236,0,COUNTA(K236:N236)),IF($H236=Lists!$S$6,COUNTIF(K236:N236,"&lt;"&amp;FORMULACIÓN!Q236)/COUNT('SEGUIMIENTO Y EVALUACIÓN'!K236:N236),""))))),"")</f>
        <v/>
      </c>
      <c r="P236" s="51" t="str">
        <f ca="1">IF($G236=Lists!$R$3,TEXT('SEGUIMIENTO Y EVALUACIÓN'!O236,"00,00%"),IF('SEGUIMIENTO Y EVALUACIÓN'!O236=0,0,TEXT('SEGUIMIENTO Y EVALUACIÓN'!O236,"##.###")))</f>
        <v/>
      </c>
      <c r="Q236" s="209" t="str">
        <f>IF(FORMULACIÓN!R236&lt;&gt;"",FORMULACIÓN!R236,"")</f>
        <v/>
      </c>
      <c r="R236" s="209" t="str">
        <f>IF(FORMULACIÓN!S236&lt;&gt;"",FORMULACIÓN!S236,"")</f>
        <v/>
      </c>
      <c r="S236" s="209" t="str">
        <f>IF(FORMULACIÓN!T236&lt;&gt;"",FORMULACIÓN!T236,"")</f>
        <v/>
      </c>
      <c r="T236" s="42"/>
      <c r="U236" s="42"/>
      <c r="V236" s="42"/>
      <c r="W236" s="43" t="str">
        <f t="shared" si="27"/>
        <v/>
      </c>
      <c r="X236" s="42"/>
      <c r="Y236" s="42"/>
      <c r="Z236" s="42"/>
      <c r="AA236" s="43" t="str">
        <f t="shared" si="28"/>
        <v/>
      </c>
      <c r="AB236" s="42"/>
      <c r="AC236" s="42"/>
      <c r="AD236" s="42"/>
      <c r="AE236" s="43" t="str">
        <f t="shared" si="29"/>
        <v/>
      </c>
      <c r="AF236" s="42"/>
      <c r="AG236" s="42"/>
      <c r="AH236" s="42"/>
      <c r="AI236" s="46" t="str">
        <f t="shared" si="30"/>
        <v/>
      </c>
      <c r="AJ236" s="46" t="str">
        <f>IF(SUM(AA236,AE236,W236,AI236)=0,"",SUM((AA236,AE236,W236,AI236)))</f>
        <v/>
      </c>
      <c r="AK236" s="2"/>
      <c r="AL236" s="1" t="str">
        <f t="shared" si="31"/>
        <v/>
      </c>
      <c r="AM236" s="56" t="str">
        <f t="shared" si="33"/>
        <v/>
      </c>
      <c r="AN236" s="112" t="str">
        <f ca="1">IF($G236=Lists!$R$3,"T1: "&amp;TEXT(FORMULACIÓN!L236,"00,00%")&amp;CHAR(10)&amp;"T2: "&amp;TEXT(FORMULACIÓN!M236,"00,00%")&amp;CHAR(10)&amp;"T3: "&amp;TEXT(FORMULACIÓN!N236,"00,00%")&amp;CHAR(10)&amp;"Tn: "&amp;TEXT(FORMULACIÓN!O236,"00,00%"),IF(FORMULACIÓN!Q236=0,0,"T1: "&amp;TEXT(FORMULACIÓN!L236,"##.###")&amp;CHAR(10)&amp;"T2: "&amp;TEXT(FORMULACIÓN!M236,"##.###")&amp;CHAR(10)&amp;"T3: "&amp;TEXT(FORMULACIÓN!N236,"##.###")&amp;CHAR(10)&amp;"Tn: "&amp;TEXT(FORMULACIÓN!O236,"##.###")))</f>
        <v xml:space="preserve">T1: 
T2: 
T3: 
Tn: </v>
      </c>
      <c r="AO236" s="117" t="str">
        <f>IFERROR(IF($H236=Lists!$S$6,IF(AND(FORMULACIÓN!L236&gt;K236,K236&gt;0),1,0),IF((K236/FORMULACIÓN!L236)&lt;&gt;0,K236/FORMULACIÓN!L236,0)),"")</f>
        <v/>
      </c>
      <c r="AP236" s="117" t="str">
        <f>IFERROR(IF($H236=Lists!$S$6,IF(AND(FORMULACIÓN!M236&gt;L236,L236&gt;0),1,0),IF((L236/FORMULACIÓN!M236)&lt;&gt;0,L236/FORMULACIÓN!M236,0)),"")</f>
        <v/>
      </c>
      <c r="AQ236" s="117" t="str">
        <f>IFERROR(IF($H236=Lists!$S$6,IF(AND(FORMULACIÓN!N236&gt;M236,M236&gt;0),1,0),IF((M236/FORMULACIÓN!N236)&lt;&gt;0,M236/FORMULACIÓN!N236,0)),"")</f>
        <v/>
      </c>
      <c r="AR236" s="117" t="str">
        <f>IFERROR(IF($H236=Lists!$S$6,IF(AND(FORMULACIÓN!O236&gt;N236,N236&gt;0),1,0),IF((N236/FORMULACIÓN!O236)&lt;&gt;0,N236/FORMULACIÓN!O236,0)),"")</f>
        <v/>
      </c>
      <c r="AS236" s="110"/>
      <c r="AT236" s="118" t="str">
        <f ca="1">IF($H236=Lists!$S$6,TEXT(COUNTIF('SEGUIMIENTO Y EVALUACIÓN'!K236:N236,"&lt;"&amp;FORMULACIÓN!Q236),"##.###")&amp;" / "&amp;TEXT(COUNTIF('SEGUIMIENTO Y EVALUACIÓN'!K236:N236,"&gt;"&amp;0),"##.###"),IF($G236=Lists!$R$3,TEXT('SEGUIMIENTO Y EVALUACIÓN'!O236,"00,00%")&amp;" / "&amp;TEXT(FORMULACIÓN!P236,"00,00%"),IF('SEGUIMIENTO Y EVALUACIÓN'!O236=0,0,TEXT('SEGUIMIENTO Y EVALUACIÓN'!O236,"##.###")&amp;" / "&amp;TEXT(FORMULACIÓN!P236,"##.###"))))</f>
        <v xml:space="preserve"> / </v>
      </c>
      <c r="AU236" s="57">
        <f ca="1">IFERROR(IF((P236/FORMULACIÓN!Q236)&lt;&gt;0,IF($H236=Lists!$S$6,COUNTIF('SEGUIMIENTO Y EVALUACIÓN'!K236:N236,"&lt;"&amp;FORMULACIÓN!Q236),'SEGUIMIENTO Y EVALUACIÓN'!P236)/IF($H236=Lists!$S$6,COUNTIF('SEGUIMIENTO Y EVALUACIÓN'!K236:N236,"&gt;"&amp;0),FORMULACIÓN!P236),0),0)</f>
        <v>0</v>
      </c>
      <c r="AV236" s="93" t="str">
        <f t="shared" ca="1" si="32"/>
        <v/>
      </c>
      <c r="AW236" s="93" cm="1">
        <f t="array" ref="AW236">IF(INDEX(AO236:AU236,1,$AV$3)&gt;1,1,INDEX(AO236:AU236,1,$AV$3))</f>
        <v>1</v>
      </c>
      <c r="AX236" s="3"/>
      <c r="AY236" s="119" t="str">
        <f>IFERROR(IF((W236/FORMULACIÓN!X236)&lt;&gt;0,W236/FORMULACIÓN!X236,0),"")</f>
        <v/>
      </c>
      <c r="AZ236" s="119" t="str">
        <f>IFERROR(IF((AA236/FORMULACIÓN!AB236)&lt;&gt;0,AA236/FORMULACIÓN!AB236,0),"")</f>
        <v/>
      </c>
      <c r="BA236" s="119" t="str">
        <f>IFERROR(IF((AE236/FORMULACIÓN!AF236)&lt;&gt;0,(AE236/FORMULACIÓN!AF236),0),"")</f>
        <v/>
      </c>
      <c r="BB236" s="119" t="str">
        <f>IFERROR(IF((AI236/FORMULACIÓN!AJ236)&lt;&gt;0,AI236/FORMULACIÓN!AJ236,0),"")</f>
        <v/>
      </c>
      <c r="BC236" s="120" t="str">
        <f>IF('SEGUIMIENTO Y EVALUACIÓN'!AI236=0,0,TEXT('SEGUIMIENTO Y EVALUACIÓN'!AI236,"$ ##.###")&amp;" / "&amp;TEXT(FORMULACIÓN!AK236,"$ ##.###"))</f>
        <v xml:space="preserve"> / </v>
      </c>
      <c r="BD236" s="57">
        <f>IFERROR(IF((AJ236/FORMULACIÓN!AK236)&lt;&gt;0,AJ236/FORMULACIÓN!AK236,0),0)</f>
        <v>0</v>
      </c>
      <c r="CL236" s="7"/>
    </row>
    <row r="237" spans="1:90" s="1" customFormat="1" ht="99.95" customHeight="1">
      <c r="A237" s="45" t="str">
        <f>IF(FORMULACIÓN!A237="","",FORMULACIÓN!A237)</f>
        <v/>
      </c>
      <c r="B237" s="45" t="str">
        <f>IF(FORMULACIÓN!B237="","",FORMULACIÓN!B237)</f>
        <v/>
      </c>
      <c r="C237" s="45" t="str">
        <f>IF(FORMULACIÓN!E237="","",FORMULACIÓN!E237)</f>
        <v/>
      </c>
      <c r="D237" s="45" t="str">
        <f>IF(FORMULACIÓN!F237="","",FORMULACIÓN!F237)</f>
        <v/>
      </c>
      <c r="E237" s="45" t="str">
        <f>IF(FORMULACIÓN!G237="","",FORMULACIÓN!G237)</f>
        <v/>
      </c>
      <c r="F237" s="45" t="str">
        <f>IF(FORMULACIÓN!H237="","",FORMULACIÓN!H237)</f>
        <v/>
      </c>
      <c r="G237" s="45" t="str">
        <f>IF(FORMULACIÓN!I237="","",FORMULACIÓN!I237)</f>
        <v/>
      </c>
      <c r="H237" s="45" t="str">
        <f>IF(FORMULACIÓN!J237="","",FORMULACIÓN!J237)</f>
        <v/>
      </c>
      <c r="I237" s="188" t="str">
        <f ca="1">IF($G237=Lists!$R$3,"PDI: "&amp;TEXT(FORMULACIÓN!Q237,"00,00%")&amp;CHAR(10)&amp;CHAR(10)&amp;"T1: "&amp;TEXT(FORMULACIÓN!L237,"00,00%")&amp;CHAR(10)&amp;"T2: "&amp;TEXT(FORMULACIÓN!M237,"00,00%")&amp;CHAR(10)&amp;"T3: "&amp;TEXT(FORMULACIÓN!N237,"00,00%")&amp;CHAR(10)&amp;"Tn: "&amp;TEXT(FORMULACIÓN!O237,"00,00%"),IF(FORMULACIÓN!Q237=0,0,"PDI: "&amp;TEXT(FORMULACIÓN!Q237,"##.###")&amp;CHAR(10)&amp;CHAR(10)&amp;"T1: "&amp;TEXT(FORMULACIÓN!L237,"##.###")&amp;CHAR(10)&amp;"T2: "&amp;TEXT(FORMULACIÓN!M237,"##.###")&amp;CHAR(10)&amp;"T3: "&amp;TEXT(FORMULACIÓN!N237,"##.###")&amp;CHAR(10)&amp;"Tn: "&amp;TEXT(FORMULACIÓN!O237,"##.###")))</f>
        <v xml:space="preserve">PDI: 
T1: 
T2: 
T3: 
Tn: </v>
      </c>
      <c r="J237" s="122" t="str">
        <f>IF(FORMULACIÓN!K237&lt;&gt;"",FORMULACIÓN!K237,"")</f>
        <v/>
      </c>
      <c r="K237" s="58"/>
      <c r="L237" s="58"/>
      <c r="M237" s="58"/>
      <c r="N237" s="58"/>
      <c r="O237" s="47" t="str">
        <f ca="1">IFERROR(IF($H237=Lists!$S$2,SUM('SEGUIMIENTO Y EVALUACIÓN'!J237:N237),IF('SEGUIMIENTO Y EVALUACIÓN'!$H237=Lists!$S$3,SUM('SEGUIMIENTO Y EVALUACIÓN'!K237:N237),IF('SEGUIMIENTO Y EVALUACIÓN'!$H237=Lists!$S$4,AVERAGE('SEGUIMIENTO Y EVALUACIÓN'!K237:N237),IF('SEGUIMIENTO Y EVALUACIÓN'!$H237=Lists!$S$5,OFFSET(J237,0,COUNTA(K237:N237)),IF($H237=Lists!$S$6,COUNTIF(K237:N237,"&lt;"&amp;FORMULACIÓN!Q237)/COUNT('SEGUIMIENTO Y EVALUACIÓN'!K237:N237),""))))),"")</f>
        <v/>
      </c>
      <c r="P237" s="51" t="str">
        <f ca="1">IF($G237=Lists!$R$3,TEXT('SEGUIMIENTO Y EVALUACIÓN'!O237,"00,00%"),IF('SEGUIMIENTO Y EVALUACIÓN'!O237=0,0,TEXT('SEGUIMIENTO Y EVALUACIÓN'!O237,"##.###")))</f>
        <v/>
      </c>
      <c r="Q237" s="209" t="str">
        <f>IF(FORMULACIÓN!R237&lt;&gt;"",FORMULACIÓN!R237,"")</f>
        <v/>
      </c>
      <c r="R237" s="209" t="str">
        <f>IF(FORMULACIÓN!S237&lt;&gt;"",FORMULACIÓN!S237,"")</f>
        <v/>
      </c>
      <c r="S237" s="209" t="str">
        <f>IF(FORMULACIÓN!T237&lt;&gt;"",FORMULACIÓN!T237,"")</f>
        <v/>
      </c>
      <c r="T237" s="42"/>
      <c r="U237" s="42"/>
      <c r="V237" s="42"/>
      <c r="W237" s="43" t="str">
        <f t="shared" si="27"/>
        <v/>
      </c>
      <c r="X237" s="42"/>
      <c r="Y237" s="42"/>
      <c r="Z237" s="42"/>
      <c r="AA237" s="43" t="str">
        <f t="shared" si="28"/>
        <v/>
      </c>
      <c r="AB237" s="42"/>
      <c r="AC237" s="42"/>
      <c r="AD237" s="42"/>
      <c r="AE237" s="43" t="str">
        <f t="shared" si="29"/>
        <v/>
      </c>
      <c r="AF237" s="42"/>
      <c r="AG237" s="42"/>
      <c r="AH237" s="42"/>
      <c r="AI237" s="46" t="str">
        <f t="shared" si="30"/>
        <v/>
      </c>
      <c r="AJ237" s="46" t="str">
        <f>IF(SUM(AA237,AE237,W237,AI237)=0,"",SUM((AA237,AE237,W237,AI237)))</f>
        <v/>
      </c>
      <c r="AK237" s="2"/>
      <c r="AL237" s="1" t="str">
        <f t="shared" si="31"/>
        <v/>
      </c>
      <c r="AM237" s="56" t="str">
        <f t="shared" si="33"/>
        <v/>
      </c>
      <c r="AN237" s="112" t="str">
        <f ca="1">IF($G237=Lists!$R$3,"T1: "&amp;TEXT(FORMULACIÓN!L237,"00,00%")&amp;CHAR(10)&amp;"T2: "&amp;TEXT(FORMULACIÓN!M237,"00,00%")&amp;CHAR(10)&amp;"T3: "&amp;TEXT(FORMULACIÓN!N237,"00,00%")&amp;CHAR(10)&amp;"Tn: "&amp;TEXT(FORMULACIÓN!O237,"00,00%"),IF(FORMULACIÓN!Q237=0,0,"T1: "&amp;TEXT(FORMULACIÓN!L237,"##.###")&amp;CHAR(10)&amp;"T2: "&amp;TEXT(FORMULACIÓN!M237,"##.###")&amp;CHAR(10)&amp;"T3: "&amp;TEXT(FORMULACIÓN!N237,"##.###")&amp;CHAR(10)&amp;"Tn: "&amp;TEXT(FORMULACIÓN!O237,"##.###")))</f>
        <v xml:space="preserve">T1: 
T2: 
T3: 
Tn: </v>
      </c>
      <c r="AO237" s="117" t="str">
        <f>IFERROR(IF($H237=Lists!$S$6,IF(AND(FORMULACIÓN!L237&gt;K237,K237&gt;0),1,0),IF((K237/FORMULACIÓN!L237)&lt;&gt;0,K237/FORMULACIÓN!L237,0)),"")</f>
        <v/>
      </c>
      <c r="AP237" s="117" t="str">
        <f>IFERROR(IF($H237=Lists!$S$6,IF(AND(FORMULACIÓN!M237&gt;L237,L237&gt;0),1,0),IF((L237/FORMULACIÓN!M237)&lt;&gt;0,L237/FORMULACIÓN!M237,0)),"")</f>
        <v/>
      </c>
      <c r="AQ237" s="117" t="str">
        <f>IFERROR(IF($H237=Lists!$S$6,IF(AND(FORMULACIÓN!N237&gt;M237,M237&gt;0),1,0),IF((M237/FORMULACIÓN!N237)&lt;&gt;0,M237/FORMULACIÓN!N237,0)),"")</f>
        <v/>
      </c>
      <c r="AR237" s="117" t="str">
        <f>IFERROR(IF($H237=Lists!$S$6,IF(AND(FORMULACIÓN!O237&gt;N237,N237&gt;0),1,0),IF((N237/FORMULACIÓN!O237)&lt;&gt;0,N237/FORMULACIÓN!O237,0)),"")</f>
        <v/>
      </c>
      <c r="AS237" s="110"/>
      <c r="AT237" s="118" t="str">
        <f ca="1">IF($H237=Lists!$S$6,TEXT(COUNTIF('SEGUIMIENTO Y EVALUACIÓN'!K237:N237,"&lt;"&amp;FORMULACIÓN!Q237),"##.###")&amp;" / "&amp;TEXT(COUNTIF('SEGUIMIENTO Y EVALUACIÓN'!K237:N237,"&gt;"&amp;0),"##.###"),IF($G237=Lists!$R$3,TEXT('SEGUIMIENTO Y EVALUACIÓN'!O237,"00,00%")&amp;" / "&amp;TEXT(FORMULACIÓN!P237,"00,00%"),IF('SEGUIMIENTO Y EVALUACIÓN'!O237=0,0,TEXT('SEGUIMIENTO Y EVALUACIÓN'!O237,"##.###")&amp;" / "&amp;TEXT(FORMULACIÓN!P237,"##.###"))))</f>
        <v xml:space="preserve"> / </v>
      </c>
      <c r="AU237" s="57">
        <f ca="1">IFERROR(IF((P237/FORMULACIÓN!Q237)&lt;&gt;0,IF($H237=Lists!$S$6,COUNTIF('SEGUIMIENTO Y EVALUACIÓN'!K237:N237,"&lt;"&amp;FORMULACIÓN!Q237),'SEGUIMIENTO Y EVALUACIÓN'!P237)/IF($H237=Lists!$S$6,COUNTIF('SEGUIMIENTO Y EVALUACIÓN'!K237:N237,"&gt;"&amp;0),FORMULACIÓN!P237),0),0)</f>
        <v>0</v>
      </c>
      <c r="AV237" s="93" t="str">
        <f t="shared" ca="1" si="32"/>
        <v/>
      </c>
      <c r="AW237" s="93" cm="1">
        <f t="array" ref="AW237">IF(INDEX(AO237:AU237,1,$AV$3)&gt;1,1,INDEX(AO237:AU237,1,$AV$3))</f>
        <v>1</v>
      </c>
      <c r="AX237" s="3"/>
      <c r="AY237" s="119" t="str">
        <f>IFERROR(IF((W237/FORMULACIÓN!X237)&lt;&gt;0,W237/FORMULACIÓN!X237,0),"")</f>
        <v/>
      </c>
      <c r="AZ237" s="119" t="str">
        <f>IFERROR(IF((AA237/FORMULACIÓN!AB237)&lt;&gt;0,AA237/FORMULACIÓN!AB237,0),"")</f>
        <v/>
      </c>
      <c r="BA237" s="119" t="str">
        <f>IFERROR(IF((AE237/FORMULACIÓN!AF237)&lt;&gt;0,(AE237/FORMULACIÓN!AF237),0),"")</f>
        <v/>
      </c>
      <c r="BB237" s="119" t="str">
        <f>IFERROR(IF((AI237/FORMULACIÓN!AJ237)&lt;&gt;0,AI237/FORMULACIÓN!AJ237,0),"")</f>
        <v/>
      </c>
      <c r="BC237" s="120" t="str">
        <f>IF('SEGUIMIENTO Y EVALUACIÓN'!AI237=0,0,TEXT('SEGUIMIENTO Y EVALUACIÓN'!AI237,"$ ##.###")&amp;" / "&amp;TEXT(FORMULACIÓN!AK237,"$ ##.###"))</f>
        <v xml:space="preserve"> / </v>
      </c>
      <c r="BD237" s="57">
        <f>IFERROR(IF((AJ237/FORMULACIÓN!AK237)&lt;&gt;0,AJ237/FORMULACIÓN!AK237,0),0)</f>
        <v>0</v>
      </c>
      <c r="CL237" s="7"/>
    </row>
    <row r="238" spans="1:90" s="1" customFormat="1" ht="99.95" customHeight="1">
      <c r="A238" s="45" t="str">
        <f>IF(FORMULACIÓN!A238="","",FORMULACIÓN!A238)</f>
        <v/>
      </c>
      <c r="B238" s="45" t="str">
        <f>IF(FORMULACIÓN!B238="","",FORMULACIÓN!B238)</f>
        <v/>
      </c>
      <c r="C238" s="45" t="str">
        <f>IF(FORMULACIÓN!E238="","",FORMULACIÓN!E238)</f>
        <v/>
      </c>
      <c r="D238" s="45" t="str">
        <f>IF(FORMULACIÓN!F238="","",FORMULACIÓN!F238)</f>
        <v/>
      </c>
      <c r="E238" s="45" t="str">
        <f>IF(FORMULACIÓN!G238="","",FORMULACIÓN!G238)</f>
        <v/>
      </c>
      <c r="F238" s="45" t="str">
        <f>IF(FORMULACIÓN!H238="","",FORMULACIÓN!H238)</f>
        <v/>
      </c>
      <c r="G238" s="45" t="str">
        <f>IF(FORMULACIÓN!I238="","",FORMULACIÓN!I238)</f>
        <v/>
      </c>
      <c r="H238" s="45" t="str">
        <f>IF(FORMULACIÓN!J238="","",FORMULACIÓN!J238)</f>
        <v/>
      </c>
      <c r="I238" s="188" t="str">
        <f ca="1">IF($G238=Lists!$R$3,"PDI: "&amp;TEXT(FORMULACIÓN!Q238,"00,00%")&amp;CHAR(10)&amp;CHAR(10)&amp;"T1: "&amp;TEXT(FORMULACIÓN!L238,"00,00%")&amp;CHAR(10)&amp;"T2: "&amp;TEXT(FORMULACIÓN!M238,"00,00%")&amp;CHAR(10)&amp;"T3: "&amp;TEXT(FORMULACIÓN!N238,"00,00%")&amp;CHAR(10)&amp;"Tn: "&amp;TEXT(FORMULACIÓN!O238,"00,00%"),IF(FORMULACIÓN!Q238=0,0,"PDI: "&amp;TEXT(FORMULACIÓN!Q238,"##.###")&amp;CHAR(10)&amp;CHAR(10)&amp;"T1: "&amp;TEXT(FORMULACIÓN!L238,"##.###")&amp;CHAR(10)&amp;"T2: "&amp;TEXT(FORMULACIÓN!M238,"##.###")&amp;CHAR(10)&amp;"T3: "&amp;TEXT(FORMULACIÓN!N238,"##.###")&amp;CHAR(10)&amp;"Tn: "&amp;TEXT(FORMULACIÓN!O238,"##.###")))</f>
        <v xml:space="preserve">PDI: 
T1: 
T2: 
T3: 
Tn: </v>
      </c>
      <c r="J238" s="122" t="str">
        <f>IF(FORMULACIÓN!K238&lt;&gt;"",FORMULACIÓN!K238,"")</f>
        <v/>
      </c>
      <c r="K238" s="58"/>
      <c r="L238" s="58"/>
      <c r="M238" s="58"/>
      <c r="N238" s="58"/>
      <c r="O238" s="47" t="str">
        <f ca="1">IFERROR(IF($H238=Lists!$S$2,SUM('SEGUIMIENTO Y EVALUACIÓN'!J238:N238),IF('SEGUIMIENTO Y EVALUACIÓN'!$H238=Lists!$S$3,SUM('SEGUIMIENTO Y EVALUACIÓN'!K238:N238),IF('SEGUIMIENTO Y EVALUACIÓN'!$H238=Lists!$S$4,AVERAGE('SEGUIMIENTO Y EVALUACIÓN'!K238:N238),IF('SEGUIMIENTO Y EVALUACIÓN'!$H238=Lists!$S$5,OFFSET(J238,0,COUNTA(K238:N238)),IF($H238=Lists!$S$6,COUNTIF(K238:N238,"&lt;"&amp;FORMULACIÓN!Q238)/COUNT('SEGUIMIENTO Y EVALUACIÓN'!K238:N238),""))))),"")</f>
        <v/>
      </c>
      <c r="P238" s="51" t="str">
        <f ca="1">IF($G238=Lists!$R$3,TEXT('SEGUIMIENTO Y EVALUACIÓN'!O238,"00,00%"),IF('SEGUIMIENTO Y EVALUACIÓN'!O238=0,0,TEXT('SEGUIMIENTO Y EVALUACIÓN'!O238,"##.###")))</f>
        <v/>
      </c>
      <c r="Q238" s="209" t="str">
        <f>IF(FORMULACIÓN!R238&lt;&gt;"",FORMULACIÓN!R238,"")</f>
        <v/>
      </c>
      <c r="R238" s="209" t="str">
        <f>IF(FORMULACIÓN!S238&lt;&gt;"",FORMULACIÓN!S238,"")</f>
        <v/>
      </c>
      <c r="S238" s="209" t="str">
        <f>IF(FORMULACIÓN!T238&lt;&gt;"",FORMULACIÓN!T238,"")</f>
        <v/>
      </c>
      <c r="T238" s="42"/>
      <c r="U238" s="42"/>
      <c r="V238" s="42"/>
      <c r="W238" s="43" t="str">
        <f t="shared" si="27"/>
        <v/>
      </c>
      <c r="X238" s="42"/>
      <c r="Y238" s="42"/>
      <c r="Z238" s="42"/>
      <c r="AA238" s="43" t="str">
        <f t="shared" si="28"/>
        <v/>
      </c>
      <c r="AB238" s="42"/>
      <c r="AC238" s="42"/>
      <c r="AD238" s="42"/>
      <c r="AE238" s="43" t="str">
        <f t="shared" si="29"/>
        <v/>
      </c>
      <c r="AF238" s="42"/>
      <c r="AG238" s="42"/>
      <c r="AH238" s="42"/>
      <c r="AI238" s="46" t="str">
        <f t="shared" si="30"/>
        <v/>
      </c>
      <c r="AJ238" s="46" t="str">
        <f>IF(SUM(AA238,AE238,W238,AI238)=0,"",SUM((AA238,AE238,W238,AI238)))</f>
        <v/>
      </c>
      <c r="AK238" s="2"/>
      <c r="AL238" s="1" t="str">
        <f t="shared" si="31"/>
        <v/>
      </c>
      <c r="AM238" s="56" t="str">
        <f t="shared" si="33"/>
        <v/>
      </c>
      <c r="AN238" s="112" t="str">
        <f ca="1">IF($G238=Lists!$R$3,"T1: "&amp;TEXT(FORMULACIÓN!L238,"00,00%")&amp;CHAR(10)&amp;"T2: "&amp;TEXT(FORMULACIÓN!M238,"00,00%")&amp;CHAR(10)&amp;"T3: "&amp;TEXT(FORMULACIÓN!N238,"00,00%")&amp;CHAR(10)&amp;"Tn: "&amp;TEXT(FORMULACIÓN!O238,"00,00%"),IF(FORMULACIÓN!Q238=0,0,"T1: "&amp;TEXT(FORMULACIÓN!L238,"##.###")&amp;CHAR(10)&amp;"T2: "&amp;TEXT(FORMULACIÓN!M238,"##.###")&amp;CHAR(10)&amp;"T3: "&amp;TEXT(FORMULACIÓN!N238,"##.###")&amp;CHAR(10)&amp;"Tn: "&amp;TEXT(FORMULACIÓN!O238,"##.###")))</f>
        <v xml:space="preserve">T1: 
T2: 
T3: 
Tn: </v>
      </c>
      <c r="AO238" s="117" t="str">
        <f>IFERROR(IF($H238=Lists!$S$6,IF(AND(FORMULACIÓN!L238&gt;K238,K238&gt;0),1,0),IF((K238/FORMULACIÓN!L238)&lt;&gt;0,K238/FORMULACIÓN!L238,0)),"")</f>
        <v/>
      </c>
      <c r="AP238" s="117" t="str">
        <f>IFERROR(IF($H238=Lists!$S$6,IF(AND(FORMULACIÓN!M238&gt;L238,L238&gt;0),1,0),IF((L238/FORMULACIÓN!M238)&lt;&gt;0,L238/FORMULACIÓN!M238,0)),"")</f>
        <v/>
      </c>
      <c r="AQ238" s="117" t="str">
        <f>IFERROR(IF($H238=Lists!$S$6,IF(AND(FORMULACIÓN!N238&gt;M238,M238&gt;0),1,0),IF((M238/FORMULACIÓN!N238)&lt;&gt;0,M238/FORMULACIÓN!N238,0)),"")</f>
        <v/>
      </c>
      <c r="AR238" s="117" t="str">
        <f>IFERROR(IF($H238=Lists!$S$6,IF(AND(FORMULACIÓN!O238&gt;N238,N238&gt;0),1,0),IF((N238/FORMULACIÓN!O238)&lt;&gt;0,N238/FORMULACIÓN!O238,0)),"")</f>
        <v/>
      </c>
      <c r="AS238" s="110"/>
      <c r="AT238" s="118" t="str">
        <f ca="1">IF($H238=Lists!$S$6,TEXT(COUNTIF('SEGUIMIENTO Y EVALUACIÓN'!K238:N238,"&lt;"&amp;FORMULACIÓN!Q238),"##.###")&amp;" / "&amp;TEXT(COUNTIF('SEGUIMIENTO Y EVALUACIÓN'!K238:N238,"&gt;"&amp;0),"##.###"),IF($G238=Lists!$R$3,TEXT('SEGUIMIENTO Y EVALUACIÓN'!O238,"00,00%")&amp;" / "&amp;TEXT(FORMULACIÓN!P238,"00,00%"),IF('SEGUIMIENTO Y EVALUACIÓN'!O238=0,0,TEXT('SEGUIMIENTO Y EVALUACIÓN'!O238,"##.###")&amp;" / "&amp;TEXT(FORMULACIÓN!P238,"##.###"))))</f>
        <v xml:space="preserve"> / </v>
      </c>
      <c r="AU238" s="57">
        <f ca="1">IFERROR(IF((P238/FORMULACIÓN!Q238)&lt;&gt;0,IF($H238=Lists!$S$6,COUNTIF('SEGUIMIENTO Y EVALUACIÓN'!K238:N238,"&lt;"&amp;FORMULACIÓN!Q238),'SEGUIMIENTO Y EVALUACIÓN'!P238)/IF($H238=Lists!$S$6,COUNTIF('SEGUIMIENTO Y EVALUACIÓN'!K238:N238,"&gt;"&amp;0),FORMULACIÓN!P238),0),0)</f>
        <v>0</v>
      </c>
      <c r="AV238" s="93" t="str">
        <f t="shared" ca="1" si="32"/>
        <v/>
      </c>
      <c r="AW238" s="93" cm="1">
        <f t="array" ref="AW238">IF(INDEX(AO238:AU238,1,$AV$3)&gt;1,1,INDEX(AO238:AU238,1,$AV$3))</f>
        <v>1</v>
      </c>
      <c r="AX238" s="3"/>
      <c r="AY238" s="119" t="str">
        <f>IFERROR(IF((W238/FORMULACIÓN!X238)&lt;&gt;0,W238/FORMULACIÓN!X238,0),"")</f>
        <v/>
      </c>
      <c r="AZ238" s="119" t="str">
        <f>IFERROR(IF((AA238/FORMULACIÓN!AB238)&lt;&gt;0,AA238/FORMULACIÓN!AB238,0),"")</f>
        <v/>
      </c>
      <c r="BA238" s="119" t="str">
        <f>IFERROR(IF((AE238/FORMULACIÓN!AF238)&lt;&gt;0,(AE238/FORMULACIÓN!AF238),0),"")</f>
        <v/>
      </c>
      <c r="BB238" s="119" t="str">
        <f>IFERROR(IF((AI238/FORMULACIÓN!AJ238)&lt;&gt;0,AI238/FORMULACIÓN!AJ238,0),"")</f>
        <v/>
      </c>
      <c r="BC238" s="120" t="str">
        <f>IF('SEGUIMIENTO Y EVALUACIÓN'!AI238=0,0,TEXT('SEGUIMIENTO Y EVALUACIÓN'!AI238,"$ ##.###")&amp;" / "&amp;TEXT(FORMULACIÓN!AK238,"$ ##.###"))</f>
        <v xml:space="preserve"> / </v>
      </c>
      <c r="BD238" s="57">
        <f>IFERROR(IF((AJ238/FORMULACIÓN!AK238)&lt;&gt;0,AJ238/FORMULACIÓN!AK238,0),0)</f>
        <v>0</v>
      </c>
      <c r="CL238" s="7"/>
    </row>
    <row r="239" spans="1:90" s="1" customFormat="1" ht="99.95" customHeight="1">
      <c r="A239" s="45" t="str">
        <f>IF(FORMULACIÓN!A239="","",FORMULACIÓN!A239)</f>
        <v/>
      </c>
      <c r="B239" s="45" t="str">
        <f>IF(FORMULACIÓN!B239="","",FORMULACIÓN!B239)</f>
        <v/>
      </c>
      <c r="C239" s="45" t="str">
        <f>IF(FORMULACIÓN!E239="","",FORMULACIÓN!E239)</f>
        <v/>
      </c>
      <c r="D239" s="45" t="str">
        <f>IF(FORMULACIÓN!F239="","",FORMULACIÓN!F239)</f>
        <v/>
      </c>
      <c r="E239" s="45" t="str">
        <f>IF(FORMULACIÓN!G239="","",FORMULACIÓN!G239)</f>
        <v/>
      </c>
      <c r="F239" s="45" t="str">
        <f>IF(FORMULACIÓN!H239="","",FORMULACIÓN!H239)</f>
        <v/>
      </c>
      <c r="G239" s="45" t="str">
        <f>IF(FORMULACIÓN!I239="","",FORMULACIÓN!I239)</f>
        <v/>
      </c>
      <c r="H239" s="45" t="str">
        <f>IF(FORMULACIÓN!J239="","",FORMULACIÓN!J239)</f>
        <v/>
      </c>
      <c r="I239" s="188" t="str">
        <f ca="1">IF($G239=Lists!$R$3,"PDI: "&amp;TEXT(FORMULACIÓN!Q239,"00,00%")&amp;CHAR(10)&amp;CHAR(10)&amp;"T1: "&amp;TEXT(FORMULACIÓN!L239,"00,00%")&amp;CHAR(10)&amp;"T2: "&amp;TEXT(FORMULACIÓN!M239,"00,00%")&amp;CHAR(10)&amp;"T3: "&amp;TEXT(FORMULACIÓN!N239,"00,00%")&amp;CHAR(10)&amp;"Tn: "&amp;TEXT(FORMULACIÓN!O239,"00,00%"),IF(FORMULACIÓN!Q239=0,0,"PDI: "&amp;TEXT(FORMULACIÓN!Q239,"##.###")&amp;CHAR(10)&amp;CHAR(10)&amp;"T1: "&amp;TEXT(FORMULACIÓN!L239,"##.###")&amp;CHAR(10)&amp;"T2: "&amp;TEXT(FORMULACIÓN!M239,"##.###")&amp;CHAR(10)&amp;"T3: "&amp;TEXT(FORMULACIÓN!N239,"##.###")&amp;CHAR(10)&amp;"Tn: "&amp;TEXT(FORMULACIÓN!O239,"##.###")))</f>
        <v xml:space="preserve">PDI: 
T1: 
T2: 
T3: 
Tn: </v>
      </c>
      <c r="J239" s="122" t="str">
        <f>IF(FORMULACIÓN!K239&lt;&gt;"",FORMULACIÓN!K239,"")</f>
        <v/>
      </c>
      <c r="K239" s="58"/>
      <c r="L239" s="58"/>
      <c r="M239" s="58"/>
      <c r="N239" s="58"/>
      <c r="O239" s="47" t="str">
        <f ca="1">IFERROR(IF($H239=Lists!$S$2,SUM('SEGUIMIENTO Y EVALUACIÓN'!J239:N239),IF('SEGUIMIENTO Y EVALUACIÓN'!$H239=Lists!$S$3,SUM('SEGUIMIENTO Y EVALUACIÓN'!K239:N239),IF('SEGUIMIENTO Y EVALUACIÓN'!$H239=Lists!$S$4,AVERAGE('SEGUIMIENTO Y EVALUACIÓN'!K239:N239),IF('SEGUIMIENTO Y EVALUACIÓN'!$H239=Lists!$S$5,OFFSET(J239,0,COUNTA(K239:N239)),IF($H239=Lists!$S$6,COUNTIF(K239:N239,"&lt;"&amp;FORMULACIÓN!Q239)/COUNT('SEGUIMIENTO Y EVALUACIÓN'!K239:N239),""))))),"")</f>
        <v/>
      </c>
      <c r="P239" s="51" t="str">
        <f ca="1">IF($G239=Lists!$R$3,TEXT('SEGUIMIENTO Y EVALUACIÓN'!O239,"00,00%"),IF('SEGUIMIENTO Y EVALUACIÓN'!O239=0,0,TEXT('SEGUIMIENTO Y EVALUACIÓN'!O239,"##.###")))</f>
        <v/>
      </c>
      <c r="Q239" s="209" t="str">
        <f>IF(FORMULACIÓN!R239&lt;&gt;"",FORMULACIÓN!R239,"")</f>
        <v/>
      </c>
      <c r="R239" s="209" t="str">
        <f>IF(FORMULACIÓN!S239&lt;&gt;"",FORMULACIÓN!S239,"")</f>
        <v/>
      </c>
      <c r="S239" s="209" t="str">
        <f>IF(FORMULACIÓN!T239&lt;&gt;"",FORMULACIÓN!T239,"")</f>
        <v/>
      </c>
      <c r="T239" s="42"/>
      <c r="U239" s="42"/>
      <c r="V239" s="42"/>
      <c r="W239" s="43" t="str">
        <f t="shared" si="27"/>
        <v/>
      </c>
      <c r="X239" s="42"/>
      <c r="Y239" s="42"/>
      <c r="Z239" s="42"/>
      <c r="AA239" s="43" t="str">
        <f t="shared" si="28"/>
        <v/>
      </c>
      <c r="AB239" s="42"/>
      <c r="AC239" s="42"/>
      <c r="AD239" s="42"/>
      <c r="AE239" s="43" t="str">
        <f t="shared" si="29"/>
        <v/>
      </c>
      <c r="AF239" s="42"/>
      <c r="AG239" s="42"/>
      <c r="AH239" s="42"/>
      <c r="AI239" s="46" t="str">
        <f t="shared" si="30"/>
        <v/>
      </c>
      <c r="AJ239" s="46" t="str">
        <f>IF(SUM(AA239,AE239,W239,AI239)=0,"",SUM((AA239,AE239,W239,AI239)))</f>
        <v/>
      </c>
      <c r="AK239" s="2"/>
      <c r="AL239" s="1" t="str">
        <f t="shared" si="31"/>
        <v/>
      </c>
      <c r="AM239" s="56" t="str">
        <f t="shared" si="33"/>
        <v/>
      </c>
      <c r="AN239" s="112" t="str">
        <f ca="1">IF($G239=Lists!$R$3,"T1: "&amp;TEXT(FORMULACIÓN!L239,"00,00%")&amp;CHAR(10)&amp;"T2: "&amp;TEXT(FORMULACIÓN!M239,"00,00%")&amp;CHAR(10)&amp;"T3: "&amp;TEXT(FORMULACIÓN!N239,"00,00%")&amp;CHAR(10)&amp;"Tn: "&amp;TEXT(FORMULACIÓN!O239,"00,00%"),IF(FORMULACIÓN!Q239=0,0,"T1: "&amp;TEXT(FORMULACIÓN!L239,"##.###")&amp;CHAR(10)&amp;"T2: "&amp;TEXT(FORMULACIÓN!M239,"##.###")&amp;CHAR(10)&amp;"T3: "&amp;TEXT(FORMULACIÓN!N239,"##.###")&amp;CHAR(10)&amp;"Tn: "&amp;TEXT(FORMULACIÓN!O239,"##.###")))</f>
        <v xml:space="preserve">T1: 
T2: 
T3: 
Tn: </v>
      </c>
      <c r="AO239" s="117" t="str">
        <f>IFERROR(IF($H239=Lists!$S$6,IF(AND(FORMULACIÓN!L239&gt;K239,K239&gt;0),1,0),IF((K239/FORMULACIÓN!L239)&lt;&gt;0,K239/FORMULACIÓN!L239,0)),"")</f>
        <v/>
      </c>
      <c r="AP239" s="117" t="str">
        <f>IFERROR(IF($H239=Lists!$S$6,IF(AND(FORMULACIÓN!M239&gt;L239,L239&gt;0),1,0),IF((L239/FORMULACIÓN!M239)&lt;&gt;0,L239/FORMULACIÓN!M239,0)),"")</f>
        <v/>
      </c>
      <c r="AQ239" s="117" t="str">
        <f>IFERROR(IF($H239=Lists!$S$6,IF(AND(FORMULACIÓN!N239&gt;M239,M239&gt;0),1,0),IF((M239/FORMULACIÓN!N239)&lt;&gt;0,M239/FORMULACIÓN!N239,0)),"")</f>
        <v/>
      </c>
      <c r="AR239" s="117" t="str">
        <f>IFERROR(IF($H239=Lists!$S$6,IF(AND(FORMULACIÓN!O239&gt;N239,N239&gt;0),1,0),IF((N239/FORMULACIÓN!O239)&lt;&gt;0,N239/FORMULACIÓN!O239,0)),"")</f>
        <v/>
      </c>
      <c r="AS239" s="110"/>
      <c r="AT239" s="118" t="str">
        <f ca="1">IF($H239=Lists!$S$6,TEXT(COUNTIF('SEGUIMIENTO Y EVALUACIÓN'!K239:N239,"&lt;"&amp;FORMULACIÓN!Q239),"##.###")&amp;" / "&amp;TEXT(COUNTIF('SEGUIMIENTO Y EVALUACIÓN'!K239:N239,"&gt;"&amp;0),"##.###"),IF($G239=Lists!$R$3,TEXT('SEGUIMIENTO Y EVALUACIÓN'!O239,"00,00%")&amp;" / "&amp;TEXT(FORMULACIÓN!P239,"00,00%"),IF('SEGUIMIENTO Y EVALUACIÓN'!O239=0,0,TEXT('SEGUIMIENTO Y EVALUACIÓN'!O239,"##.###")&amp;" / "&amp;TEXT(FORMULACIÓN!P239,"##.###"))))</f>
        <v xml:space="preserve"> / </v>
      </c>
      <c r="AU239" s="57">
        <f ca="1">IFERROR(IF((P239/FORMULACIÓN!Q239)&lt;&gt;0,IF($H239=Lists!$S$6,COUNTIF('SEGUIMIENTO Y EVALUACIÓN'!K239:N239,"&lt;"&amp;FORMULACIÓN!Q239),'SEGUIMIENTO Y EVALUACIÓN'!P239)/IF($H239=Lists!$S$6,COUNTIF('SEGUIMIENTO Y EVALUACIÓN'!K239:N239,"&gt;"&amp;0),FORMULACIÓN!P239),0),0)</f>
        <v>0</v>
      </c>
      <c r="AV239" s="93" t="str">
        <f t="shared" ca="1" si="32"/>
        <v/>
      </c>
      <c r="AW239" s="93" cm="1">
        <f t="array" ref="AW239">IF(INDEX(AO239:AU239,1,$AV$3)&gt;1,1,INDEX(AO239:AU239,1,$AV$3))</f>
        <v>1</v>
      </c>
      <c r="AX239" s="3"/>
      <c r="AY239" s="119" t="str">
        <f>IFERROR(IF((W239/FORMULACIÓN!X239)&lt;&gt;0,W239/FORMULACIÓN!X239,0),"")</f>
        <v/>
      </c>
      <c r="AZ239" s="119" t="str">
        <f>IFERROR(IF((AA239/FORMULACIÓN!AB239)&lt;&gt;0,AA239/FORMULACIÓN!AB239,0),"")</f>
        <v/>
      </c>
      <c r="BA239" s="119" t="str">
        <f>IFERROR(IF((AE239/FORMULACIÓN!AF239)&lt;&gt;0,(AE239/FORMULACIÓN!AF239),0),"")</f>
        <v/>
      </c>
      <c r="BB239" s="119" t="str">
        <f>IFERROR(IF((AI239/FORMULACIÓN!AJ239)&lt;&gt;0,AI239/FORMULACIÓN!AJ239,0),"")</f>
        <v/>
      </c>
      <c r="BC239" s="120" t="str">
        <f>IF('SEGUIMIENTO Y EVALUACIÓN'!AI239=0,0,TEXT('SEGUIMIENTO Y EVALUACIÓN'!AI239,"$ ##.###")&amp;" / "&amp;TEXT(FORMULACIÓN!AK239,"$ ##.###"))</f>
        <v xml:space="preserve"> / </v>
      </c>
      <c r="BD239" s="57">
        <f>IFERROR(IF((AJ239/FORMULACIÓN!AK239)&lt;&gt;0,AJ239/FORMULACIÓN!AK239,0),0)</f>
        <v>0</v>
      </c>
      <c r="CL239" s="7"/>
    </row>
    <row r="240" spans="1:90" s="1" customFormat="1" ht="99.95" customHeight="1">
      <c r="A240" s="45" t="str">
        <f>IF(FORMULACIÓN!A240="","",FORMULACIÓN!A240)</f>
        <v/>
      </c>
      <c r="B240" s="45" t="str">
        <f>IF(FORMULACIÓN!B240="","",FORMULACIÓN!B240)</f>
        <v/>
      </c>
      <c r="C240" s="45" t="str">
        <f>IF(FORMULACIÓN!E240="","",FORMULACIÓN!E240)</f>
        <v/>
      </c>
      <c r="D240" s="45" t="str">
        <f>IF(FORMULACIÓN!F240="","",FORMULACIÓN!F240)</f>
        <v/>
      </c>
      <c r="E240" s="45" t="str">
        <f>IF(FORMULACIÓN!G240="","",FORMULACIÓN!G240)</f>
        <v/>
      </c>
      <c r="F240" s="45" t="str">
        <f>IF(FORMULACIÓN!H240="","",FORMULACIÓN!H240)</f>
        <v/>
      </c>
      <c r="G240" s="45" t="str">
        <f>IF(FORMULACIÓN!I240="","",FORMULACIÓN!I240)</f>
        <v/>
      </c>
      <c r="H240" s="45" t="str">
        <f>IF(FORMULACIÓN!J240="","",FORMULACIÓN!J240)</f>
        <v/>
      </c>
      <c r="I240" s="188" t="str">
        <f ca="1">IF($G240=Lists!$R$3,"PDI: "&amp;TEXT(FORMULACIÓN!Q240,"00,00%")&amp;CHAR(10)&amp;CHAR(10)&amp;"T1: "&amp;TEXT(FORMULACIÓN!L240,"00,00%")&amp;CHAR(10)&amp;"T2: "&amp;TEXT(FORMULACIÓN!M240,"00,00%")&amp;CHAR(10)&amp;"T3: "&amp;TEXT(FORMULACIÓN!N240,"00,00%")&amp;CHAR(10)&amp;"Tn: "&amp;TEXT(FORMULACIÓN!O240,"00,00%"),IF(FORMULACIÓN!Q240=0,0,"PDI: "&amp;TEXT(FORMULACIÓN!Q240,"##.###")&amp;CHAR(10)&amp;CHAR(10)&amp;"T1: "&amp;TEXT(FORMULACIÓN!L240,"##.###")&amp;CHAR(10)&amp;"T2: "&amp;TEXT(FORMULACIÓN!M240,"##.###")&amp;CHAR(10)&amp;"T3: "&amp;TEXT(FORMULACIÓN!N240,"##.###")&amp;CHAR(10)&amp;"Tn: "&amp;TEXT(FORMULACIÓN!O240,"##.###")))</f>
        <v xml:space="preserve">PDI: 
T1: 
T2: 
T3: 
Tn: </v>
      </c>
      <c r="J240" s="122" t="str">
        <f>IF(FORMULACIÓN!K240&lt;&gt;"",FORMULACIÓN!K240,"")</f>
        <v/>
      </c>
      <c r="K240" s="58"/>
      <c r="L240" s="58"/>
      <c r="M240" s="58"/>
      <c r="N240" s="58"/>
      <c r="O240" s="47" t="str">
        <f ca="1">IFERROR(IF($H240=Lists!$S$2,SUM('SEGUIMIENTO Y EVALUACIÓN'!J240:N240),IF('SEGUIMIENTO Y EVALUACIÓN'!$H240=Lists!$S$3,SUM('SEGUIMIENTO Y EVALUACIÓN'!K240:N240),IF('SEGUIMIENTO Y EVALUACIÓN'!$H240=Lists!$S$4,AVERAGE('SEGUIMIENTO Y EVALUACIÓN'!K240:N240),IF('SEGUIMIENTO Y EVALUACIÓN'!$H240=Lists!$S$5,OFFSET(J240,0,COUNTA(K240:N240)),IF($H240=Lists!$S$6,COUNTIF(K240:N240,"&lt;"&amp;FORMULACIÓN!Q240)/COUNT('SEGUIMIENTO Y EVALUACIÓN'!K240:N240),""))))),"")</f>
        <v/>
      </c>
      <c r="P240" s="51" t="str">
        <f ca="1">IF($G240=Lists!$R$3,TEXT('SEGUIMIENTO Y EVALUACIÓN'!O240,"00,00%"),IF('SEGUIMIENTO Y EVALUACIÓN'!O240=0,0,TEXT('SEGUIMIENTO Y EVALUACIÓN'!O240,"##.###")))</f>
        <v/>
      </c>
      <c r="Q240" s="209" t="str">
        <f>IF(FORMULACIÓN!R240&lt;&gt;"",FORMULACIÓN!R240,"")</f>
        <v/>
      </c>
      <c r="R240" s="209" t="str">
        <f>IF(FORMULACIÓN!S240&lt;&gt;"",FORMULACIÓN!S240,"")</f>
        <v/>
      </c>
      <c r="S240" s="209" t="str">
        <f>IF(FORMULACIÓN!T240&lt;&gt;"",FORMULACIÓN!T240,"")</f>
        <v/>
      </c>
      <c r="T240" s="42"/>
      <c r="U240" s="42"/>
      <c r="V240" s="42"/>
      <c r="W240" s="43" t="str">
        <f t="shared" si="27"/>
        <v/>
      </c>
      <c r="X240" s="42"/>
      <c r="Y240" s="42"/>
      <c r="Z240" s="42"/>
      <c r="AA240" s="43" t="str">
        <f t="shared" si="28"/>
        <v/>
      </c>
      <c r="AB240" s="42"/>
      <c r="AC240" s="42"/>
      <c r="AD240" s="42"/>
      <c r="AE240" s="43" t="str">
        <f t="shared" si="29"/>
        <v/>
      </c>
      <c r="AF240" s="42"/>
      <c r="AG240" s="42"/>
      <c r="AH240" s="42"/>
      <c r="AI240" s="46" t="str">
        <f t="shared" si="30"/>
        <v/>
      </c>
      <c r="AJ240" s="46" t="str">
        <f>IF(SUM(AA240,AE240,W240,AI240)=0,"",SUM((AA240,AE240,W240,AI240)))</f>
        <v/>
      </c>
      <c r="AK240" s="2"/>
      <c r="AL240" s="1" t="str">
        <f t="shared" si="31"/>
        <v/>
      </c>
      <c r="AM240" s="56" t="str">
        <f t="shared" si="33"/>
        <v/>
      </c>
      <c r="AN240" s="112" t="str">
        <f ca="1">IF($G240=Lists!$R$3,"T1: "&amp;TEXT(FORMULACIÓN!L240,"00,00%")&amp;CHAR(10)&amp;"T2: "&amp;TEXT(FORMULACIÓN!M240,"00,00%")&amp;CHAR(10)&amp;"T3: "&amp;TEXT(FORMULACIÓN!N240,"00,00%")&amp;CHAR(10)&amp;"Tn: "&amp;TEXT(FORMULACIÓN!O240,"00,00%"),IF(FORMULACIÓN!Q240=0,0,"T1: "&amp;TEXT(FORMULACIÓN!L240,"##.###")&amp;CHAR(10)&amp;"T2: "&amp;TEXT(FORMULACIÓN!M240,"##.###")&amp;CHAR(10)&amp;"T3: "&amp;TEXT(FORMULACIÓN!N240,"##.###")&amp;CHAR(10)&amp;"Tn: "&amp;TEXT(FORMULACIÓN!O240,"##.###")))</f>
        <v xml:space="preserve">T1: 
T2: 
T3: 
Tn: </v>
      </c>
      <c r="AO240" s="117" t="str">
        <f>IFERROR(IF($H240=Lists!$S$6,IF(AND(FORMULACIÓN!L240&gt;K240,K240&gt;0),1,0),IF((K240/FORMULACIÓN!L240)&lt;&gt;0,K240/FORMULACIÓN!L240,0)),"")</f>
        <v/>
      </c>
      <c r="AP240" s="117" t="str">
        <f>IFERROR(IF($H240=Lists!$S$6,IF(AND(FORMULACIÓN!M240&gt;L240,L240&gt;0),1,0),IF((L240/FORMULACIÓN!M240)&lt;&gt;0,L240/FORMULACIÓN!M240,0)),"")</f>
        <v/>
      </c>
      <c r="AQ240" s="117" t="str">
        <f>IFERROR(IF($H240=Lists!$S$6,IF(AND(FORMULACIÓN!N240&gt;M240,M240&gt;0),1,0),IF((M240/FORMULACIÓN!N240)&lt;&gt;0,M240/FORMULACIÓN!N240,0)),"")</f>
        <v/>
      </c>
      <c r="AR240" s="117" t="str">
        <f>IFERROR(IF($H240=Lists!$S$6,IF(AND(FORMULACIÓN!O240&gt;N240,N240&gt;0),1,0),IF((N240/FORMULACIÓN!O240)&lt;&gt;0,N240/FORMULACIÓN!O240,0)),"")</f>
        <v/>
      </c>
      <c r="AS240" s="110"/>
      <c r="AT240" s="118" t="str">
        <f ca="1">IF($H240=Lists!$S$6,TEXT(COUNTIF('SEGUIMIENTO Y EVALUACIÓN'!K240:N240,"&lt;"&amp;FORMULACIÓN!Q240),"##.###")&amp;" / "&amp;TEXT(COUNTIF('SEGUIMIENTO Y EVALUACIÓN'!K240:N240,"&gt;"&amp;0),"##.###"),IF($G240=Lists!$R$3,TEXT('SEGUIMIENTO Y EVALUACIÓN'!O240,"00,00%")&amp;" / "&amp;TEXT(FORMULACIÓN!P240,"00,00%"),IF('SEGUIMIENTO Y EVALUACIÓN'!O240=0,0,TEXT('SEGUIMIENTO Y EVALUACIÓN'!O240,"##.###")&amp;" / "&amp;TEXT(FORMULACIÓN!P240,"##.###"))))</f>
        <v xml:space="preserve"> / </v>
      </c>
      <c r="AU240" s="57">
        <f ca="1">IFERROR(IF((P240/FORMULACIÓN!Q240)&lt;&gt;0,IF($H240=Lists!$S$6,COUNTIF('SEGUIMIENTO Y EVALUACIÓN'!K240:N240,"&lt;"&amp;FORMULACIÓN!Q240),'SEGUIMIENTO Y EVALUACIÓN'!P240)/IF($H240=Lists!$S$6,COUNTIF('SEGUIMIENTO Y EVALUACIÓN'!K240:N240,"&gt;"&amp;0),FORMULACIÓN!P240),0),0)</f>
        <v>0</v>
      </c>
      <c r="AV240" s="93" t="str">
        <f t="shared" ca="1" si="32"/>
        <v/>
      </c>
      <c r="AW240" s="93" cm="1">
        <f t="array" ref="AW240">IF(INDEX(AO240:AU240,1,$AV$3)&gt;1,1,INDEX(AO240:AU240,1,$AV$3))</f>
        <v>1</v>
      </c>
      <c r="AX240" s="3"/>
      <c r="AY240" s="119" t="str">
        <f>IFERROR(IF((W240/FORMULACIÓN!X240)&lt;&gt;0,W240/FORMULACIÓN!X240,0),"")</f>
        <v/>
      </c>
      <c r="AZ240" s="119" t="str">
        <f>IFERROR(IF((AA240/FORMULACIÓN!AB240)&lt;&gt;0,AA240/FORMULACIÓN!AB240,0),"")</f>
        <v/>
      </c>
      <c r="BA240" s="119" t="str">
        <f>IFERROR(IF((AE240/FORMULACIÓN!AF240)&lt;&gt;0,(AE240/FORMULACIÓN!AF240),0),"")</f>
        <v/>
      </c>
      <c r="BB240" s="119" t="str">
        <f>IFERROR(IF((AI240/FORMULACIÓN!AJ240)&lt;&gt;0,AI240/FORMULACIÓN!AJ240,0),"")</f>
        <v/>
      </c>
      <c r="BC240" s="120" t="str">
        <f>IF('SEGUIMIENTO Y EVALUACIÓN'!AI240=0,0,TEXT('SEGUIMIENTO Y EVALUACIÓN'!AI240,"$ ##.###")&amp;" / "&amp;TEXT(FORMULACIÓN!AK240,"$ ##.###"))</f>
        <v xml:space="preserve"> / </v>
      </c>
      <c r="BD240" s="57">
        <f>IFERROR(IF((AJ240/FORMULACIÓN!AK240)&lt;&gt;0,AJ240/FORMULACIÓN!AK240,0),0)</f>
        <v>0</v>
      </c>
      <c r="CL240" s="7"/>
    </row>
    <row r="241" spans="1:90" s="1" customFormat="1" ht="99.95" customHeight="1">
      <c r="A241" s="45" t="str">
        <f>IF(FORMULACIÓN!A241="","",FORMULACIÓN!A241)</f>
        <v/>
      </c>
      <c r="B241" s="45" t="str">
        <f>IF(FORMULACIÓN!B241="","",FORMULACIÓN!B241)</f>
        <v/>
      </c>
      <c r="C241" s="45" t="str">
        <f>IF(FORMULACIÓN!E241="","",FORMULACIÓN!E241)</f>
        <v/>
      </c>
      <c r="D241" s="45" t="str">
        <f>IF(FORMULACIÓN!F241="","",FORMULACIÓN!F241)</f>
        <v/>
      </c>
      <c r="E241" s="45" t="str">
        <f>IF(FORMULACIÓN!G241="","",FORMULACIÓN!G241)</f>
        <v/>
      </c>
      <c r="F241" s="45" t="str">
        <f>IF(FORMULACIÓN!H241="","",FORMULACIÓN!H241)</f>
        <v/>
      </c>
      <c r="G241" s="45" t="str">
        <f>IF(FORMULACIÓN!I241="","",FORMULACIÓN!I241)</f>
        <v/>
      </c>
      <c r="H241" s="45" t="str">
        <f>IF(FORMULACIÓN!J241="","",FORMULACIÓN!J241)</f>
        <v/>
      </c>
      <c r="I241" s="188" t="str">
        <f ca="1">IF($G241=Lists!$R$3,"PDI: "&amp;TEXT(FORMULACIÓN!Q241,"00,00%")&amp;CHAR(10)&amp;CHAR(10)&amp;"T1: "&amp;TEXT(FORMULACIÓN!L241,"00,00%")&amp;CHAR(10)&amp;"T2: "&amp;TEXT(FORMULACIÓN!M241,"00,00%")&amp;CHAR(10)&amp;"T3: "&amp;TEXT(FORMULACIÓN!N241,"00,00%")&amp;CHAR(10)&amp;"Tn: "&amp;TEXT(FORMULACIÓN!O241,"00,00%"),IF(FORMULACIÓN!Q241=0,0,"PDI: "&amp;TEXT(FORMULACIÓN!Q241,"##.###")&amp;CHAR(10)&amp;CHAR(10)&amp;"T1: "&amp;TEXT(FORMULACIÓN!L241,"##.###")&amp;CHAR(10)&amp;"T2: "&amp;TEXT(FORMULACIÓN!M241,"##.###")&amp;CHAR(10)&amp;"T3: "&amp;TEXT(FORMULACIÓN!N241,"##.###")&amp;CHAR(10)&amp;"Tn: "&amp;TEXT(FORMULACIÓN!O241,"##.###")))</f>
        <v xml:space="preserve">PDI: 
T1: 
T2: 
T3: 
Tn: </v>
      </c>
      <c r="J241" s="122" t="str">
        <f>IF(FORMULACIÓN!K241&lt;&gt;"",FORMULACIÓN!K241,"")</f>
        <v/>
      </c>
      <c r="K241" s="58"/>
      <c r="L241" s="58"/>
      <c r="M241" s="58"/>
      <c r="N241" s="58"/>
      <c r="O241" s="47" t="str">
        <f ca="1">IFERROR(IF($H241=Lists!$S$2,SUM('SEGUIMIENTO Y EVALUACIÓN'!J241:N241),IF('SEGUIMIENTO Y EVALUACIÓN'!$H241=Lists!$S$3,SUM('SEGUIMIENTO Y EVALUACIÓN'!K241:N241),IF('SEGUIMIENTO Y EVALUACIÓN'!$H241=Lists!$S$4,AVERAGE('SEGUIMIENTO Y EVALUACIÓN'!K241:N241),IF('SEGUIMIENTO Y EVALUACIÓN'!$H241=Lists!$S$5,OFFSET(J241,0,COUNTA(K241:N241)),IF($H241=Lists!$S$6,COUNTIF(K241:N241,"&lt;"&amp;FORMULACIÓN!Q241)/COUNT('SEGUIMIENTO Y EVALUACIÓN'!K241:N241),""))))),"")</f>
        <v/>
      </c>
      <c r="P241" s="51" t="str">
        <f ca="1">IF($G241=Lists!$R$3,TEXT('SEGUIMIENTO Y EVALUACIÓN'!O241,"00,00%"),IF('SEGUIMIENTO Y EVALUACIÓN'!O241=0,0,TEXT('SEGUIMIENTO Y EVALUACIÓN'!O241,"##.###")))</f>
        <v/>
      </c>
      <c r="Q241" s="209" t="str">
        <f>IF(FORMULACIÓN!R241&lt;&gt;"",FORMULACIÓN!R241,"")</f>
        <v/>
      </c>
      <c r="R241" s="209" t="str">
        <f>IF(FORMULACIÓN!S241&lt;&gt;"",FORMULACIÓN!S241,"")</f>
        <v/>
      </c>
      <c r="S241" s="209" t="str">
        <f>IF(FORMULACIÓN!T241&lt;&gt;"",FORMULACIÓN!T241,"")</f>
        <v/>
      </c>
      <c r="T241" s="42"/>
      <c r="U241" s="42"/>
      <c r="V241" s="42"/>
      <c r="W241" s="43" t="str">
        <f t="shared" si="27"/>
        <v/>
      </c>
      <c r="X241" s="42"/>
      <c r="Y241" s="42"/>
      <c r="Z241" s="42"/>
      <c r="AA241" s="43" t="str">
        <f t="shared" si="28"/>
        <v/>
      </c>
      <c r="AB241" s="42"/>
      <c r="AC241" s="42"/>
      <c r="AD241" s="42"/>
      <c r="AE241" s="43" t="str">
        <f t="shared" si="29"/>
        <v/>
      </c>
      <c r="AF241" s="42"/>
      <c r="AG241" s="42"/>
      <c r="AH241" s="42"/>
      <c r="AI241" s="46" t="str">
        <f t="shared" si="30"/>
        <v/>
      </c>
      <c r="AJ241" s="46" t="str">
        <f>IF(SUM(AA241,AE241,W241,AI241)=0,"",SUM((AA241,AE241,W241,AI241)))</f>
        <v/>
      </c>
      <c r="AK241" s="2"/>
      <c r="AL241" s="1" t="str">
        <f t="shared" si="31"/>
        <v/>
      </c>
      <c r="AM241" s="56" t="str">
        <f t="shared" si="33"/>
        <v/>
      </c>
      <c r="AN241" s="112" t="str">
        <f ca="1">IF($G241=Lists!$R$3,"T1: "&amp;TEXT(FORMULACIÓN!L241,"00,00%")&amp;CHAR(10)&amp;"T2: "&amp;TEXT(FORMULACIÓN!M241,"00,00%")&amp;CHAR(10)&amp;"T3: "&amp;TEXT(FORMULACIÓN!N241,"00,00%")&amp;CHAR(10)&amp;"Tn: "&amp;TEXT(FORMULACIÓN!O241,"00,00%"),IF(FORMULACIÓN!Q241=0,0,"T1: "&amp;TEXT(FORMULACIÓN!L241,"##.###")&amp;CHAR(10)&amp;"T2: "&amp;TEXT(FORMULACIÓN!M241,"##.###")&amp;CHAR(10)&amp;"T3: "&amp;TEXT(FORMULACIÓN!N241,"##.###")&amp;CHAR(10)&amp;"Tn: "&amp;TEXT(FORMULACIÓN!O241,"##.###")))</f>
        <v xml:space="preserve">T1: 
T2: 
T3: 
Tn: </v>
      </c>
      <c r="AO241" s="117" t="str">
        <f>IFERROR(IF($H241=Lists!$S$6,IF(AND(FORMULACIÓN!L241&gt;K241,K241&gt;0),1,0),IF((K241/FORMULACIÓN!L241)&lt;&gt;0,K241/FORMULACIÓN!L241,0)),"")</f>
        <v/>
      </c>
      <c r="AP241" s="117" t="str">
        <f>IFERROR(IF($H241=Lists!$S$6,IF(AND(FORMULACIÓN!M241&gt;L241,L241&gt;0),1,0),IF((L241/FORMULACIÓN!M241)&lt;&gt;0,L241/FORMULACIÓN!M241,0)),"")</f>
        <v/>
      </c>
      <c r="AQ241" s="117" t="str">
        <f>IFERROR(IF($H241=Lists!$S$6,IF(AND(FORMULACIÓN!N241&gt;M241,M241&gt;0),1,0),IF((M241/FORMULACIÓN!N241)&lt;&gt;0,M241/FORMULACIÓN!N241,0)),"")</f>
        <v/>
      </c>
      <c r="AR241" s="117" t="str">
        <f>IFERROR(IF($H241=Lists!$S$6,IF(AND(FORMULACIÓN!O241&gt;N241,N241&gt;0),1,0),IF((N241/FORMULACIÓN!O241)&lt;&gt;0,N241/FORMULACIÓN!O241,0)),"")</f>
        <v/>
      </c>
      <c r="AS241" s="110"/>
      <c r="AT241" s="118" t="str">
        <f ca="1">IF($H241=Lists!$S$6,TEXT(COUNTIF('SEGUIMIENTO Y EVALUACIÓN'!K241:N241,"&lt;"&amp;FORMULACIÓN!Q241),"##.###")&amp;" / "&amp;TEXT(COUNTIF('SEGUIMIENTO Y EVALUACIÓN'!K241:N241,"&gt;"&amp;0),"##.###"),IF($G241=Lists!$R$3,TEXT('SEGUIMIENTO Y EVALUACIÓN'!O241,"00,00%")&amp;" / "&amp;TEXT(FORMULACIÓN!P241,"00,00%"),IF('SEGUIMIENTO Y EVALUACIÓN'!O241=0,0,TEXT('SEGUIMIENTO Y EVALUACIÓN'!O241,"##.###")&amp;" / "&amp;TEXT(FORMULACIÓN!P241,"##.###"))))</f>
        <v xml:space="preserve"> / </v>
      </c>
      <c r="AU241" s="57">
        <f ca="1">IFERROR(IF((P241/FORMULACIÓN!Q241)&lt;&gt;0,IF($H241=Lists!$S$6,COUNTIF('SEGUIMIENTO Y EVALUACIÓN'!K241:N241,"&lt;"&amp;FORMULACIÓN!Q241),'SEGUIMIENTO Y EVALUACIÓN'!P241)/IF($H241=Lists!$S$6,COUNTIF('SEGUIMIENTO Y EVALUACIÓN'!K241:N241,"&gt;"&amp;0),FORMULACIÓN!P241),0),0)</f>
        <v>0</v>
      </c>
      <c r="AV241" s="93" t="str">
        <f t="shared" ca="1" si="32"/>
        <v/>
      </c>
      <c r="AW241" s="93" cm="1">
        <f t="array" ref="AW241">IF(INDEX(AO241:AU241,1,$AV$3)&gt;1,1,INDEX(AO241:AU241,1,$AV$3))</f>
        <v>1</v>
      </c>
      <c r="AX241" s="3"/>
      <c r="AY241" s="119" t="str">
        <f>IFERROR(IF((W241/FORMULACIÓN!X241)&lt;&gt;0,W241/FORMULACIÓN!X241,0),"")</f>
        <v/>
      </c>
      <c r="AZ241" s="119" t="str">
        <f>IFERROR(IF((AA241/FORMULACIÓN!AB241)&lt;&gt;0,AA241/FORMULACIÓN!AB241,0),"")</f>
        <v/>
      </c>
      <c r="BA241" s="119" t="str">
        <f>IFERROR(IF((AE241/FORMULACIÓN!AF241)&lt;&gt;0,(AE241/FORMULACIÓN!AF241),0),"")</f>
        <v/>
      </c>
      <c r="BB241" s="119" t="str">
        <f>IFERROR(IF((AI241/FORMULACIÓN!AJ241)&lt;&gt;0,AI241/FORMULACIÓN!AJ241,0),"")</f>
        <v/>
      </c>
      <c r="BC241" s="120" t="str">
        <f>IF('SEGUIMIENTO Y EVALUACIÓN'!AI241=0,0,TEXT('SEGUIMIENTO Y EVALUACIÓN'!AI241,"$ ##.###")&amp;" / "&amp;TEXT(FORMULACIÓN!AK241,"$ ##.###"))</f>
        <v xml:space="preserve"> / </v>
      </c>
      <c r="BD241" s="57">
        <f>IFERROR(IF((AJ241/FORMULACIÓN!AK241)&lt;&gt;0,AJ241/FORMULACIÓN!AK241,0),0)</f>
        <v>0</v>
      </c>
      <c r="CL241" s="7"/>
    </row>
    <row r="242" spans="1:90" s="1" customFormat="1" ht="99.95" customHeight="1">
      <c r="A242" s="45" t="str">
        <f>IF(FORMULACIÓN!A242="","",FORMULACIÓN!A242)</f>
        <v/>
      </c>
      <c r="B242" s="45" t="str">
        <f>IF(FORMULACIÓN!B242="","",FORMULACIÓN!B242)</f>
        <v/>
      </c>
      <c r="C242" s="45" t="str">
        <f>IF(FORMULACIÓN!E242="","",FORMULACIÓN!E242)</f>
        <v/>
      </c>
      <c r="D242" s="45" t="str">
        <f>IF(FORMULACIÓN!F242="","",FORMULACIÓN!F242)</f>
        <v/>
      </c>
      <c r="E242" s="45" t="str">
        <f>IF(FORMULACIÓN!G242="","",FORMULACIÓN!G242)</f>
        <v/>
      </c>
      <c r="F242" s="45" t="str">
        <f>IF(FORMULACIÓN!H242="","",FORMULACIÓN!H242)</f>
        <v/>
      </c>
      <c r="G242" s="45" t="str">
        <f>IF(FORMULACIÓN!I242="","",FORMULACIÓN!I242)</f>
        <v/>
      </c>
      <c r="H242" s="45" t="str">
        <f>IF(FORMULACIÓN!J242="","",FORMULACIÓN!J242)</f>
        <v/>
      </c>
      <c r="I242" s="188" t="str">
        <f ca="1">IF($G242=Lists!$R$3,"PDI: "&amp;TEXT(FORMULACIÓN!Q242,"00,00%")&amp;CHAR(10)&amp;CHAR(10)&amp;"T1: "&amp;TEXT(FORMULACIÓN!L242,"00,00%")&amp;CHAR(10)&amp;"T2: "&amp;TEXT(FORMULACIÓN!M242,"00,00%")&amp;CHAR(10)&amp;"T3: "&amp;TEXT(FORMULACIÓN!N242,"00,00%")&amp;CHAR(10)&amp;"Tn: "&amp;TEXT(FORMULACIÓN!O242,"00,00%"),IF(FORMULACIÓN!Q242=0,0,"PDI: "&amp;TEXT(FORMULACIÓN!Q242,"##.###")&amp;CHAR(10)&amp;CHAR(10)&amp;"T1: "&amp;TEXT(FORMULACIÓN!L242,"##.###")&amp;CHAR(10)&amp;"T2: "&amp;TEXT(FORMULACIÓN!M242,"##.###")&amp;CHAR(10)&amp;"T3: "&amp;TEXT(FORMULACIÓN!N242,"##.###")&amp;CHAR(10)&amp;"Tn: "&amp;TEXT(FORMULACIÓN!O242,"##.###")))</f>
        <v xml:space="preserve">PDI: 
T1: 
T2: 
T3: 
Tn: </v>
      </c>
      <c r="J242" s="122" t="str">
        <f>IF(FORMULACIÓN!K242&lt;&gt;"",FORMULACIÓN!K242,"")</f>
        <v/>
      </c>
      <c r="K242" s="58"/>
      <c r="L242" s="58"/>
      <c r="M242" s="58"/>
      <c r="N242" s="58"/>
      <c r="O242" s="47" t="str">
        <f ca="1">IFERROR(IF($H242=Lists!$S$2,SUM('SEGUIMIENTO Y EVALUACIÓN'!J242:N242),IF('SEGUIMIENTO Y EVALUACIÓN'!$H242=Lists!$S$3,SUM('SEGUIMIENTO Y EVALUACIÓN'!K242:N242),IF('SEGUIMIENTO Y EVALUACIÓN'!$H242=Lists!$S$4,AVERAGE('SEGUIMIENTO Y EVALUACIÓN'!K242:N242),IF('SEGUIMIENTO Y EVALUACIÓN'!$H242=Lists!$S$5,OFFSET(J242,0,COUNTA(K242:N242)),IF($H242=Lists!$S$6,COUNTIF(K242:N242,"&lt;"&amp;FORMULACIÓN!Q242)/COUNT('SEGUIMIENTO Y EVALUACIÓN'!K242:N242),""))))),"")</f>
        <v/>
      </c>
      <c r="P242" s="51" t="str">
        <f ca="1">IF($G242=Lists!$R$3,TEXT('SEGUIMIENTO Y EVALUACIÓN'!O242,"00,00%"),IF('SEGUIMIENTO Y EVALUACIÓN'!O242=0,0,TEXT('SEGUIMIENTO Y EVALUACIÓN'!O242,"##.###")))</f>
        <v/>
      </c>
      <c r="Q242" s="209" t="str">
        <f>IF(FORMULACIÓN!R242&lt;&gt;"",FORMULACIÓN!R242,"")</f>
        <v/>
      </c>
      <c r="R242" s="209" t="str">
        <f>IF(FORMULACIÓN!S242&lt;&gt;"",FORMULACIÓN!S242,"")</f>
        <v/>
      </c>
      <c r="S242" s="209" t="str">
        <f>IF(FORMULACIÓN!T242&lt;&gt;"",FORMULACIÓN!T242,"")</f>
        <v/>
      </c>
      <c r="T242" s="42"/>
      <c r="U242" s="42"/>
      <c r="V242" s="42"/>
      <c r="W242" s="43" t="str">
        <f t="shared" si="27"/>
        <v/>
      </c>
      <c r="X242" s="42"/>
      <c r="Y242" s="42"/>
      <c r="Z242" s="42"/>
      <c r="AA242" s="43" t="str">
        <f t="shared" si="28"/>
        <v/>
      </c>
      <c r="AB242" s="42"/>
      <c r="AC242" s="42"/>
      <c r="AD242" s="42"/>
      <c r="AE242" s="43" t="str">
        <f t="shared" si="29"/>
        <v/>
      </c>
      <c r="AF242" s="42"/>
      <c r="AG242" s="42"/>
      <c r="AH242" s="42"/>
      <c r="AI242" s="46" t="str">
        <f t="shared" si="30"/>
        <v/>
      </c>
      <c r="AJ242" s="46" t="str">
        <f>IF(SUM(AA242,AE242,W242,AI242)=0,"",SUM((AA242,AE242,W242,AI242)))</f>
        <v/>
      </c>
      <c r="AK242" s="2"/>
      <c r="AL242" s="1" t="str">
        <f t="shared" si="31"/>
        <v/>
      </c>
      <c r="AM242" s="56" t="str">
        <f t="shared" si="33"/>
        <v/>
      </c>
      <c r="AN242" s="112" t="str">
        <f ca="1">IF($G242=Lists!$R$3,"T1: "&amp;TEXT(FORMULACIÓN!L242,"00,00%")&amp;CHAR(10)&amp;"T2: "&amp;TEXT(FORMULACIÓN!M242,"00,00%")&amp;CHAR(10)&amp;"T3: "&amp;TEXT(FORMULACIÓN!N242,"00,00%")&amp;CHAR(10)&amp;"Tn: "&amp;TEXT(FORMULACIÓN!O242,"00,00%"),IF(FORMULACIÓN!Q242=0,0,"T1: "&amp;TEXT(FORMULACIÓN!L242,"##.###")&amp;CHAR(10)&amp;"T2: "&amp;TEXT(FORMULACIÓN!M242,"##.###")&amp;CHAR(10)&amp;"T3: "&amp;TEXT(FORMULACIÓN!N242,"##.###")&amp;CHAR(10)&amp;"Tn: "&amp;TEXT(FORMULACIÓN!O242,"##.###")))</f>
        <v xml:space="preserve">T1: 
T2: 
T3: 
Tn: </v>
      </c>
      <c r="AO242" s="117" t="str">
        <f>IFERROR(IF($H242=Lists!$S$6,IF(AND(FORMULACIÓN!L242&gt;K242,K242&gt;0),1,0),IF((K242/FORMULACIÓN!L242)&lt;&gt;0,K242/FORMULACIÓN!L242,0)),"")</f>
        <v/>
      </c>
      <c r="AP242" s="117" t="str">
        <f>IFERROR(IF($H242=Lists!$S$6,IF(AND(FORMULACIÓN!M242&gt;L242,L242&gt;0),1,0),IF((L242/FORMULACIÓN!M242)&lt;&gt;0,L242/FORMULACIÓN!M242,0)),"")</f>
        <v/>
      </c>
      <c r="AQ242" s="117" t="str">
        <f>IFERROR(IF($H242=Lists!$S$6,IF(AND(FORMULACIÓN!N242&gt;M242,M242&gt;0),1,0),IF((M242/FORMULACIÓN!N242)&lt;&gt;0,M242/FORMULACIÓN!N242,0)),"")</f>
        <v/>
      </c>
      <c r="AR242" s="117" t="str">
        <f>IFERROR(IF($H242=Lists!$S$6,IF(AND(FORMULACIÓN!O242&gt;N242,N242&gt;0),1,0),IF((N242/FORMULACIÓN!O242)&lt;&gt;0,N242/FORMULACIÓN!O242,0)),"")</f>
        <v/>
      </c>
      <c r="AS242" s="110"/>
      <c r="AT242" s="118" t="str">
        <f ca="1">IF($H242=Lists!$S$6,TEXT(COUNTIF('SEGUIMIENTO Y EVALUACIÓN'!K242:N242,"&lt;"&amp;FORMULACIÓN!Q242),"##.###")&amp;" / "&amp;TEXT(COUNTIF('SEGUIMIENTO Y EVALUACIÓN'!K242:N242,"&gt;"&amp;0),"##.###"),IF($G242=Lists!$R$3,TEXT('SEGUIMIENTO Y EVALUACIÓN'!O242,"00,00%")&amp;" / "&amp;TEXT(FORMULACIÓN!P242,"00,00%"),IF('SEGUIMIENTO Y EVALUACIÓN'!O242=0,0,TEXT('SEGUIMIENTO Y EVALUACIÓN'!O242,"##.###")&amp;" / "&amp;TEXT(FORMULACIÓN!P242,"##.###"))))</f>
        <v xml:space="preserve"> / </v>
      </c>
      <c r="AU242" s="57">
        <f ca="1">IFERROR(IF((P242/FORMULACIÓN!Q242)&lt;&gt;0,IF($H242=Lists!$S$6,COUNTIF('SEGUIMIENTO Y EVALUACIÓN'!K242:N242,"&lt;"&amp;FORMULACIÓN!Q242),'SEGUIMIENTO Y EVALUACIÓN'!P242)/IF($H242=Lists!$S$6,COUNTIF('SEGUIMIENTO Y EVALUACIÓN'!K242:N242,"&gt;"&amp;0),FORMULACIÓN!P242),0),0)</f>
        <v>0</v>
      </c>
      <c r="AV242" s="93" t="str">
        <f t="shared" ca="1" si="32"/>
        <v/>
      </c>
      <c r="AW242" s="93" cm="1">
        <f t="array" ref="AW242">IF(INDEX(AO242:AU242,1,$AV$3)&gt;1,1,INDEX(AO242:AU242,1,$AV$3))</f>
        <v>1</v>
      </c>
      <c r="AX242" s="3"/>
      <c r="AY242" s="119" t="str">
        <f>IFERROR(IF((W242/FORMULACIÓN!X242)&lt;&gt;0,W242/FORMULACIÓN!X242,0),"")</f>
        <v/>
      </c>
      <c r="AZ242" s="119" t="str">
        <f>IFERROR(IF((AA242/FORMULACIÓN!AB242)&lt;&gt;0,AA242/FORMULACIÓN!AB242,0),"")</f>
        <v/>
      </c>
      <c r="BA242" s="119" t="str">
        <f>IFERROR(IF((AE242/FORMULACIÓN!AF242)&lt;&gt;0,(AE242/FORMULACIÓN!AF242),0),"")</f>
        <v/>
      </c>
      <c r="BB242" s="119" t="str">
        <f>IFERROR(IF((AI242/FORMULACIÓN!AJ242)&lt;&gt;0,AI242/FORMULACIÓN!AJ242,0),"")</f>
        <v/>
      </c>
      <c r="BC242" s="120" t="str">
        <f>IF('SEGUIMIENTO Y EVALUACIÓN'!AI242=0,0,TEXT('SEGUIMIENTO Y EVALUACIÓN'!AI242,"$ ##.###")&amp;" / "&amp;TEXT(FORMULACIÓN!AK242,"$ ##.###"))</f>
        <v xml:space="preserve"> / </v>
      </c>
      <c r="BD242" s="57">
        <f>IFERROR(IF((AJ242/FORMULACIÓN!AK242)&lt;&gt;0,AJ242/FORMULACIÓN!AK242,0),0)</f>
        <v>0</v>
      </c>
      <c r="CL242" s="7"/>
    </row>
    <row r="243" spans="1:90" s="1" customFormat="1" ht="99.95" customHeight="1">
      <c r="A243" s="45" t="str">
        <f>IF(FORMULACIÓN!A243="","",FORMULACIÓN!A243)</f>
        <v/>
      </c>
      <c r="B243" s="45" t="str">
        <f>IF(FORMULACIÓN!B243="","",FORMULACIÓN!B243)</f>
        <v/>
      </c>
      <c r="C243" s="45" t="str">
        <f>IF(FORMULACIÓN!E243="","",FORMULACIÓN!E243)</f>
        <v/>
      </c>
      <c r="D243" s="45" t="str">
        <f>IF(FORMULACIÓN!F243="","",FORMULACIÓN!F243)</f>
        <v/>
      </c>
      <c r="E243" s="45" t="str">
        <f>IF(FORMULACIÓN!G243="","",FORMULACIÓN!G243)</f>
        <v/>
      </c>
      <c r="F243" s="45" t="str">
        <f>IF(FORMULACIÓN!H243="","",FORMULACIÓN!H243)</f>
        <v/>
      </c>
      <c r="G243" s="45" t="str">
        <f>IF(FORMULACIÓN!I243="","",FORMULACIÓN!I243)</f>
        <v/>
      </c>
      <c r="H243" s="45" t="str">
        <f>IF(FORMULACIÓN!J243="","",FORMULACIÓN!J243)</f>
        <v/>
      </c>
      <c r="I243" s="188" t="str">
        <f ca="1">IF($G243=Lists!$R$3,"PDI: "&amp;TEXT(FORMULACIÓN!Q243,"00,00%")&amp;CHAR(10)&amp;CHAR(10)&amp;"T1: "&amp;TEXT(FORMULACIÓN!L243,"00,00%")&amp;CHAR(10)&amp;"T2: "&amp;TEXT(FORMULACIÓN!M243,"00,00%")&amp;CHAR(10)&amp;"T3: "&amp;TEXT(FORMULACIÓN!N243,"00,00%")&amp;CHAR(10)&amp;"Tn: "&amp;TEXT(FORMULACIÓN!O243,"00,00%"),IF(FORMULACIÓN!Q243=0,0,"PDI: "&amp;TEXT(FORMULACIÓN!Q243,"##.###")&amp;CHAR(10)&amp;CHAR(10)&amp;"T1: "&amp;TEXT(FORMULACIÓN!L243,"##.###")&amp;CHAR(10)&amp;"T2: "&amp;TEXT(FORMULACIÓN!M243,"##.###")&amp;CHAR(10)&amp;"T3: "&amp;TEXT(FORMULACIÓN!N243,"##.###")&amp;CHAR(10)&amp;"Tn: "&amp;TEXT(FORMULACIÓN!O243,"##.###")))</f>
        <v xml:space="preserve">PDI: 
T1: 
T2: 
T3: 
Tn: </v>
      </c>
      <c r="J243" s="122" t="str">
        <f>IF(FORMULACIÓN!K243&lt;&gt;"",FORMULACIÓN!K243,"")</f>
        <v/>
      </c>
      <c r="K243" s="58"/>
      <c r="L243" s="58"/>
      <c r="M243" s="58"/>
      <c r="N243" s="58"/>
      <c r="O243" s="47" t="str">
        <f ca="1">IFERROR(IF($H243=Lists!$S$2,SUM('SEGUIMIENTO Y EVALUACIÓN'!J243:N243),IF('SEGUIMIENTO Y EVALUACIÓN'!$H243=Lists!$S$3,SUM('SEGUIMIENTO Y EVALUACIÓN'!K243:N243),IF('SEGUIMIENTO Y EVALUACIÓN'!$H243=Lists!$S$4,AVERAGE('SEGUIMIENTO Y EVALUACIÓN'!K243:N243),IF('SEGUIMIENTO Y EVALUACIÓN'!$H243=Lists!$S$5,OFFSET(J243,0,COUNTA(K243:N243)),IF($H243=Lists!$S$6,COUNTIF(K243:N243,"&lt;"&amp;FORMULACIÓN!Q243)/COUNT('SEGUIMIENTO Y EVALUACIÓN'!K243:N243),""))))),"")</f>
        <v/>
      </c>
      <c r="P243" s="51" t="str">
        <f ca="1">IF($G243=Lists!$R$3,TEXT('SEGUIMIENTO Y EVALUACIÓN'!O243,"00,00%"),IF('SEGUIMIENTO Y EVALUACIÓN'!O243=0,0,TEXT('SEGUIMIENTO Y EVALUACIÓN'!O243,"##.###")))</f>
        <v/>
      </c>
      <c r="Q243" s="209" t="str">
        <f>IF(FORMULACIÓN!R243&lt;&gt;"",FORMULACIÓN!R243,"")</f>
        <v/>
      </c>
      <c r="R243" s="209" t="str">
        <f>IF(FORMULACIÓN!S243&lt;&gt;"",FORMULACIÓN!S243,"")</f>
        <v/>
      </c>
      <c r="S243" s="209" t="str">
        <f>IF(FORMULACIÓN!T243&lt;&gt;"",FORMULACIÓN!T243,"")</f>
        <v/>
      </c>
      <c r="T243" s="42"/>
      <c r="U243" s="42"/>
      <c r="V243" s="42"/>
      <c r="W243" s="43" t="str">
        <f t="shared" si="27"/>
        <v/>
      </c>
      <c r="X243" s="42"/>
      <c r="Y243" s="42"/>
      <c r="Z243" s="42"/>
      <c r="AA243" s="43" t="str">
        <f t="shared" si="28"/>
        <v/>
      </c>
      <c r="AB243" s="42"/>
      <c r="AC243" s="42"/>
      <c r="AD243" s="42"/>
      <c r="AE243" s="43" t="str">
        <f t="shared" si="29"/>
        <v/>
      </c>
      <c r="AF243" s="42"/>
      <c r="AG243" s="42"/>
      <c r="AH243" s="42"/>
      <c r="AI243" s="46" t="str">
        <f t="shared" si="30"/>
        <v/>
      </c>
      <c r="AJ243" s="46" t="str">
        <f>IF(SUM(AA243,AE243,W243,AI243)=0,"",SUM((AA243,AE243,W243,AI243)))</f>
        <v/>
      </c>
      <c r="AK243" s="2"/>
      <c r="AL243" s="1" t="str">
        <f t="shared" si="31"/>
        <v/>
      </c>
      <c r="AM243" s="56" t="str">
        <f t="shared" si="33"/>
        <v/>
      </c>
      <c r="AN243" s="112" t="str">
        <f ca="1">IF($G243=Lists!$R$3,"T1: "&amp;TEXT(FORMULACIÓN!L243,"00,00%")&amp;CHAR(10)&amp;"T2: "&amp;TEXT(FORMULACIÓN!M243,"00,00%")&amp;CHAR(10)&amp;"T3: "&amp;TEXT(FORMULACIÓN!N243,"00,00%")&amp;CHAR(10)&amp;"Tn: "&amp;TEXT(FORMULACIÓN!O243,"00,00%"),IF(FORMULACIÓN!Q243=0,0,"T1: "&amp;TEXT(FORMULACIÓN!L243,"##.###")&amp;CHAR(10)&amp;"T2: "&amp;TEXT(FORMULACIÓN!M243,"##.###")&amp;CHAR(10)&amp;"T3: "&amp;TEXT(FORMULACIÓN!N243,"##.###")&amp;CHAR(10)&amp;"Tn: "&amp;TEXT(FORMULACIÓN!O243,"##.###")))</f>
        <v xml:space="preserve">T1: 
T2: 
T3: 
Tn: </v>
      </c>
      <c r="AO243" s="117" t="str">
        <f>IFERROR(IF($H243=Lists!$S$6,IF(AND(FORMULACIÓN!L243&gt;K243,K243&gt;0),1,0),IF((K243/FORMULACIÓN!L243)&lt;&gt;0,K243/FORMULACIÓN!L243,0)),"")</f>
        <v/>
      </c>
      <c r="AP243" s="117" t="str">
        <f>IFERROR(IF($H243=Lists!$S$6,IF(AND(FORMULACIÓN!M243&gt;L243,L243&gt;0),1,0),IF((L243/FORMULACIÓN!M243)&lt;&gt;0,L243/FORMULACIÓN!M243,0)),"")</f>
        <v/>
      </c>
      <c r="AQ243" s="117" t="str">
        <f>IFERROR(IF($H243=Lists!$S$6,IF(AND(FORMULACIÓN!N243&gt;M243,M243&gt;0),1,0),IF((M243/FORMULACIÓN!N243)&lt;&gt;0,M243/FORMULACIÓN!N243,0)),"")</f>
        <v/>
      </c>
      <c r="AR243" s="117" t="str">
        <f>IFERROR(IF($H243=Lists!$S$6,IF(AND(FORMULACIÓN!O243&gt;N243,N243&gt;0),1,0),IF((N243/FORMULACIÓN!O243)&lt;&gt;0,N243/FORMULACIÓN!O243,0)),"")</f>
        <v/>
      </c>
      <c r="AS243" s="110"/>
      <c r="AT243" s="118" t="str">
        <f ca="1">IF($H243=Lists!$S$6,TEXT(COUNTIF('SEGUIMIENTO Y EVALUACIÓN'!K243:N243,"&lt;"&amp;FORMULACIÓN!Q243),"##.###")&amp;" / "&amp;TEXT(COUNTIF('SEGUIMIENTO Y EVALUACIÓN'!K243:N243,"&gt;"&amp;0),"##.###"),IF($G243=Lists!$R$3,TEXT('SEGUIMIENTO Y EVALUACIÓN'!O243,"00,00%")&amp;" / "&amp;TEXT(FORMULACIÓN!P243,"00,00%"),IF('SEGUIMIENTO Y EVALUACIÓN'!O243=0,0,TEXT('SEGUIMIENTO Y EVALUACIÓN'!O243,"##.###")&amp;" / "&amp;TEXT(FORMULACIÓN!P243,"##.###"))))</f>
        <v xml:space="preserve"> / </v>
      </c>
      <c r="AU243" s="57">
        <f ca="1">IFERROR(IF((P243/FORMULACIÓN!Q243)&lt;&gt;0,IF($H243=Lists!$S$6,COUNTIF('SEGUIMIENTO Y EVALUACIÓN'!K243:N243,"&lt;"&amp;FORMULACIÓN!Q243),'SEGUIMIENTO Y EVALUACIÓN'!P243)/IF($H243=Lists!$S$6,COUNTIF('SEGUIMIENTO Y EVALUACIÓN'!K243:N243,"&gt;"&amp;0),FORMULACIÓN!P243),0),0)</f>
        <v>0</v>
      </c>
      <c r="AV243" s="93" t="str">
        <f t="shared" ca="1" si="32"/>
        <v/>
      </c>
      <c r="AW243" s="93" cm="1">
        <f t="array" ref="AW243">IF(INDEX(AO243:AU243,1,$AV$3)&gt;1,1,INDEX(AO243:AU243,1,$AV$3))</f>
        <v>1</v>
      </c>
      <c r="AX243" s="3"/>
      <c r="AY243" s="119" t="str">
        <f>IFERROR(IF((W243/FORMULACIÓN!X243)&lt;&gt;0,W243/FORMULACIÓN!X243,0),"")</f>
        <v/>
      </c>
      <c r="AZ243" s="119" t="str">
        <f>IFERROR(IF((AA243/FORMULACIÓN!AB243)&lt;&gt;0,AA243/FORMULACIÓN!AB243,0),"")</f>
        <v/>
      </c>
      <c r="BA243" s="119" t="str">
        <f>IFERROR(IF((AE243/FORMULACIÓN!AF243)&lt;&gt;0,(AE243/FORMULACIÓN!AF243),0),"")</f>
        <v/>
      </c>
      <c r="BB243" s="119" t="str">
        <f>IFERROR(IF((AI243/FORMULACIÓN!AJ243)&lt;&gt;0,AI243/FORMULACIÓN!AJ243,0),"")</f>
        <v/>
      </c>
      <c r="BC243" s="120" t="str">
        <f>IF('SEGUIMIENTO Y EVALUACIÓN'!AI243=0,0,TEXT('SEGUIMIENTO Y EVALUACIÓN'!AI243,"$ ##.###")&amp;" / "&amp;TEXT(FORMULACIÓN!AK243,"$ ##.###"))</f>
        <v xml:space="preserve"> / </v>
      </c>
      <c r="BD243" s="57">
        <f>IFERROR(IF((AJ243/FORMULACIÓN!AK243)&lt;&gt;0,AJ243/FORMULACIÓN!AK243,0),0)</f>
        <v>0</v>
      </c>
      <c r="CL243" s="7"/>
    </row>
    <row r="244" spans="1:90" s="1" customFormat="1" ht="99.95" customHeight="1">
      <c r="A244" s="45" t="str">
        <f>IF(FORMULACIÓN!A244="","",FORMULACIÓN!A244)</f>
        <v/>
      </c>
      <c r="B244" s="45" t="str">
        <f>IF(FORMULACIÓN!B244="","",FORMULACIÓN!B244)</f>
        <v/>
      </c>
      <c r="C244" s="45" t="str">
        <f>IF(FORMULACIÓN!E244="","",FORMULACIÓN!E244)</f>
        <v/>
      </c>
      <c r="D244" s="45" t="str">
        <f>IF(FORMULACIÓN!F244="","",FORMULACIÓN!F244)</f>
        <v/>
      </c>
      <c r="E244" s="45" t="str">
        <f>IF(FORMULACIÓN!G244="","",FORMULACIÓN!G244)</f>
        <v/>
      </c>
      <c r="F244" s="45" t="str">
        <f>IF(FORMULACIÓN!H244="","",FORMULACIÓN!H244)</f>
        <v/>
      </c>
      <c r="G244" s="45" t="str">
        <f>IF(FORMULACIÓN!I244="","",FORMULACIÓN!I244)</f>
        <v/>
      </c>
      <c r="H244" s="45" t="str">
        <f>IF(FORMULACIÓN!J244="","",FORMULACIÓN!J244)</f>
        <v/>
      </c>
      <c r="I244" s="188" t="str">
        <f ca="1">IF($G244=Lists!$R$3,"PDI: "&amp;TEXT(FORMULACIÓN!Q244,"00,00%")&amp;CHAR(10)&amp;CHAR(10)&amp;"T1: "&amp;TEXT(FORMULACIÓN!L244,"00,00%")&amp;CHAR(10)&amp;"T2: "&amp;TEXT(FORMULACIÓN!M244,"00,00%")&amp;CHAR(10)&amp;"T3: "&amp;TEXT(FORMULACIÓN!N244,"00,00%")&amp;CHAR(10)&amp;"Tn: "&amp;TEXT(FORMULACIÓN!O244,"00,00%"),IF(FORMULACIÓN!Q244=0,0,"PDI: "&amp;TEXT(FORMULACIÓN!Q244,"##.###")&amp;CHAR(10)&amp;CHAR(10)&amp;"T1: "&amp;TEXT(FORMULACIÓN!L244,"##.###")&amp;CHAR(10)&amp;"T2: "&amp;TEXT(FORMULACIÓN!M244,"##.###")&amp;CHAR(10)&amp;"T3: "&amp;TEXT(FORMULACIÓN!N244,"##.###")&amp;CHAR(10)&amp;"Tn: "&amp;TEXT(FORMULACIÓN!O244,"##.###")))</f>
        <v xml:space="preserve">PDI: 
T1: 
T2: 
T3: 
Tn: </v>
      </c>
      <c r="J244" s="122" t="str">
        <f>IF(FORMULACIÓN!K244&lt;&gt;"",FORMULACIÓN!K244,"")</f>
        <v/>
      </c>
      <c r="K244" s="58"/>
      <c r="L244" s="58"/>
      <c r="M244" s="58"/>
      <c r="N244" s="58"/>
      <c r="O244" s="47" t="str">
        <f ca="1">IFERROR(IF($H244=Lists!$S$2,SUM('SEGUIMIENTO Y EVALUACIÓN'!J244:N244),IF('SEGUIMIENTO Y EVALUACIÓN'!$H244=Lists!$S$3,SUM('SEGUIMIENTO Y EVALUACIÓN'!K244:N244),IF('SEGUIMIENTO Y EVALUACIÓN'!$H244=Lists!$S$4,AVERAGE('SEGUIMIENTO Y EVALUACIÓN'!K244:N244),IF('SEGUIMIENTO Y EVALUACIÓN'!$H244=Lists!$S$5,OFFSET(J244,0,COUNTA(K244:N244)),IF($H244=Lists!$S$6,COUNTIF(K244:N244,"&lt;"&amp;FORMULACIÓN!Q244)/COUNT('SEGUIMIENTO Y EVALUACIÓN'!K244:N244),""))))),"")</f>
        <v/>
      </c>
      <c r="P244" s="51" t="str">
        <f ca="1">IF($G244=Lists!$R$3,TEXT('SEGUIMIENTO Y EVALUACIÓN'!O244,"00,00%"),IF('SEGUIMIENTO Y EVALUACIÓN'!O244=0,0,TEXT('SEGUIMIENTO Y EVALUACIÓN'!O244,"##.###")))</f>
        <v/>
      </c>
      <c r="Q244" s="209" t="str">
        <f>IF(FORMULACIÓN!R244&lt;&gt;"",FORMULACIÓN!R244,"")</f>
        <v/>
      </c>
      <c r="R244" s="209" t="str">
        <f>IF(FORMULACIÓN!S244&lt;&gt;"",FORMULACIÓN!S244,"")</f>
        <v/>
      </c>
      <c r="S244" s="209" t="str">
        <f>IF(FORMULACIÓN!T244&lt;&gt;"",FORMULACIÓN!T244,"")</f>
        <v/>
      </c>
      <c r="T244" s="42"/>
      <c r="U244" s="42"/>
      <c r="V244" s="42"/>
      <c r="W244" s="43" t="str">
        <f t="shared" si="27"/>
        <v/>
      </c>
      <c r="X244" s="42"/>
      <c r="Y244" s="42"/>
      <c r="Z244" s="42"/>
      <c r="AA244" s="43" t="str">
        <f t="shared" si="28"/>
        <v/>
      </c>
      <c r="AB244" s="42"/>
      <c r="AC244" s="42"/>
      <c r="AD244" s="42"/>
      <c r="AE244" s="43" t="str">
        <f t="shared" si="29"/>
        <v/>
      </c>
      <c r="AF244" s="42"/>
      <c r="AG244" s="42"/>
      <c r="AH244" s="42"/>
      <c r="AI244" s="46" t="str">
        <f t="shared" si="30"/>
        <v/>
      </c>
      <c r="AJ244" s="46" t="str">
        <f>IF(SUM(AA244,AE244,W244,AI244)=0,"",SUM((AA244,AE244,W244,AI244)))</f>
        <v/>
      </c>
      <c r="AK244" s="2"/>
      <c r="AL244" s="1" t="str">
        <f t="shared" si="31"/>
        <v/>
      </c>
      <c r="AM244" s="56" t="str">
        <f t="shared" si="33"/>
        <v/>
      </c>
      <c r="AN244" s="112" t="str">
        <f ca="1">IF($G244=Lists!$R$3,"T1: "&amp;TEXT(FORMULACIÓN!L244,"00,00%")&amp;CHAR(10)&amp;"T2: "&amp;TEXT(FORMULACIÓN!M244,"00,00%")&amp;CHAR(10)&amp;"T3: "&amp;TEXT(FORMULACIÓN!N244,"00,00%")&amp;CHAR(10)&amp;"Tn: "&amp;TEXT(FORMULACIÓN!O244,"00,00%"),IF(FORMULACIÓN!Q244=0,0,"T1: "&amp;TEXT(FORMULACIÓN!L244,"##.###")&amp;CHAR(10)&amp;"T2: "&amp;TEXT(FORMULACIÓN!M244,"##.###")&amp;CHAR(10)&amp;"T3: "&amp;TEXT(FORMULACIÓN!N244,"##.###")&amp;CHAR(10)&amp;"Tn: "&amp;TEXT(FORMULACIÓN!O244,"##.###")))</f>
        <v xml:space="preserve">T1: 
T2: 
T3: 
Tn: </v>
      </c>
      <c r="AO244" s="117" t="str">
        <f>IFERROR(IF($H244=Lists!$S$6,IF(AND(FORMULACIÓN!L244&gt;K244,K244&gt;0),1,0),IF((K244/FORMULACIÓN!L244)&lt;&gt;0,K244/FORMULACIÓN!L244,0)),"")</f>
        <v/>
      </c>
      <c r="AP244" s="117" t="str">
        <f>IFERROR(IF($H244=Lists!$S$6,IF(AND(FORMULACIÓN!M244&gt;L244,L244&gt;0),1,0),IF((L244/FORMULACIÓN!M244)&lt;&gt;0,L244/FORMULACIÓN!M244,0)),"")</f>
        <v/>
      </c>
      <c r="AQ244" s="117" t="str">
        <f>IFERROR(IF($H244=Lists!$S$6,IF(AND(FORMULACIÓN!N244&gt;M244,M244&gt;0),1,0),IF((M244/FORMULACIÓN!N244)&lt;&gt;0,M244/FORMULACIÓN!N244,0)),"")</f>
        <v/>
      </c>
      <c r="AR244" s="117" t="str">
        <f>IFERROR(IF($H244=Lists!$S$6,IF(AND(FORMULACIÓN!O244&gt;N244,N244&gt;0),1,0),IF((N244/FORMULACIÓN!O244)&lt;&gt;0,N244/FORMULACIÓN!O244,0)),"")</f>
        <v/>
      </c>
      <c r="AS244" s="110"/>
      <c r="AT244" s="118" t="str">
        <f ca="1">IF($H244=Lists!$S$6,TEXT(COUNTIF('SEGUIMIENTO Y EVALUACIÓN'!K244:N244,"&lt;"&amp;FORMULACIÓN!Q244),"##.###")&amp;" / "&amp;TEXT(COUNTIF('SEGUIMIENTO Y EVALUACIÓN'!K244:N244,"&gt;"&amp;0),"##.###"),IF($G244=Lists!$R$3,TEXT('SEGUIMIENTO Y EVALUACIÓN'!O244,"00,00%")&amp;" / "&amp;TEXT(FORMULACIÓN!P244,"00,00%"),IF('SEGUIMIENTO Y EVALUACIÓN'!O244=0,0,TEXT('SEGUIMIENTO Y EVALUACIÓN'!O244,"##.###")&amp;" / "&amp;TEXT(FORMULACIÓN!P244,"##.###"))))</f>
        <v xml:space="preserve"> / </v>
      </c>
      <c r="AU244" s="57">
        <f ca="1">IFERROR(IF((P244/FORMULACIÓN!Q244)&lt;&gt;0,IF($H244=Lists!$S$6,COUNTIF('SEGUIMIENTO Y EVALUACIÓN'!K244:N244,"&lt;"&amp;FORMULACIÓN!Q244),'SEGUIMIENTO Y EVALUACIÓN'!P244)/IF($H244=Lists!$S$6,COUNTIF('SEGUIMIENTO Y EVALUACIÓN'!K244:N244,"&gt;"&amp;0),FORMULACIÓN!P244),0),0)</f>
        <v>0</v>
      </c>
      <c r="AV244" s="93" t="str">
        <f t="shared" ca="1" si="32"/>
        <v/>
      </c>
      <c r="AW244" s="93" cm="1">
        <f t="array" ref="AW244">IF(INDEX(AO244:AU244,1,$AV$3)&gt;1,1,INDEX(AO244:AU244,1,$AV$3))</f>
        <v>1</v>
      </c>
      <c r="AX244" s="3"/>
      <c r="AY244" s="119" t="str">
        <f>IFERROR(IF((W244/FORMULACIÓN!X244)&lt;&gt;0,W244/FORMULACIÓN!X244,0),"")</f>
        <v/>
      </c>
      <c r="AZ244" s="119" t="str">
        <f>IFERROR(IF((AA244/FORMULACIÓN!AB244)&lt;&gt;0,AA244/FORMULACIÓN!AB244,0),"")</f>
        <v/>
      </c>
      <c r="BA244" s="119" t="str">
        <f>IFERROR(IF((AE244/FORMULACIÓN!AF244)&lt;&gt;0,(AE244/FORMULACIÓN!AF244),0),"")</f>
        <v/>
      </c>
      <c r="BB244" s="119" t="str">
        <f>IFERROR(IF((AI244/FORMULACIÓN!AJ244)&lt;&gt;0,AI244/FORMULACIÓN!AJ244,0),"")</f>
        <v/>
      </c>
      <c r="BC244" s="120" t="str">
        <f>IF('SEGUIMIENTO Y EVALUACIÓN'!AI244=0,0,TEXT('SEGUIMIENTO Y EVALUACIÓN'!AI244,"$ ##.###")&amp;" / "&amp;TEXT(FORMULACIÓN!AK244,"$ ##.###"))</f>
        <v xml:space="preserve"> / </v>
      </c>
      <c r="BD244" s="57">
        <f>IFERROR(IF((AJ244/FORMULACIÓN!AK244)&lt;&gt;0,AJ244/FORMULACIÓN!AK244,0),0)</f>
        <v>0</v>
      </c>
      <c r="CL244" s="7"/>
    </row>
    <row r="245" spans="1:90" s="1" customFormat="1" ht="99.95" customHeight="1">
      <c r="A245" s="45" t="str">
        <f>IF(FORMULACIÓN!A245="","",FORMULACIÓN!A245)</f>
        <v/>
      </c>
      <c r="B245" s="45" t="str">
        <f>IF(FORMULACIÓN!B245="","",FORMULACIÓN!B245)</f>
        <v/>
      </c>
      <c r="C245" s="45" t="str">
        <f>IF(FORMULACIÓN!E245="","",FORMULACIÓN!E245)</f>
        <v/>
      </c>
      <c r="D245" s="45" t="str">
        <f>IF(FORMULACIÓN!F245="","",FORMULACIÓN!F245)</f>
        <v/>
      </c>
      <c r="E245" s="45" t="str">
        <f>IF(FORMULACIÓN!G245="","",FORMULACIÓN!G245)</f>
        <v/>
      </c>
      <c r="F245" s="45" t="str">
        <f>IF(FORMULACIÓN!H245="","",FORMULACIÓN!H245)</f>
        <v/>
      </c>
      <c r="G245" s="45" t="str">
        <f>IF(FORMULACIÓN!I245="","",FORMULACIÓN!I245)</f>
        <v/>
      </c>
      <c r="H245" s="45" t="str">
        <f>IF(FORMULACIÓN!J245="","",FORMULACIÓN!J245)</f>
        <v/>
      </c>
      <c r="I245" s="188" t="str">
        <f ca="1">IF($G245=Lists!$R$3,"PDI: "&amp;TEXT(FORMULACIÓN!Q245,"00,00%")&amp;CHAR(10)&amp;CHAR(10)&amp;"T1: "&amp;TEXT(FORMULACIÓN!L245,"00,00%")&amp;CHAR(10)&amp;"T2: "&amp;TEXT(FORMULACIÓN!M245,"00,00%")&amp;CHAR(10)&amp;"T3: "&amp;TEXT(FORMULACIÓN!N245,"00,00%")&amp;CHAR(10)&amp;"Tn: "&amp;TEXT(FORMULACIÓN!O245,"00,00%"),IF(FORMULACIÓN!Q245=0,0,"PDI: "&amp;TEXT(FORMULACIÓN!Q245,"##.###")&amp;CHAR(10)&amp;CHAR(10)&amp;"T1: "&amp;TEXT(FORMULACIÓN!L245,"##.###")&amp;CHAR(10)&amp;"T2: "&amp;TEXT(FORMULACIÓN!M245,"##.###")&amp;CHAR(10)&amp;"T3: "&amp;TEXT(FORMULACIÓN!N245,"##.###")&amp;CHAR(10)&amp;"Tn: "&amp;TEXT(FORMULACIÓN!O245,"##.###")))</f>
        <v xml:space="preserve">PDI: 
T1: 
T2: 
T3: 
Tn: </v>
      </c>
      <c r="J245" s="122" t="str">
        <f>IF(FORMULACIÓN!K245&lt;&gt;"",FORMULACIÓN!K245,"")</f>
        <v/>
      </c>
      <c r="K245" s="58"/>
      <c r="L245" s="58"/>
      <c r="M245" s="58"/>
      <c r="N245" s="58"/>
      <c r="O245" s="47" t="str">
        <f ca="1">IFERROR(IF($H245=Lists!$S$2,SUM('SEGUIMIENTO Y EVALUACIÓN'!J245:N245),IF('SEGUIMIENTO Y EVALUACIÓN'!$H245=Lists!$S$3,SUM('SEGUIMIENTO Y EVALUACIÓN'!K245:N245),IF('SEGUIMIENTO Y EVALUACIÓN'!$H245=Lists!$S$4,AVERAGE('SEGUIMIENTO Y EVALUACIÓN'!K245:N245),IF('SEGUIMIENTO Y EVALUACIÓN'!$H245=Lists!$S$5,OFFSET(J245,0,COUNTA(K245:N245)),IF($H245=Lists!$S$6,COUNTIF(K245:N245,"&lt;"&amp;FORMULACIÓN!Q245)/COUNT('SEGUIMIENTO Y EVALUACIÓN'!K245:N245),""))))),"")</f>
        <v/>
      </c>
      <c r="P245" s="51" t="str">
        <f ca="1">IF($G245=Lists!$R$3,TEXT('SEGUIMIENTO Y EVALUACIÓN'!O245,"00,00%"),IF('SEGUIMIENTO Y EVALUACIÓN'!O245=0,0,TEXT('SEGUIMIENTO Y EVALUACIÓN'!O245,"##.###")))</f>
        <v/>
      </c>
      <c r="Q245" s="209" t="str">
        <f>IF(FORMULACIÓN!R245&lt;&gt;"",FORMULACIÓN!R245,"")</f>
        <v/>
      </c>
      <c r="R245" s="209" t="str">
        <f>IF(FORMULACIÓN!S245&lt;&gt;"",FORMULACIÓN!S245,"")</f>
        <v/>
      </c>
      <c r="S245" s="209" t="str">
        <f>IF(FORMULACIÓN!T245&lt;&gt;"",FORMULACIÓN!T245,"")</f>
        <v/>
      </c>
      <c r="T245" s="42"/>
      <c r="U245" s="42"/>
      <c r="V245" s="42"/>
      <c r="W245" s="43" t="str">
        <f t="shared" si="27"/>
        <v/>
      </c>
      <c r="X245" s="42"/>
      <c r="Y245" s="42"/>
      <c r="Z245" s="42"/>
      <c r="AA245" s="43" t="str">
        <f t="shared" si="28"/>
        <v/>
      </c>
      <c r="AB245" s="42"/>
      <c r="AC245" s="42"/>
      <c r="AD245" s="42"/>
      <c r="AE245" s="43" t="str">
        <f t="shared" si="29"/>
        <v/>
      </c>
      <c r="AF245" s="42"/>
      <c r="AG245" s="42"/>
      <c r="AH245" s="42"/>
      <c r="AI245" s="46" t="str">
        <f t="shared" si="30"/>
        <v/>
      </c>
      <c r="AJ245" s="46" t="str">
        <f>IF(SUM(AA245,AE245,W245,AI245)=0,"",SUM((AA245,AE245,W245,AI245)))</f>
        <v/>
      </c>
      <c r="AK245" s="2"/>
      <c r="AL245" s="1" t="str">
        <f t="shared" si="31"/>
        <v/>
      </c>
      <c r="AM245" s="56" t="str">
        <f t="shared" si="33"/>
        <v/>
      </c>
      <c r="AN245" s="112" t="str">
        <f ca="1">IF($G245=Lists!$R$3,"T1: "&amp;TEXT(FORMULACIÓN!L245,"00,00%")&amp;CHAR(10)&amp;"T2: "&amp;TEXT(FORMULACIÓN!M245,"00,00%")&amp;CHAR(10)&amp;"T3: "&amp;TEXT(FORMULACIÓN!N245,"00,00%")&amp;CHAR(10)&amp;"Tn: "&amp;TEXT(FORMULACIÓN!O245,"00,00%"),IF(FORMULACIÓN!Q245=0,0,"T1: "&amp;TEXT(FORMULACIÓN!L245,"##.###")&amp;CHAR(10)&amp;"T2: "&amp;TEXT(FORMULACIÓN!M245,"##.###")&amp;CHAR(10)&amp;"T3: "&amp;TEXT(FORMULACIÓN!N245,"##.###")&amp;CHAR(10)&amp;"Tn: "&amp;TEXT(FORMULACIÓN!O245,"##.###")))</f>
        <v xml:space="preserve">T1: 
T2: 
T3: 
Tn: </v>
      </c>
      <c r="AO245" s="117" t="str">
        <f>IFERROR(IF($H245=Lists!$S$6,IF(AND(FORMULACIÓN!L245&gt;K245,K245&gt;0),1,0),IF((K245/FORMULACIÓN!L245)&lt;&gt;0,K245/FORMULACIÓN!L245,0)),"")</f>
        <v/>
      </c>
      <c r="AP245" s="117" t="str">
        <f>IFERROR(IF($H245=Lists!$S$6,IF(AND(FORMULACIÓN!M245&gt;L245,L245&gt;0),1,0),IF((L245/FORMULACIÓN!M245)&lt;&gt;0,L245/FORMULACIÓN!M245,0)),"")</f>
        <v/>
      </c>
      <c r="AQ245" s="117" t="str">
        <f>IFERROR(IF($H245=Lists!$S$6,IF(AND(FORMULACIÓN!N245&gt;M245,M245&gt;0),1,0),IF((M245/FORMULACIÓN!N245)&lt;&gt;0,M245/FORMULACIÓN!N245,0)),"")</f>
        <v/>
      </c>
      <c r="AR245" s="117" t="str">
        <f>IFERROR(IF($H245=Lists!$S$6,IF(AND(FORMULACIÓN!O245&gt;N245,N245&gt;0),1,0),IF((N245/FORMULACIÓN!O245)&lt;&gt;0,N245/FORMULACIÓN!O245,0)),"")</f>
        <v/>
      </c>
      <c r="AS245" s="110"/>
      <c r="AT245" s="118" t="str">
        <f ca="1">IF($H245=Lists!$S$6,TEXT(COUNTIF('SEGUIMIENTO Y EVALUACIÓN'!K245:N245,"&lt;"&amp;FORMULACIÓN!Q245),"##.###")&amp;" / "&amp;TEXT(COUNTIF('SEGUIMIENTO Y EVALUACIÓN'!K245:N245,"&gt;"&amp;0),"##.###"),IF($G245=Lists!$R$3,TEXT('SEGUIMIENTO Y EVALUACIÓN'!O245,"00,00%")&amp;" / "&amp;TEXT(FORMULACIÓN!P245,"00,00%"),IF('SEGUIMIENTO Y EVALUACIÓN'!O245=0,0,TEXT('SEGUIMIENTO Y EVALUACIÓN'!O245,"##.###")&amp;" / "&amp;TEXT(FORMULACIÓN!P245,"##.###"))))</f>
        <v xml:space="preserve"> / </v>
      </c>
      <c r="AU245" s="57">
        <f ca="1">IFERROR(IF((P245/FORMULACIÓN!Q245)&lt;&gt;0,IF($H245=Lists!$S$6,COUNTIF('SEGUIMIENTO Y EVALUACIÓN'!K245:N245,"&lt;"&amp;FORMULACIÓN!Q245),'SEGUIMIENTO Y EVALUACIÓN'!P245)/IF($H245=Lists!$S$6,COUNTIF('SEGUIMIENTO Y EVALUACIÓN'!K245:N245,"&gt;"&amp;0),FORMULACIÓN!P245),0),0)</f>
        <v>0</v>
      </c>
      <c r="AV245" s="93" t="str">
        <f t="shared" ca="1" si="32"/>
        <v/>
      </c>
      <c r="AW245" s="93" cm="1">
        <f t="array" ref="AW245">IF(INDEX(AO245:AU245,1,$AV$3)&gt;1,1,INDEX(AO245:AU245,1,$AV$3))</f>
        <v>1</v>
      </c>
      <c r="AX245" s="3"/>
      <c r="AY245" s="119" t="str">
        <f>IFERROR(IF((W245/FORMULACIÓN!X245)&lt;&gt;0,W245/FORMULACIÓN!X245,0),"")</f>
        <v/>
      </c>
      <c r="AZ245" s="119" t="str">
        <f>IFERROR(IF((AA245/FORMULACIÓN!AB245)&lt;&gt;0,AA245/FORMULACIÓN!AB245,0),"")</f>
        <v/>
      </c>
      <c r="BA245" s="119" t="str">
        <f>IFERROR(IF((AE245/FORMULACIÓN!AF245)&lt;&gt;0,(AE245/FORMULACIÓN!AF245),0),"")</f>
        <v/>
      </c>
      <c r="BB245" s="119" t="str">
        <f>IFERROR(IF((AI245/FORMULACIÓN!AJ245)&lt;&gt;0,AI245/FORMULACIÓN!AJ245,0),"")</f>
        <v/>
      </c>
      <c r="BC245" s="120" t="str">
        <f>IF('SEGUIMIENTO Y EVALUACIÓN'!AI245=0,0,TEXT('SEGUIMIENTO Y EVALUACIÓN'!AI245,"$ ##.###")&amp;" / "&amp;TEXT(FORMULACIÓN!AK245,"$ ##.###"))</f>
        <v xml:space="preserve"> / </v>
      </c>
      <c r="BD245" s="57">
        <f>IFERROR(IF((AJ245/FORMULACIÓN!AK245)&lt;&gt;0,AJ245/FORMULACIÓN!AK245,0),0)</f>
        <v>0</v>
      </c>
      <c r="CL245" s="7"/>
    </row>
    <row r="246" spans="1:90" s="1" customFormat="1" ht="99.95" customHeight="1">
      <c r="A246" s="45" t="str">
        <f>IF(FORMULACIÓN!A246="","",FORMULACIÓN!A246)</f>
        <v/>
      </c>
      <c r="B246" s="45" t="str">
        <f>IF(FORMULACIÓN!B246="","",FORMULACIÓN!B246)</f>
        <v/>
      </c>
      <c r="C246" s="45" t="str">
        <f>IF(FORMULACIÓN!E246="","",FORMULACIÓN!E246)</f>
        <v/>
      </c>
      <c r="D246" s="45" t="str">
        <f>IF(FORMULACIÓN!F246="","",FORMULACIÓN!F246)</f>
        <v/>
      </c>
      <c r="E246" s="45" t="str">
        <f>IF(FORMULACIÓN!G246="","",FORMULACIÓN!G246)</f>
        <v/>
      </c>
      <c r="F246" s="45" t="str">
        <f>IF(FORMULACIÓN!H246="","",FORMULACIÓN!H246)</f>
        <v/>
      </c>
      <c r="G246" s="45" t="str">
        <f>IF(FORMULACIÓN!I246="","",FORMULACIÓN!I246)</f>
        <v/>
      </c>
      <c r="H246" s="45" t="str">
        <f>IF(FORMULACIÓN!J246="","",FORMULACIÓN!J246)</f>
        <v/>
      </c>
      <c r="I246" s="188" t="str">
        <f ca="1">IF($G246=Lists!$R$3,"PDI: "&amp;TEXT(FORMULACIÓN!Q246,"00,00%")&amp;CHAR(10)&amp;CHAR(10)&amp;"T1: "&amp;TEXT(FORMULACIÓN!L246,"00,00%")&amp;CHAR(10)&amp;"T2: "&amp;TEXT(FORMULACIÓN!M246,"00,00%")&amp;CHAR(10)&amp;"T3: "&amp;TEXT(FORMULACIÓN!N246,"00,00%")&amp;CHAR(10)&amp;"Tn: "&amp;TEXT(FORMULACIÓN!O246,"00,00%"),IF(FORMULACIÓN!Q246=0,0,"PDI: "&amp;TEXT(FORMULACIÓN!Q246,"##.###")&amp;CHAR(10)&amp;CHAR(10)&amp;"T1: "&amp;TEXT(FORMULACIÓN!L246,"##.###")&amp;CHAR(10)&amp;"T2: "&amp;TEXT(FORMULACIÓN!M246,"##.###")&amp;CHAR(10)&amp;"T3: "&amp;TEXT(FORMULACIÓN!N246,"##.###")&amp;CHAR(10)&amp;"Tn: "&amp;TEXT(FORMULACIÓN!O246,"##.###")))</f>
        <v xml:space="preserve">PDI: 
T1: 
T2: 
T3: 
Tn: </v>
      </c>
      <c r="J246" s="122" t="str">
        <f>IF(FORMULACIÓN!K246&lt;&gt;"",FORMULACIÓN!K246,"")</f>
        <v/>
      </c>
      <c r="K246" s="58"/>
      <c r="L246" s="58"/>
      <c r="M246" s="58"/>
      <c r="N246" s="58"/>
      <c r="O246" s="47" t="str">
        <f ca="1">IFERROR(IF($H246=Lists!$S$2,SUM('SEGUIMIENTO Y EVALUACIÓN'!J246:N246),IF('SEGUIMIENTO Y EVALUACIÓN'!$H246=Lists!$S$3,SUM('SEGUIMIENTO Y EVALUACIÓN'!K246:N246),IF('SEGUIMIENTO Y EVALUACIÓN'!$H246=Lists!$S$4,AVERAGE('SEGUIMIENTO Y EVALUACIÓN'!K246:N246),IF('SEGUIMIENTO Y EVALUACIÓN'!$H246=Lists!$S$5,OFFSET(J246,0,COUNTA(K246:N246)),IF($H246=Lists!$S$6,COUNTIF(K246:N246,"&lt;"&amp;FORMULACIÓN!Q246)/COUNT('SEGUIMIENTO Y EVALUACIÓN'!K246:N246),""))))),"")</f>
        <v/>
      </c>
      <c r="P246" s="51" t="str">
        <f ca="1">IF($G246=Lists!$R$3,TEXT('SEGUIMIENTO Y EVALUACIÓN'!O246,"00,00%"),IF('SEGUIMIENTO Y EVALUACIÓN'!O246=0,0,TEXT('SEGUIMIENTO Y EVALUACIÓN'!O246,"##.###")))</f>
        <v/>
      </c>
      <c r="Q246" s="209" t="str">
        <f>IF(FORMULACIÓN!R246&lt;&gt;"",FORMULACIÓN!R246,"")</f>
        <v/>
      </c>
      <c r="R246" s="209" t="str">
        <f>IF(FORMULACIÓN!S246&lt;&gt;"",FORMULACIÓN!S246,"")</f>
        <v/>
      </c>
      <c r="S246" s="209" t="str">
        <f>IF(FORMULACIÓN!T246&lt;&gt;"",FORMULACIÓN!T246,"")</f>
        <v/>
      </c>
      <c r="T246" s="42"/>
      <c r="U246" s="42"/>
      <c r="V246" s="42"/>
      <c r="W246" s="43" t="str">
        <f t="shared" si="27"/>
        <v/>
      </c>
      <c r="X246" s="42"/>
      <c r="Y246" s="42"/>
      <c r="Z246" s="42"/>
      <c r="AA246" s="43" t="str">
        <f t="shared" si="28"/>
        <v/>
      </c>
      <c r="AB246" s="42"/>
      <c r="AC246" s="42"/>
      <c r="AD246" s="42"/>
      <c r="AE246" s="43" t="str">
        <f t="shared" si="29"/>
        <v/>
      </c>
      <c r="AF246" s="42"/>
      <c r="AG246" s="42"/>
      <c r="AH246" s="42"/>
      <c r="AI246" s="46" t="str">
        <f t="shared" si="30"/>
        <v/>
      </c>
      <c r="AJ246" s="46" t="str">
        <f>IF(SUM(AA246,AE246,W246,AI246)=0,"",SUM((AA246,AE246,W246,AI246)))</f>
        <v/>
      </c>
      <c r="AK246" s="2"/>
      <c r="AL246" s="1" t="str">
        <f t="shared" si="31"/>
        <v/>
      </c>
      <c r="AM246" s="56" t="str">
        <f t="shared" si="33"/>
        <v/>
      </c>
      <c r="AN246" s="112" t="str">
        <f ca="1">IF($G246=Lists!$R$3,"T1: "&amp;TEXT(FORMULACIÓN!L246,"00,00%")&amp;CHAR(10)&amp;"T2: "&amp;TEXT(FORMULACIÓN!M246,"00,00%")&amp;CHAR(10)&amp;"T3: "&amp;TEXT(FORMULACIÓN!N246,"00,00%")&amp;CHAR(10)&amp;"Tn: "&amp;TEXT(FORMULACIÓN!O246,"00,00%"),IF(FORMULACIÓN!Q246=0,0,"T1: "&amp;TEXT(FORMULACIÓN!L246,"##.###")&amp;CHAR(10)&amp;"T2: "&amp;TEXT(FORMULACIÓN!M246,"##.###")&amp;CHAR(10)&amp;"T3: "&amp;TEXT(FORMULACIÓN!N246,"##.###")&amp;CHAR(10)&amp;"Tn: "&amp;TEXT(FORMULACIÓN!O246,"##.###")))</f>
        <v xml:space="preserve">T1: 
T2: 
T3: 
Tn: </v>
      </c>
      <c r="AO246" s="117" t="str">
        <f>IFERROR(IF($H246=Lists!$S$6,IF(AND(FORMULACIÓN!L246&gt;K246,K246&gt;0),1,0),IF((K246/FORMULACIÓN!L246)&lt;&gt;0,K246/FORMULACIÓN!L246,0)),"")</f>
        <v/>
      </c>
      <c r="AP246" s="117" t="str">
        <f>IFERROR(IF($H246=Lists!$S$6,IF(AND(FORMULACIÓN!M246&gt;L246,L246&gt;0),1,0),IF((L246/FORMULACIÓN!M246)&lt;&gt;0,L246/FORMULACIÓN!M246,0)),"")</f>
        <v/>
      </c>
      <c r="AQ246" s="117" t="str">
        <f>IFERROR(IF($H246=Lists!$S$6,IF(AND(FORMULACIÓN!N246&gt;M246,M246&gt;0),1,0),IF((M246/FORMULACIÓN!N246)&lt;&gt;0,M246/FORMULACIÓN!N246,0)),"")</f>
        <v/>
      </c>
      <c r="AR246" s="117" t="str">
        <f>IFERROR(IF($H246=Lists!$S$6,IF(AND(FORMULACIÓN!O246&gt;N246,N246&gt;0),1,0),IF((N246/FORMULACIÓN!O246)&lt;&gt;0,N246/FORMULACIÓN!O246,0)),"")</f>
        <v/>
      </c>
      <c r="AS246" s="110"/>
      <c r="AT246" s="118" t="str">
        <f ca="1">IF($H246=Lists!$S$6,TEXT(COUNTIF('SEGUIMIENTO Y EVALUACIÓN'!K246:N246,"&lt;"&amp;FORMULACIÓN!Q246),"##.###")&amp;" / "&amp;TEXT(COUNTIF('SEGUIMIENTO Y EVALUACIÓN'!K246:N246,"&gt;"&amp;0),"##.###"),IF($G246=Lists!$R$3,TEXT('SEGUIMIENTO Y EVALUACIÓN'!O246,"00,00%")&amp;" / "&amp;TEXT(FORMULACIÓN!P246,"00,00%"),IF('SEGUIMIENTO Y EVALUACIÓN'!O246=0,0,TEXT('SEGUIMIENTO Y EVALUACIÓN'!O246,"##.###")&amp;" / "&amp;TEXT(FORMULACIÓN!P246,"##.###"))))</f>
        <v xml:space="preserve"> / </v>
      </c>
      <c r="AU246" s="57">
        <f ca="1">IFERROR(IF((P246/FORMULACIÓN!Q246)&lt;&gt;0,IF($H246=Lists!$S$6,COUNTIF('SEGUIMIENTO Y EVALUACIÓN'!K246:N246,"&lt;"&amp;FORMULACIÓN!Q246),'SEGUIMIENTO Y EVALUACIÓN'!P246)/IF($H246=Lists!$S$6,COUNTIF('SEGUIMIENTO Y EVALUACIÓN'!K246:N246,"&gt;"&amp;0),FORMULACIÓN!P246),0),0)</f>
        <v>0</v>
      </c>
      <c r="AV246" s="93" t="str">
        <f t="shared" ca="1" si="32"/>
        <v/>
      </c>
      <c r="AW246" s="93" cm="1">
        <f t="array" ref="AW246">IF(INDEX(AO246:AU246,1,$AV$3)&gt;1,1,INDEX(AO246:AU246,1,$AV$3))</f>
        <v>1</v>
      </c>
      <c r="AX246" s="3"/>
      <c r="AY246" s="119" t="str">
        <f>IFERROR(IF((W246/FORMULACIÓN!X246)&lt;&gt;0,W246/FORMULACIÓN!X246,0),"")</f>
        <v/>
      </c>
      <c r="AZ246" s="119" t="str">
        <f>IFERROR(IF((AA246/FORMULACIÓN!AB246)&lt;&gt;0,AA246/FORMULACIÓN!AB246,0),"")</f>
        <v/>
      </c>
      <c r="BA246" s="119" t="str">
        <f>IFERROR(IF((AE246/FORMULACIÓN!AF246)&lt;&gt;0,(AE246/FORMULACIÓN!AF246),0),"")</f>
        <v/>
      </c>
      <c r="BB246" s="119" t="str">
        <f>IFERROR(IF((AI246/FORMULACIÓN!AJ246)&lt;&gt;0,AI246/FORMULACIÓN!AJ246,0),"")</f>
        <v/>
      </c>
      <c r="BC246" s="120" t="str">
        <f>IF('SEGUIMIENTO Y EVALUACIÓN'!AI246=0,0,TEXT('SEGUIMIENTO Y EVALUACIÓN'!AI246,"$ ##.###")&amp;" / "&amp;TEXT(FORMULACIÓN!AK246,"$ ##.###"))</f>
        <v xml:space="preserve"> / </v>
      </c>
      <c r="BD246" s="57">
        <f>IFERROR(IF((AJ246/FORMULACIÓN!AK246)&lt;&gt;0,AJ246/FORMULACIÓN!AK246,0),0)</f>
        <v>0</v>
      </c>
      <c r="CL246" s="7"/>
    </row>
    <row r="247" spans="1:90" s="1" customFormat="1" ht="99.95" customHeight="1">
      <c r="A247" s="45" t="str">
        <f>IF(FORMULACIÓN!A247="","",FORMULACIÓN!A247)</f>
        <v/>
      </c>
      <c r="B247" s="45" t="str">
        <f>IF(FORMULACIÓN!B247="","",FORMULACIÓN!B247)</f>
        <v/>
      </c>
      <c r="C247" s="45" t="str">
        <f>IF(FORMULACIÓN!E247="","",FORMULACIÓN!E247)</f>
        <v/>
      </c>
      <c r="D247" s="45" t="str">
        <f>IF(FORMULACIÓN!F247="","",FORMULACIÓN!F247)</f>
        <v/>
      </c>
      <c r="E247" s="45" t="str">
        <f>IF(FORMULACIÓN!G247="","",FORMULACIÓN!G247)</f>
        <v/>
      </c>
      <c r="F247" s="45" t="str">
        <f>IF(FORMULACIÓN!H247="","",FORMULACIÓN!H247)</f>
        <v/>
      </c>
      <c r="G247" s="45" t="str">
        <f>IF(FORMULACIÓN!I247="","",FORMULACIÓN!I247)</f>
        <v/>
      </c>
      <c r="H247" s="45" t="str">
        <f>IF(FORMULACIÓN!J247="","",FORMULACIÓN!J247)</f>
        <v/>
      </c>
      <c r="I247" s="188" t="str">
        <f ca="1">IF($G247=Lists!$R$3,"PDI: "&amp;TEXT(FORMULACIÓN!Q247,"00,00%")&amp;CHAR(10)&amp;CHAR(10)&amp;"T1: "&amp;TEXT(FORMULACIÓN!L247,"00,00%")&amp;CHAR(10)&amp;"T2: "&amp;TEXT(FORMULACIÓN!M247,"00,00%")&amp;CHAR(10)&amp;"T3: "&amp;TEXT(FORMULACIÓN!N247,"00,00%")&amp;CHAR(10)&amp;"Tn: "&amp;TEXT(FORMULACIÓN!O247,"00,00%"),IF(FORMULACIÓN!Q247=0,0,"PDI: "&amp;TEXT(FORMULACIÓN!Q247,"##.###")&amp;CHAR(10)&amp;CHAR(10)&amp;"T1: "&amp;TEXT(FORMULACIÓN!L247,"##.###")&amp;CHAR(10)&amp;"T2: "&amp;TEXT(FORMULACIÓN!M247,"##.###")&amp;CHAR(10)&amp;"T3: "&amp;TEXT(FORMULACIÓN!N247,"##.###")&amp;CHAR(10)&amp;"Tn: "&amp;TEXT(FORMULACIÓN!O247,"##.###")))</f>
        <v xml:space="preserve">PDI: 
T1: 
T2: 
T3: 
Tn: </v>
      </c>
      <c r="J247" s="122" t="str">
        <f>IF(FORMULACIÓN!K247&lt;&gt;"",FORMULACIÓN!K247,"")</f>
        <v/>
      </c>
      <c r="K247" s="58"/>
      <c r="L247" s="58"/>
      <c r="M247" s="58"/>
      <c r="N247" s="58"/>
      <c r="O247" s="47" t="str">
        <f ca="1">IFERROR(IF($H247=Lists!$S$2,SUM('SEGUIMIENTO Y EVALUACIÓN'!J247:N247),IF('SEGUIMIENTO Y EVALUACIÓN'!$H247=Lists!$S$3,SUM('SEGUIMIENTO Y EVALUACIÓN'!K247:N247),IF('SEGUIMIENTO Y EVALUACIÓN'!$H247=Lists!$S$4,AVERAGE('SEGUIMIENTO Y EVALUACIÓN'!K247:N247),IF('SEGUIMIENTO Y EVALUACIÓN'!$H247=Lists!$S$5,OFFSET(J247,0,COUNTA(K247:N247)),IF($H247=Lists!$S$6,COUNTIF(K247:N247,"&lt;"&amp;FORMULACIÓN!Q247)/COUNT('SEGUIMIENTO Y EVALUACIÓN'!K247:N247),""))))),"")</f>
        <v/>
      </c>
      <c r="P247" s="51" t="str">
        <f ca="1">IF($G247=Lists!$R$3,TEXT('SEGUIMIENTO Y EVALUACIÓN'!O247,"00,00%"),IF('SEGUIMIENTO Y EVALUACIÓN'!O247=0,0,TEXT('SEGUIMIENTO Y EVALUACIÓN'!O247,"##.###")))</f>
        <v/>
      </c>
      <c r="Q247" s="209" t="str">
        <f>IF(FORMULACIÓN!R247&lt;&gt;"",FORMULACIÓN!R247,"")</f>
        <v/>
      </c>
      <c r="R247" s="209" t="str">
        <f>IF(FORMULACIÓN!S247&lt;&gt;"",FORMULACIÓN!S247,"")</f>
        <v/>
      </c>
      <c r="S247" s="209" t="str">
        <f>IF(FORMULACIÓN!T247&lt;&gt;"",FORMULACIÓN!T247,"")</f>
        <v/>
      </c>
      <c r="T247" s="42"/>
      <c r="U247" s="42"/>
      <c r="V247" s="42"/>
      <c r="W247" s="43" t="str">
        <f t="shared" si="27"/>
        <v/>
      </c>
      <c r="X247" s="42"/>
      <c r="Y247" s="42"/>
      <c r="Z247" s="42"/>
      <c r="AA247" s="43" t="str">
        <f t="shared" si="28"/>
        <v/>
      </c>
      <c r="AB247" s="42"/>
      <c r="AC247" s="42"/>
      <c r="AD247" s="42"/>
      <c r="AE247" s="43" t="str">
        <f t="shared" si="29"/>
        <v/>
      </c>
      <c r="AF247" s="42"/>
      <c r="AG247" s="42"/>
      <c r="AH247" s="42"/>
      <c r="AI247" s="46" t="str">
        <f t="shared" si="30"/>
        <v/>
      </c>
      <c r="AJ247" s="46" t="str">
        <f>IF(SUM(AA247,AE247,W247,AI247)=0,"",SUM((AA247,AE247,W247,AI247)))</f>
        <v/>
      </c>
      <c r="AK247" s="2"/>
      <c r="AL247" s="1" t="str">
        <f t="shared" si="31"/>
        <v/>
      </c>
      <c r="AM247" s="56" t="str">
        <f t="shared" si="33"/>
        <v/>
      </c>
      <c r="AN247" s="112" t="str">
        <f ca="1">IF($G247=Lists!$R$3,"T1: "&amp;TEXT(FORMULACIÓN!L247,"00,00%")&amp;CHAR(10)&amp;"T2: "&amp;TEXT(FORMULACIÓN!M247,"00,00%")&amp;CHAR(10)&amp;"T3: "&amp;TEXT(FORMULACIÓN!N247,"00,00%")&amp;CHAR(10)&amp;"Tn: "&amp;TEXT(FORMULACIÓN!O247,"00,00%"),IF(FORMULACIÓN!Q247=0,0,"T1: "&amp;TEXT(FORMULACIÓN!L247,"##.###")&amp;CHAR(10)&amp;"T2: "&amp;TEXT(FORMULACIÓN!M247,"##.###")&amp;CHAR(10)&amp;"T3: "&amp;TEXT(FORMULACIÓN!N247,"##.###")&amp;CHAR(10)&amp;"Tn: "&amp;TEXT(FORMULACIÓN!O247,"##.###")))</f>
        <v xml:space="preserve">T1: 
T2: 
T3: 
Tn: </v>
      </c>
      <c r="AO247" s="117" t="str">
        <f>IFERROR(IF($H247=Lists!$S$6,IF(AND(FORMULACIÓN!L247&gt;K247,K247&gt;0),1,0),IF((K247/FORMULACIÓN!L247)&lt;&gt;0,K247/FORMULACIÓN!L247,0)),"")</f>
        <v/>
      </c>
      <c r="AP247" s="117" t="str">
        <f>IFERROR(IF($H247=Lists!$S$6,IF(AND(FORMULACIÓN!M247&gt;L247,L247&gt;0),1,0),IF((L247/FORMULACIÓN!M247)&lt;&gt;0,L247/FORMULACIÓN!M247,0)),"")</f>
        <v/>
      </c>
      <c r="AQ247" s="117" t="str">
        <f>IFERROR(IF($H247=Lists!$S$6,IF(AND(FORMULACIÓN!N247&gt;M247,M247&gt;0),1,0),IF((M247/FORMULACIÓN!N247)&lt;&gt;0,M247/FORMULACIÓN!N247,0)),"")</f>
        <v/>
      </c>
      <c r="AR247" s="117" t="str">
        <f>IFERROR(IF($H247=Lists!$S$6,IF(AND(FORMULACIÓN!O247&gt;N247,N247&gt;0),1,0),IF((N247/FORMULACIÓN!O247)&lt;&gt;0,N247/FORMULACIÓN!O247,0)),"")</f>
        <v/>
      </c>
      <c r="AS247" s="110"/>
      <c r="AT247" s="118" t="str">
        <f ca="1">IF($H247=Lists!$S$6,TEXT(COUNTIF('SEGUIMIENTO Y EVALUACIÓN'!K247:N247,"&lt;"&amp;FORMULACIÓN!Q247),"##.###")&amp;" / "&amp;TEXT(COUNTIF('SEGUIMIENTO Y EVALUACIÓN'!K247:N247,"&gt;"&amp;0),"##.###"),IF($G247=Lists!$R$3,TEXT('SEGUIMIENTO Y EVALUACIÓN'!O247,"00,00%")&amp;" / "&amp;TEXT(FORMULACIÓN!P247,"00,00%"),IF('SEGUIMIENTO Y EVALUACIÓN'!O247=0,0,TEXT('SEGUIMIENTO Y EVALUACIÓN'!O247,"##.###")&amp;" / "&amp;TEXT(FORMULACIÓN!P247,"##.###"))))</f>
        <v xml:space="preserve"> / </v>
      </c>
      <c r="AU247" s="57">
        <f ca="1">IFERROR(IF((P247/FORMULACIÓN!Q247)&lt;&gt;0,IF($H247=Lists!$S$6,COUNTIF('SEGUIMIENTO Y EVALUACIÓN'!K247:N247,"&lt;"&amp;FORMULACIÓN!Q247),'SEGUIMIENTO Y EVALUACIÓN'!P247)/IF($H247=Lists!$S$6,COUNTIF('SEGUIMIENTO Y EVALUACIÓN'!K247:N247,"&gt;"&amp;0),FORMULACIÓN!P247),0),0)</f>
        <v>0</v>
      </c>
      <c r="AV247" s="93" t="str">
        <f t="shared" ca="1" si="32"/>
        <v/>
      </c>
      <c r="AW247" s="93" cm="1">
        <f t="array" ref="AW247">IF(INDEX(AO247:AU247,1,$AV$3)&gt;1,1,INDEX(AO247:AU247,1,$AV$3))</f>
        <v>1</v>
      </c>
      <c r="AX247" s="3"/>
      <c r="AY247" s="119" t="str">
        <f>IFERROR(IF((W247/FORMULACIÓN!X247)&lt;&gt;0,W247/FORMULACIÓN!X247,0),"")</f>
        <v/>
      </c>
      <c r="AZ247" s="119" t="str">
        <f>IFERROR(IF((AA247/FORMULACIÓN!AB247)&lt;&gt;0,AA247/FORMULACIÓN!AB247,0),"")</f>
        <v/>
      </c>
      <c r="BA247" s="119" t="str">
        <f>IFERROR(IF((AE247/FORMULACIÓN!AF247)&lt;&gt;0,(AE247/FORMULACIÓN!AF247),0),"")</f>
        <v/>
      </c>
      <c r="BB247" s="119" t="str">
        <f>IFERROR(IF((AI247/FORMULACIÓN!AJ247)&lt;&gt;0,AI247/FORMULACIÓN!AJ247,0),"")</f>
        <v/>
      </c>
      <c r="BC247" s="120" t="str">
        <f>IF('SEGUIMIENTO Y EVALUACIÓN'!AI247=0,0,TEXT('SEGUIMIENTO Y EVALUACIÓN'!AI247,"$ ##.###")&amp;" / "&amp;TEXT(FORMULACIÓN!AK247,"$ ##.###"))</f>
        <v xml:space="preserve"> / </v>
      </c>
      <c r="BD247" s="57">
        <f>IFERROR(IF((AJ247/FORMULACIÓN!AK247)&lt;&gt;0,AJ247/FORMULACIÓN!AK247,0),0)</f>
        <v>0</v>
      </c>
      <c r="CL247" s="7"/>
    </row>
    <row r="248" spans="1:90" s="1" customFormat="1" ht="99.95" customHeight="1">
      <c r="A248" s="45" t="str">
        <f>IF(FORMULACIÓN!A248="","",FORMULACIÓN!A248)</f>
        <v/>
      </c>
      <c r="B248" s="45" t="str">
        <f>IF(FORMULACIÓN!B248="","",FORMULACIÓN!B248)</f>
        <v/>
      </c>
      <c r="C248" s="45" t="str">
        <f>IF(FORMULACIÓN!E248="","",FORMULACIÓN!E248)</f>
        <v/>
      </c>
      <c r="D248" s="45" t="str">
        <f>IF(FORMULACIÓN!F248="","",FORMULACIÓN!F248)</f>
        <v/>
      </c>
      <c r="E248" s="45" t="str">
        <f>IF(FORMULACIÓN!G248="","",FORMULACIÓN!G248)</f>
        <v/>
      </c>
      <c r="F248" s="45" t="str">
        <f>IF(FORMULACIÓN!H248="","",FORMULACIÓN!H248)</f>
        <v/>
      </c>
      <c r="G248" s="45" t="str">
        <f>IF(FORMULACIÓN!I248="","",FORMULACIÓN!I248)</f>
        <v/>
      </c>
      <c r="H248" s="45" t="str">
        <f>IF(FORMULACIÓN!J248="","",FORMULACIÓN!J248)</f>
        <v/>
      </c>
      <c r="I248" s="188" t="str">
        <f ca="1">IF($G248=Lists!$R$3,"PDI: "&amp;TEXT(FORMULACIÓN!Q248,"00,00%")&amp;CHAR(10)&amp;CHAR(10)&amp;"T1: "&amp;TEXT(FORMULACIÓN!L248,"00,00%")&amp;CHAR(10)&amp;"T2: "&amp;TEXT(FORMULACIÓN!M248,"00,00%")&amp;CHAR(10)&amp;"T3: "&amp;TEXT(FORMULACIÓN!N248,"00,00%")&amp;CHAR(10)&amp;"Tn: "&amp;TEXT(FORMULACIÓN!O248,"00,00%"),IF(FORMULACIÓN!Q248=0,0,"PDI: "&amp;TEXT(FORMULACIÓN!Q248,"##.###")&amp;CHAR(10)&amp;CHAR(10)&amp;"T1: "&amp;TEXT(FORMULACIÓN!L248,"##.###")&amp;CHAR(10)&amp;"T2: "&amp;TEXT(FORMULACIÓN!M248,"##.###")&amp;CHAR(10)&amp;"T3: "&amp;TEXT(FORMULACIÓN!N248,"##.###")&amp;CHAR(10)&amp;"Tn: "&amp;TEXT(FORMULACIÓN!O248,"##.###")))</f>
        <v xml:space="preserve">PDI: 
T1: 
T2: 
T3: 
Tn: </v>
      </c>
      <c r="J248" s="122" t="str">
        <f>IF(FORMULACIÓN!K248&lt;&gt;"",FORMULACIÓN!K248,"")</f>
        <v/>
      </c>
      <c r="K248" s="58"/>
      <c r="L248" s="58"/>
      <c r="M248" s="58"/>
      <c r="N248" s="58"/>
      <c r="O248" s="47" t="str">
        <f ca="1">IFERROR(IF($H248=Lists!$S$2,SUM('SEGUIMIENTO Y EVALUACIÓN'!J248:N248),IF('SEGUIMIENTO Y EVALUACIÓN'!$H248=Lists!$S$3,SUM('SEGUIMIENTO Y EVALUACIÓN'!K248:N248),IF('SEGUIMIENTO Y EVALUACIÓN'!$H248=Lists!$S$4,AVERAGE('SEGUIMIENTO Y EVALUACIÓN'!K248:N248),IF('SEGUIMIENTO Y EVALUACIÓN'!$H248=Lists!$S$5,OFFSET(J248,0,COUNTA(K248:N248)),IF($H248=Lists!$S$6,COUNTIF(K248:N248,"&lt;"&amp;FORMULACIÓN!Q248)/COUNT('SEGUIMIENTO Y EVALUACIÓN'!K248:N248),""))))),"")</f>
        <v/>
      </c>
      <c r="P248" s="51" t="str">
        <f ca="1">IF($G248=Lists!$R$3,TEXT('SEGUIMIENTO Y EVALUACIÓN'!O248,"00,00%"),IF('SEGUIMIENTO Y EVALUACIÓN'!O248=0,0,TEXT('SEGUIMIENTO Y EVALUACIÓN'!O248,"##.###")))</f>
        <v/>
      </c>
      <c r="Q248" s="209" t="str">
        <f>IF(FORMULACIÓN!R248&lt;&gt;"",FORMULACIÓN!R248,"")</f>
        <v/>
      </c>
      <c r="R248" s="209" t="str">
        <f>IF(FORMULACIÓN!S248&lt;&gt;"",FORMULACIÓN!S248,"")</f>
        <v/>
      </c>
      <c r="S248" s="209" t="str">
        <f>IF(FORMULACIÓN!T248&lt;&gt;"",FORMULACIÓN!T248,"")</f>
        <v/>
      </c>
      <c r="T248" s="42"/>
      <c r="U248" s="42"/>
      <c r="V248" s="42"/>
      <c r="W248" s="43" t="str">
        <f t="shared" si="27"/>
        <v/>
      </c>
      <c r="X248" s="42"/>
      <c r="Y248" s="42"/>
      <c r="Z248" s="42"/>
      <c r="AA248" s="43" t="str">
        <f t="shared" si="28"/>
        <v/>
      </c>
      <c r="AB248" s="42"/>
      <c r="AC248" s="42"/>
      <c r="AD248" s="42"/>
      <c r="AE248" s="43" t="str">
        <f t="shared" si="29"/>
        <v/>
      </c>
      <c r="AF248" s="42"/>
      <c r="AG248" s="42"/>
      <c r="AH248" s="42"/>
      <c r="AI248" s="46" t="str">
        <f t="shared" si="30"/>
        <v/>
      </c>
      <c r="AJ248" s="46" t="str">
        <f>IF(SUM(AA248,AE248,W248,AI248)=0,"",SUM((AA248,AE248,W248,AI248)))</f>
        <v/>
      </c>
      <c r="AK248" s="2"/>
      <c r="AL248" s="1" t="str">
        <f t="shared" si="31"/>
        <v/>
      </c>
      <c r="AM248" s="56" t="str">
        <f t="shared" si="33"/>
        <v/>
      </c>
      <c r="AN248" s="112" t="str">
        <f ca="1">IF($G248=Lists!$R$3,"T1: "&amp;TEXT(FORMULACIÓN!L248,"00,00%")&amp;CHAR(10)&amp;"T2: "&amp;TEXT(FORMULACIÓN!M248,"00,00%")&amp;CHAR(10)&amp;"T3: "&amp;TEXT(FORMULACIÓN!N248,"00,00%")&amp;CHAR(10)&amp;"Tn: "&amp;TEXT(FORMULACIÓN!O248,"00,00%"),IF(FORMULACIÓN!Q248=0,0,"T1: "&amp;TEXT(FORMULACIÓN!L248,"##.###")&amp;CHAR(10)&amp;"T2: "&amp;TEXT(FORMULACIÓN!M248,"##.###")&amp;CHAR(10)&amp;"T3: "&amp;TEXT(FORMULACIÓN!N248,"##.###")&amp;CHAR(10)&amp;"Tn: "&amp;TEXT(FORMULACIÓN!O248,"##.###")))</f>
        <v xml:space="preserve">T1: 
T2: 
T3: 
Tn: </v>
      </c>
      <c r="AO248" s="117" t="str">
        <f>IFERROR(IF($H248=Lists!$S$6,IF(AND(FORMULACIÓN!L248&gt;K248,K248&gt;0),1,0),IF((K248/FORMULACIÓN!L248)&lt;&gt;0,K248/FORMULACIÓN!L248,0)),"")</f>
        <v/>
      </c>
      <c r="AP248" s="117" t="str">
        <f>IFERROR(IF($H248=Lists!$S$6,IF(AND(FORMULACIÓN!M248&gt;L248,L248&gt;0),1,0),IF((L248/FORMULACIÓN!M248)&lt;&gt;0,L248/FORMULACIÓN!M248,0)),"")</f>
        <v/>
      </c>
      <c r="AQ248" s="117" t="str">
        <f>IFERROR(IF($H248=Lists!$S$6,IF(AND(FORMULACIÓN!N248&gt;M248,M248&gt;0),1,0),IF((M248/FORMULACIÓN!N248)&lt;&gt;0,M248/FORMULACIÓN!N248,0)),"")</f>
        <v/>
      </c>
      <c r="AR248" s="117" t="str">
        <f>IFERROR(IF($H248=Lists!$S$6,IF(AND(FORMULACIÓN!O248&gt;N248,N248&gt;0),1,0),IF((N248/FORMULACIÓN!O248)&lt;&gt;0,N248/FORMULACIÓN!O248,0)),"")</f>
        <v/>
      </c>
      <c r="AS248" s="110"/>
      <c r="AT248" s="118" t="str">
        <f ca="1">IF($H248=Lists!$S$6,TEXT(COUNTIF('SEGUIMIENTO Y EVALUACIÓN'!K248:N248,"&lt;"&amp;FORMULACIÓN!Q248),"##.###")&amp;" / "&amp;TEXT(COUNTIF('SEGUIMIENTO Y EVALUACIÓN'!K248:N248,"&gt;"&amp;0),"##.###"),IF($G248=Lists!$R$3,TEXT('SEGUIMIENTO Y EVALUACIÓN'!O248,"00,00%")&amp;" / "&amp;TEXT(FORMULACIÓN!P248,"00,00%"),IF('SEGUIMIENTO Y EVALUACIÓN'!O248=0,0,TEXT('SEGUIMIENTO Y EVALUACIÓN'!O248,"##.###")&amp;" / "&amp;TEXT(FORMULACIÓN!P248,"##.###"))))</f>
        <v xml:space="preserve"> / </v>
      </c>
      <c r="AU248" s="57">
        <f ca="1">IFERROR(IF((P248/FORMULACIÓN!Q248)&lt;&gt;0,IF($H248=Lists!$S$6,COUNTIF('SEGUIMIENTO Y EVALUACIÓN'!K248:N248,"&lt;"&amp;FORMULACIÓN!Q248),'SEGUIMIENTO Y EVALUACIÓN'!P248)/IF($H248=Lists!$S$6,COUNTIF('SEGUIMIENTO Y EVALUACIÓN'!K248:N248,"&gt;"&amp;0),FORMULACIÓN!P248),0),0)</f>
        <v>0</v>
      </c>
      <c r="AV248" s="93" t="str">
        <f t="shared" ca="1" si="32"/>
        <v/>
      </c>
      <c r="AW248" s="93" cm="1">
        <f t="array" ref="AW248">IF(INDEX(AO248:AU248,1,$AV$3)&gt;1,1,INDEX(AO248:AU248,1,$AV$3))</f>
        <v>1</v>
      </c>
      <c r="AX248" s="3"/>
      <c r="AY248" s="119" t="str">
        <f>IFERROR(IF((W248/FORMULACIÓN!X248)&lt;&gt;0,W248/FORMULACIÓN!X248,0),"")</f>
        <v/>
      </c>
      <c r="AZ248" s="119" t="str">
        <f>IFERROR(IF((AA248/FORMULACIÓN!AB248)&lt;&gt;0,AA248/FORMULACIÓN!AB248,0),"")</f>
        <v/>
      </c>
      <c r="BA248" s="119" t="str">
        <f>IFERROR(IF((AE248/FORMULACIÓN!AF248)&lt;&gt;0,(AE248/FORMULACIÓN!AF248),0),"")</f>
        <v/>
      </c>
      <c r="BB248" s="119" t="str">
        <f>IFERROR(IF((AI248/FORMULACIÓN!AJ248)&lt;&gt;0,AI248/FORMULACIÓN!AJ248,0),"")</f>
        <v/>
      </c>
      <c r="BC248" s="120" t="str">
        <f>IF('SEGUIMIENTO Y EVALUACIÓN'!AI248=0,0,TEXT('SEGUIMIENTO Y EVALUACIÓN'!AI248,"$ ##.###")&amp;" / "&amp;TEXT(FORMULACIÓN!AK248,"$ ##.###"))</f>
        <v xml:space="preserve"> / </v>
      </c>
      <c r="BD248" s="57">
        <f>IFERROR(IF((AJ248/FORMULACIÓN!AK248)&lt;&gt;0,AJ248/FORMULACIÓN!AK248,0),0)</f>
        <v>0</v>
      </c>
      <c r="CL248" s="7"/>
    </row>
    <row r="249" spans="1:90" s="1" customFormat="1" ht="99.95" customHeight="1">
      <c r="A249" s="45" t="str">
        <f>IF(FORMULACIÓN!A249="","",FORMULACIÓN!A249)</f>
        <v/>
      </c>
      <c r="B249" s="45" t="str">
        <f>IF(FORMULACIÓN!B249="","",FORMULACIÓN!B249)</f>
        <v/>
      </c>
      <c r="C249" s="45" t="str">
        <f>IF(FORMULACIÓN!E249="","",FORMULACIÓN!E249)</f>
        <v/>
      </c>
      <c r="D249" s="45" t="str">
        <f>IF(FORMULACIÓN!F249="","",FORMULACIÓN!F249)</f>
        <v/>
      </c>
      <c r="E249" s="45" t="str">
        <f>IF(FORMULACIÓN!G249="","",FORMULACIÓN!G249)</f>
        <v/>
      </c>
      <c r="F249" s="45" t="str">
        <f>IF(FORMULACIÓN!H249="","",FORMULACIÓN!H249)</f>
        <v/>
      </c>
      <c r="G249" s="45" t="str">
        <f>IF(FORMULACIÓN!I249="","",FORMULACIÓN!I249)</f>
        <v/>
      </c>
      <c r="H249" s="45" t="str">
        <f>IF(FORMULACIÓN!J249="","",FORMULACIÓN!J249)</f>
        <v/>
      </c>
      <c r="I249" s="188" t="str">
        <f ca="1">IF($G249=Lists!$R$3,"PDI: "&amp;TEXT(FORMULACIÓN!Q249,"00,00%")&amp;CHAR(10)&amp;CHAR(10)&amp;"T1: "&amp;TEXT(FORMULACIÓN!L249,"00,00%")&amp;CHAR(10)&amp;"T2: "&amp;TEXT(FORMULACIÓN!M249,"00,00%")&amp;CHAR(10)&amp;"T3: "&amp;TEXT(FORMULACIÓN!N249,"00,00%")&amp;CHAR(10)&amp;"Tn: "&amp;TEXT(FORMULACIÓN!O249,"00,00%"),IF(FORMULACIÓN!Q249=0,0,"PDI: "&amp;TEXT(FORMULACIÓN!Q249,"##.###")&amp;CHAR(10)&amp;CHAR(10)&amp;"T1: "&amp;TEXT(FORMULACIÓN!L249,"##.###")&amp;CHAR(10)&amp;"T2: "&amp;TEXT(FORMULACIÓN!M249,"##.###")&amp;CHAR(10)&amp;"T3: "&amp;TEXT(FORMULACIÓN!N249,"##.###")&amp;CHAR(10)&amp;"Tn: "&amp;TEXT(FORMULACIÓN!O249,"##.###")))</f>
        <v xml:space="preserve">PDI: 
T1: 
T2: 
T3: 
Tn: </v>
      </c>
      <c r="J249" s="122" t="str">
        <f>IF(FORMULACIÓN!K249&lt;&gt;"",FORMULACIÓN!K249,"")</f>
        <v/>
      </c>
      <c r="K249" s="58"/>
      <c r="L249" s="58"/>
      <c r="M249" s="58"/>
      <c r="N249" s="58"/>
      <c r="O249" s="47" t="str">
        <f ca="1">IFERROR(IF($H249=Lists!$S$2,SUM('SEGUIMIENTO Y EVALUACIÓN'!J249:N249),IF('SEGUIMIENTO Y EVALUACIÓN'!$H249=Lists!$S$3,SUM('SEGUIMIENTO Y EVALUACIÓN'!K249:N249),IF('SEGUIMIENTO Y EVALUACIÓN'!$H249=Lists!$S$4,AVERAGE('SEGUIMIENTO Y EVALUACIÓN'!K249:N249),IF('SEGUIMIENTO Y EVALUACIÓN'!$H249=Lists!$S$5,OFFSET(J249,0,COUNTA(K249:N249)),IF($H249=Lists!$S$6,COUNTIF(K249:N249,"&lt;"&amp;FORMULACIÓN!Q249)/COUNT('SEGUIMIENTO Y EVALUACIÓN'!K249:N249),""))))),"")</f>
        <v/>
      </c>
      <c r="P249" s="51" t="str">
        <f ca="1">IF($G249=Lists!$R$3,TEXT('SEGUIMIENTO Y EVALUACIÓN'!O249,"00,00%"),IF('SEGUIMIENTO Y EVALUACIÓN'!O249=0,0,TEXT('SEGUIMIENTO Y EVALUACIÓN'!O249,"##.###")))</f>
        <v/>
      </c>
      <c r="Q249" s="209" t="str">
        <f>IF(FORMULACIÓN!R249&lt;&gt;"",FORMULACIÓN!R249,"")</f>
        <v/>
      </c>
      <c r="R249" s="209" t="str">
        <f>IF(FORMULACIÓN!S249&lt;&gt;"",FORMULACIÓN!S249,"")</f>
        <v/>
      </c>
      <c r="S249" s="209" t="str">
        <f>IF(FORMULACIÓN!T249&lt;&gt;"",FORMULACIÓN!T249,"")</f>
        <v/>
      </c>
      <c r="T249" s="42"/>
      <c r="U249" s="42"/>
      <c r="V249" s="42"/>
      <c r="W249" s="43" t="str">
        <f t="shared" si="27"/>
        <v/>
      </c>
      <c r="X249" s="42"/>
      <c r="Y249" s="42"/>
      <c r="Z249" s="42"/>
      <c r="AA249" s="43" t="str">
        <f t="shared" si="28"/>
        <v/>
      </c>
      <c r="AB249" s="42"/>
      <c r="AC249" s="42"/>
      <c r="AD249" s="42"/>
      <c r="AE249" s="43" t="str">
        <f t="shared" si="29"/>
        <v/>
      </c>
      <c r="AF249" s="42"/>
      <c r="AG249" s="42"/>
      <c r="AH249" s="42"/>
      <c r="AI249" s="46" t="str">
        <f t="shared" si="30"/>
        <v/>
      </c>
      <c r="AJ249" s="46" t="str">
        <f>IF(SUM(AA249,AE249,W249,AI249)=0,"",SUM((AA249,AE249,W249,AI249)))</f>
        <v/>
      </c>
      <c r="AK249" s="2"/>
      <c r="AL249" s="1" t="str">
        <f t="shared" si="31"/>
        <v/>
      </c>
      <c r="AM249" s="56" t="str">
        <f t="shared" si="33"/>
        <v/>
      </c>
      <c r="AN249" s="112" t="str">
        <f ca="1">IF($G249=Lists!$R$3,"T1: "&amp;TEXT(FORMULACIÓN!L249,"00,00%")&amp;CHAR(10)&amp;"T2: "&amp;TEXT(FORMULACIÓN!M249,"00,00%")&amp;CHAR(10)&amp;"T3: "&amp;TEXT(FORMULACIÓN!N249,"00,00%")&amp;CHAR(10)&amp;"Tn: "&amp;TEXT(FORMULACIÓN!O249,"00,00%"),IF(FORMULACIÓN!Q249=0,0,"T1: "&amp;TEXT(FORMULACIÓN!L249,"##.###")&amp;CHAR(10)&amp;"T2: "&amp;TEXT(FORMULACIÓN!M249,"##.###")&amp;CHAR(10)&amp;"T3: "&amp;TEXT(FORMULACIÓN!N249,"##.###")&amp;CHAR(10)&amp;"Tn: "&amp;TEXT(FORMULACIÓN!O249,"##.###")))</f>
        <v xml:space="preserve">T1: 
T2: 
T3: 
Tn: </v>
      </c>
      <c r="AO249" s="117" t="str">
        <f>IFERROR(IF($H249=Lists!$S$6,IF(AND(FORMULACIÓN!L249&gt;K249,K249&gt;0),1,0),IF((K249/FORMULACIÓN!L249)&lt;&gt;0,K249/FORMULACIÓN!L249,0)),"")</f>
        <v/>
      </c>
      <c r="AP249" s="117" t="str">
        <f>IFERROR(IF($H249=Lists!$S$6,IF(AND(FORMULACIÓN!M249&gt;L249,L249&gt;0),1,0),IF((L249/FORMULACIÓN!M249)&lt;&gt;0,L249/FORMULACIÓN!M249,0)),"")</f>
        <v/>
      </c>
      <c r="AQ249" s="117" t="str">
        <f>IFERROR(IF($H249=Lists!$S$6,IF(AND(FORMULACIÓN!N249&gt;M249,M249&gt;0),1,0),IF((M249/FORMULACIÓN!N249)&lt;&gt;0,M249/FORMULACIÓN!N249,0)),"")</f>
        <v/>
      </c>
      <c r="AR249" s="117" t="str">
        <f>IFERROR(IF($H249=Lists!$S$6,IF(AND(FORMULACIÓN!O249&gt;N249,N249&gt;0),1,0),IF((N249/FORMULACIÓN!O249)&lt;&gt;0,N249/FORMULACIÓN!O249,0)),"")</f>
        <v/>
      </c>
      <c r="AS249" s="110"/>
      <c r="AT249" s="118" t="str">
        <f ca="1">IF($H249=Lists!$S$6,TEXT(COUNTIF('SEGUIMIENTO Y EVALUACIÓN'!K249:N249,"&lt;"&amp;FORMULACIÓN!Q249),"##.###")&amp;" / "&amp;TEXT(COUNTIF('SEGUIMIENTO Y EVALUACIÓN'!K249:N249,"&gt;"&amp;0),"##.###"),IF($G249=Lists!$R$3,TEXT('SEGUIMIENTO Y EVALUACIÓN'!O249,"00,00%")&amp;" / "&amp;TEXT(FORMULACIÓN!P249,"00,00%"),IF('SEGUIMIENTO Y EVALUACIÓN'!O249=0,0,TEXT('SEGUIMIENTO Y EVALUACIÓN'!O249,"##.###")&amp;" / "&amp;TEXT(FORMULACIÓN!P249,"##.###"))))</f>
        <v xml:space="preserve"> / </v>
      </c>
      <c r="AU249" s="57">
        <f ca="1">IFERROR(IF((P249/FORMULACIÓN!Q249)&lt;&gt;0,IF($H249=Lists!$S$6,COUNTIF('SEGUIMIENTO Y EVALUACIÓN'!K249:N249,"&lt;"&amp;FORMULACIÓN!Q249),'SEGUIMIENTO Y EVALUACIÓN'!P249)/IF($H249=Lists!$S$6,COUNTIF('SEGUIMIENTO Y EVALUACIÓN'!K249:N249,"&gt;"&amp;0),FORMULACIÓN!P249),0),0)</f>
        <v>0</v>
      </c>
      <c r="AV249" s="93" t="str">
        <f t="shared" ca="1" si="32"/>
        <v/>
      </c>
      <c r="AW249" s="93" cm="1">
        <f t="array" ref="AW249">IF(INDEX(AO249:AU249,1,$AV$3)&gt;1,1,INDEX(AO249:AU249,1,$AV$3))</f>
        <v>1</v>
      </c>
      <c r="AX249" s="3"/>
      <c r="AY249" s="119" t="str">
        <f>IFERROR(IF((W249/FORMULACIÓN!X249)&lt;&gt;0,W249/FORMULACIÓN!X249,0),"")</f>
        <v/>
      </c>
      <c r="AZ249" s="119" t="str">
        <f>IFERROR(IF((AA249/FORMULACIÓN!AB249)&lt;&gt;0,AA249/FORMULACIÓN!AB249,0),"")</f>
        <v/>
      </c>
      <c r="BA249" s="119" t="str">
        <f>IFERROR(IF((AE249/FORMULACIÓN!AF249)&lt;&gt;0,(AE249/FORMULACIÓN!AF249),0),"")</f>
        <v/>
      </c>
      <c r="BB249" s="119" t="str">
        <f>IFERROR(IF((AI249/FORMULACIÓN!AJ249)&lt;&gt;0,AI249/FORMULACIÓN!AJ249,0),"")</f>
        <v/>
      </c>
      <c r="BC249" s="120" t="str">
        <f>IF('SEGUIMIENTO Y EVALUACIÓN'!AI249=0,0,TEXT('SEGUIMIENTO Y EVALUACIÓN'!AI249,"$ ##.###")&amp;" / "&amp;TEXT(FORMULACIÓN!AK249,"$ ##.###"))</f>
        <v xml:space="preserve"> / </v>
      </c>
      <c r="BD249" s="57">
        <f>IFERROR(IF((AJ249/FORMULACIÓN!AK249)&lt;&gt;0,AJ249/FORMULACIÓN!AK249,0),0)</f>
        <v>0</v>
      </c>
      <c r="CL249" s="7"/>
    </row>
    <row r="250" spans="1:90" s="1" customFormat="1" ht="99.95" customHeight="1">
      <c r="A250" s="45" t="str">
        <f>IF(FORMULACIÓN!A250="","",FORMULACIÓN!A250)</f>
        <v/>
      </c>
      <c r="B250" s="45" t="str">
        <f>IF(FORMULACIÓN!B250="","",FORMULACIÓN!B250)</f>
        <v/>
      </c>
      <c r="C250" s="45" t="str">
        <f>IF(FORMULACIÓN!E250="","",FORMULACIÓN!E250)</f>
        <v/>
      </c>
      <c r="D250" s="45" t="str">
        <f>IF(FORMULACIÓN!F250="","",FORMULACIÓN!F250)</f>
        <v/>
      </c>
      <c r="E250" s="45" t="str">
        <f>IF(FORMULACIÓN!G250="","",FORMULACIÓN!G250)</f>
        <v/>
      </c>
      <c r="F250" s="45" t="str">
        <f>IF(FORMULACIÓN!H250="","",FORMULACIÓN!H250)</f>
        <v/>
      </c>
      <c r="G250" s="45" t="str">
        <f>IF(FORMULACIÓN!I250="","",FORMULACIÓN!I250)</f>
        <v/>
      </c>
      <c r="H250" s="45" t="str">
        <f>IF(FORMULACIÓN!J250="","",FORMULACIÓN!J250)</f>
        <v/>
      </c>
      <c r="I250" s="188" t="str">
        <f ca="1">IF($G250=Lists!$R$3,"PDI: "&amp;TEXT(FORMULACIÓN!Q250,"00,00%")&amp;CHAR(10)&amp;CHAR(10)&amp;"T1: "&amp;TEXT(FORMULACIÓN!L250,"00,00%")&amp;CHAR(10)&amp;"T2: "&amp;TEXT(FORMULACIÓN!M250,"00,00%")&amp;CHAR(10)&amp;"T3: "&amp;TEXT(FORMULACIÓN!N250,"00,00%")&amp;CHAR(10)&amp;"Tn: "&amp;TEXT(FORMULACIÓN!O250,"00,00%"),IF(FORMULACIÓN!Q250=0,0,"PDI: "&amp;TEXT(FORMULACIÓN!Q250,"##.###")&amp;CHAR(10)&amp;CHAR(10)&amp;"T1: "&amp;TEXT(FORMULACIÓN!L250,"##.###")&amp;CHAR(10)&amp;"T2: "&amp;TEXT(FORMULACIÓN!M250,"##.###")&amp;CHAR(10)&amp;"T3: "&amp;TEXT(FORMULACIÓN!N250,"##.###")&amp;CHAR(10)&amp;"Tn: "&amp;TEXT(FORMULACIÓN!O250,"##.###")))</f>
        <v xml:space="preserve">PDI: 
T1: 
T2: 
T3: 
Tn: </v>
      </c>
      <c r="J250" s="122" t="str">
        <f>IF(FORMULACIÓN!K250&lt;&gt;"",FORMULACIÓN!K250,"")</f>
        <v/>
      </c>
      <c r="K250" s="58"/>
      <c r="L250" s="58"/>
      <c r="M250" s="58"/>
      <c r="N250" s="58"/>
      <c r="O250" s="47" t="str">
        <f ca="1">IFERROR(IF($H250=Lists!$S$2,SUM('SEGUIMIENTO Y EVALUACIÓN'!J250:N250),IF('SEGUIMIENTO Y EVALUACIÓN'!$H250=Lists!$S$3,SUM('SEGUIMIENTO Y EVALUACIÓN'!K250:N250),IF('SEGUIMIENTO Y EVALUACIÓN'!$H250=Lists!$S$4,AVERAGE('SEGUIMIENTO Y EVALUACIÓN'!K250:N250),IF('SEGUIMIENTO Y EVALUACIÓN'!$H250=Lists!$S$5,OFFSET(J250,0,COUNTA(K250:N250)),IF($H250=Lists!$S$6,COUNTIF(K250:N250,"&lt;"&amp;FORMULACIÓN!Q250)/COUNT('SEGUIMIENTO Y EVALUACIÓN'!K250:N250),""))))),"")</f>
        <v/>
      </c>
      <c r="P250" s="51" t="str">
        <f ca="1">IF($G250=Lists!$R$3,TEXT('SEGUIMIENTO Y EVALUACIÓN'!O250,"00,00%"),IF('SEGUIMIENTO Y EVALUACIÓN'!O250=0,0,TEXT('SEGUIMIENTO Y EVALUACIÓN'!O250,"##.###")))</f>
        <v/>
      </c>
      <c r="Q250" s="209" t="str">
        <f>IF(FORMULACIÓN!R250&lt;&gt;"",FORMULACIÓN!R250,"")</f>
        <v/>
      </c>
      <c r="R250" s="209" t="str">
        <f>IF(FORMULACIÓN!S250&lt;&gt;"",FORMULACIÓN!S250,"")</f>
        <v/>
      </c>
      <c r="S250" s="209" t="str">
        <f>IF(FORMULACIÓN!T250&lt;&gt;"",FORMULACIÓN!T250,"")</f>
        <v/>
      </c>
      <c r="T250" s="42"/>
      <c r="U250" s="42"/>
      <c r="V250" s="42"/>
      <c r="W250" s="43" t="str">
        <f t="shared" si="27"/>
        <v/>
      </c>
      <c r="X250" s="42"/>
      <c r="Y250" s="42"/>
      <c r="Z250" s="42"/>
      <c r="AA250" s="43" t="str">
        <f t="shared" si="28"/>
        <v/>
      </c>
      <c r="AB250" s="42"/>
      <c r="AC250" s="42"/>
      <c r="AD250" s="42"/>
      <c r="AE250" s="43" t="str">
        <f t="shared" si="29"/>
        <v/>
      </c>
      <c r="AF250" s="42"/>
      <c r="AG250" s="42"/>
      <c r="AH250" s="42"/>
      <c r="AI250" s="46" t="str">
        <f t="shared" si="30"/>
        <v/>
      </c>
      <c r="AJ250" s="46" t="str">
        <f>IF(SUM(AA250,AE250,W250,AI250)=0,"",SUM((AA250,AE250,W250,AI250)))</f>
        <v/>
      </c>
      <c r="AK250" s="2"/>
      <c r="AL250" s="1" t="str">
        <f t="shared" si="31"/>
        <v/>
      </c>
      <c r="AM250" s="56" t="str">
        <f t="shared" si="33"/>
        <v/>
      </c>
      <c r="AN250" s="112" t="str">
        <f ca="1">IF($G250=Lists!$R$3,"T1: "&amp;TEXT(FORMULACIÓN!L250,"00,00%")&amp;CHAR(10)&amp;"T2: "&amp;TEXT(FORMULACIÓN!M250,"00,00%")&amp;CHAR(10)&amp;"T3: "&amp;TEXT(FORMULACIÓN!N250,"00,00%")&amp;CHAR(10)&amp;"Tn: "&amp;TEXT(FORMULACIÓN!O250,"00,00%"),IF(FORMULACIÓN!Q250=0,0,"T1: "&amp;TEXT(FORMULACIÓN!L250,"##.###")&amp;CHAR(10)&amp;"T2: "&amp;TEXT(FORMULACIÓN!M250,"##.###")&amp;CHAR(10)&amp;"T3: "&amp;TEXT(FORMULACIÓN!N250,"##.###")&amp;CHAR(10)&amp;"Tn: "&amp;TEXT(FORMULACIÓN!O250,"##.###")))</f>
        <v xml:space="preserve">T1: 
T2: 
T3: 
Tn: </v>
      </c>
      <c r="AO250" s="117" t="str">
        <f>IFERROR(IF($H250=Lists!$S$6,IF(AND(FORMULACIÓN!L250&gt;K250,K250&gt;0),1,0),IF((K250/FORMULACIÓN!L250)&lt;&gt;0,K250/FORMULACIÓN!L250,0)),"")</f>
        <v/>
      </c>
      <c r="AP250" s="117" t="str">
        <f>IFERROR(IF($H250=Lists!$S$6,IF(AND(FORMULACIÓN!M250&gt;L250,L250&gt;0),1,0),IF((L250/FORMULACIÓN!M250)&lt;&gt;0,L250/FORMULACIÓN!M250,0)),"")</f>
        <v/>
      </c>
      <c r="AQ250" s="117" t="str">
        <f>IFERROR(IF($H250=Lists!$S$6,IF(AND(FORMULACIÓN!N250&gt;M250,M250&gt;0),1,0),IF((M250/FORMULACIÓN!N250)&lt;&gt;0,M250/FORMULACIÓN!N250,0)),"")</f>
        <v/>
      </c>
      <c r="AR250" s="117" t="str">
        <f>IFERROR(IF($H250=Lists!$S$6,IF(AND(FORMULACIÓN!O250&gt;N250,N250&gt;0),1,0),IF((N250/FORMULACIÓN!O250)&lt;&gt;0,N250/FORMULACIÓN!O250,0)),"")</f>
        <v/>
      </c>
      <c r="AS250" s="110"/>
      <c r="AT250" s="118" t="str">
        <f ca="1">IF($H250=Lists!$S$6,TEXT(COUNTIF('SEGUIMIENTO Y EVALUACIÓN'!K250:N250,"&lt;"&amp;FORMULACIÓN!Q250),"##.###")&amp;" / "&amp;TEXT(COUNTIF('SEGUIMIENTO Y EVALUACIÓN'!K250:N250,"&gt;"&amp;0),"##.###"),IF($G250=Lists!$R$3,TEXT('SEGUIMIENTO Y EVALUACIÓN'!O250,"00,00%")&amp;" / "&amp;TEXT(FORMULACIÓN!P250,"00,00%"),IF('SEGUIMIENTO Y EVALUACIÓN'!O250=0,0,TEXT('SEGUIMIENTO Y EVALUACIÓN'!O250,"##.###")&amp;" / "&amp;TEXT(FORMULACIÓN!P250,"##.###"))))</f>
        <v xml:space="preserve"> / </v>
      </c>
      <c r="AU250" s="57">
        <f ca="1">IFERROR(IF((P250/FORMULACIÓN!Q250)&lt;&gt;0,IF($H250=Lists!$S$6,COUNTIF('SEGUIMIENTO Y EVALUACIÓN'!K250:N250,"&lt;"&amp;FORMULACIÓN!Q250),'SEGUIMIENTO Y EVALUACIÓN'!P250)/IF($H250=Lists!$S$6,COUNTIF('SEGUIMIENTO Y EVALUACIÓN'!K250:N250,"&gt;"&amp;0),FORMULACIÓN!P250),0),0)</f>
        <v>0</v>
      </c>
      <c r="AV250" s="93" t="str">
        <f t="shared" ca="1" si="32"/>
        <v/>
      </c>
      <c r="AW250" s="93" cm="1">
        <f t="array" ref="AW250">IF(INDEX(AO250:AU250,1,$AV$3)&gt;1,1,INDEX(AO250:AU250,1,$AV$3))</f>
        <v>1</v>
      </c>
      <c r="AX250" s="3"/>
      <c r="AY250" s="119" t="str">
        <f>IFERROR(IF((W250/FORMULACIÓN!X250)&lt;&gt;0,W250/FORMULACIÓN!X250,0),"")</f>
        <v/>
      </c>
      <c r="AZ250" s="119" t="str">
        <f>IFERROR(IF((AA250/FORMULACIÓN!AB250)&lt;&gt;0,AA250/FORMULACIÓN!AB250,0),"")</f>
        <v/>
      </c>
      <c r="BA250" s="119" t="str">
        <f>IFERROR(IF((AE250/FORMULACIÓN!AF250)&lt;&gt;0,(AE250/FORMULACIÓN!AF250),0),"")</f>
        <v/>
      </c>
      <c r="BB250" s="119" t="str">
        <f>IFERROR(IF((AI250/FORMULACIÓN!AJ250)&lt;&gt;0,AI250/FORMULACIÓN!AJ250,0),"")</f>
        <v/>
      </c>
      <c r="BC250" s="120" t="str">
        <f>IF('SEGUIMIENTO Y EVALUACIÓN'!AI250=0,0,TEXT('SEGUIMIENTO Y EVALUACIÓN'!AI250,"$ ##.###")&amp;" / "&amp;TEXT(FORMULACIÓN!AK250,"$ ##.###"))</f>
        <v xml:space="preserve"> / </v>
      </c>
      <c r="BD250" s="57">
        <f>IFERROR(IF((AJ250/FORMULACIÓN!AK250)&lt;&gt;0,AJ250/FORMULACIÓN!AK250,0),0)</f>
        <v>0</v>
      </c>
      <c r="CL250" s="7"/>
    </row>
    <row r="251" spans="1:90" s="1" customFormat="1" ht="99.95" customHeight="1">
      <c r="A251" s="45" t="str">
        <f>IF(FORMULACIÓN!A251="","",FORMULACIÓN!A251)</f>
        <v/>
      </c>
      <c r="B251" s="45" t="str">
        <f>IF(FORMULACIÓN!B251="","",FORMULACIÓN!B251)</f>
        <v/>
      </c>
      <c r="C251" s="45" t="str">
        <f>IF(FORMULACIÓN!E251="","",FORMULACIÓN!E251)</f>
        <v/>
      </c>
      <c r="D251" s="45" t="str">
        <f>IF(FORMULACIÓN!F251="","",FORMULACIÓN!F251)</f>
        <v/>
      </c>
      <c r="E251" s="45" t="str">
        <f>IF(FORMULACIÓN!G251="","",FORMULACIÓN!G251)</f>
        <v/>
      </c>
      <c r="F251" s="45" t="str">
        <f>IF(FORMULACIÓN!H251="","",FORMULACIÓN!H251)</f>
        <v/>
      </c>
      <c r="G251" s="45" t="str">
        <f>IF(FORMULACIÓN!I251="","",FORMULACIÓN!I251)</f>
        <v/>
      </c>
      <c r="H251" s="45" t="str">
        <f>IF(FORMULACIÓN!J251="","",FORMULACIÓN!J251)</f>
        <v/>
      </c>
      <c r="I251" s="188" t="str">
        <f ca="1">IF($G251=Lists!$R$3,"PDI: "&amp;TEXT(FORMULACIÓN!Q251,"00,00%")&amp;CHAR(10)&amp;CHAR(10)&amp;"T1: "&amp;TEXT(FORMULACIÓN!L251,"00,00%")&amp;CHAR(10)&amp;"T2: "&amp;TEXT(FORMULACIÓN!M251,"00,00%")&amp;CHAR(10)&amp;"T3: "&amp;TEXT(FORMULACIÓN!N251,"00,00%")&amp;CHAR(10)&amp;"Tn: "&amp;TEXT(FORMULACIÓN!O251,"00,00%"),IF(FORMULACIÓN!Q251=0,0,"PDI: "&amp;TEXT(FORMULACIÓN!Q251,"##.###")&amp;CHAR(10)&amp;CHAR(10)&amp;"T1: "&amp;TEXT(FORMULACIÓN!L251,"##.###")&amp;CHAR(10)&amp;"T2: "&amp;TEXT(FORMULACIÓN!M251,"##.###")&amp;CHAR(10)&amp;"T3: "&amp;TEXT(FORMULACIÓN!N251,"##.###")&amp;CHAR(10)&amp;"Tn: "&amp;TEXT(FORMULACIÓN!O251,"##.###")))</f>
        <v xml:space="preserve">PDI: 
T1: 
T2: 
T3: 
Tn: </v>
      </c>
      <c r="J251" s="122" t="str">
        <f>IF(FORMULACIÓN!K251&lt;&gt;"",FORMULACIÓN!K251,"")</f>
        <v/>
      </c>
      <c r="K251" s="58"/>
      <c r="L251" s="58"/>
      <c r="M251" s="58"/>
      <c r="N251" s="58"/>
      <c r="O251" s="47" t="str">
        <f ca="1">IFERROR(IF($H251=Lists!$S$2,SUM('SEGUIMIENTO Y EVALUACIÓN'!J251:N251),IF('SEGUIMIENTO Y EVALUACIÓN'!$H251=Lists!$S$3,SUM('SEGUIMIENTO Y EVALUACIÓN'!K251:N251),IF('SEGUIMIENTO Y EVALUACIÓN'!$H251=Lists!$S$4,AVERAGE('SEGUIMIENTO Y EVALUACIÓN'!K251:N251),IF('SEGUIMIENTO Y EVALUACIÓN'!$H251=Lists!$S$5,OFFSET(J251,0,COUNTA(K251:N251)),IF($H251=Lists!$S$6,COUNTIF(K251:N251,"&lt;"&amp;FORMULACIÓN!Q251)/COUNT('SEGUIMIENTO Y EVALUACIÓN'!K251:N251),""))))),"")</f>
        <v/>
      </c>
      <c r="P251" s="51" t="str">
        <f ca="1">IF($G251=Lists!$R$3,TEXT('SEGUIMIENTO Y EVALUACIÓN'!O251,"00,00%"),IF('SEGUIMIENTO Y EVALUACIÓN'!O251=0,0,TEXT('SEGUIMIENTO Y EVALUACIÓN'!O251,"##.###")))</f>
        <v/>
      </c>
      <c r="Q251" s="209" t="str">
        <f>IF(FORMULACIÓN!R251&lt;&gt;"",FORMULACIÓN!R251,"")</f>
        <v/>
      </c>
      <c r="R251" s="209" t="str">
        <f>IF(FORMULACIÓN!S251&lt;&gt;"",FORMULACIÓN!S251,"")</f>
        <v/>
      </c>
      <c r="S251" s="209" t="str">
        <f>IF(FORMULACIÓN!T251&lt;&gt;"",FORMULACIÓN!T251,"")</f>
        <v/>
      </c>
      <c r="T251" s="42"/>
      <c r="U251" s="42"/>
      <c r="V251" s="42"/>
      <c r="W251" s="43" t="str">
        <f t="shared" si="27"/>
        <v/>
      </c>
      <c r="X251" s="42"/>
      <c r="Y251" s="42"/>
      <c r="Z251" s="42"/>
      <c r="AA251" s="43" t="str">
        <f t="shared" si="28"/>
        <v/>
      </c>
      <c r="AB251" s="42"/>
      <c r="AC251" s="42"/>
      <c r="AD251" s="42"/>
      <c r="AE251" s="43" t="str">
        <f t="shared" si="29"/>
        <v/>
      </c>
      <c r="AF251" s="42"/>
      <c r="AG251" s="42"/>
      <c r="AH251" s="42"/>
      <c r="AI251" s="46" t="str">
        <f t="shared" si="30"/>
        <v/>
      </c>
      <c r="AJ251" s="46" t="str">
        <f>IF(SUM(AA251,AE251,W251,AI251)=0,"",SUM((AA251,AE251,W251,AI251)))</f>
        <v/>
      </c>
      <c r="AK251" s="2"/>
      <c r="AL251" s="1" t="str">
        <f t="shared" si="31"/>
        <v/>
      </c>
      <c r="AM251" s="56" t="str">
        <f t="shared" si="33"/>
        <v/>
      </c>
      <c r="AN251" s="112" t="str">
        <f ca="1">IF($G251=Lists!$R$3,"T1: "&amp;TEXT(FORMULACIÓN!L251,"00,00%")&amp;CHAR(10)&amp;"T2: "&amp;TEXT(FORMULACIÓN!M251,"00,00%")&amp;CHAR(10)&amp;"T3: "&amp;TEXT(FORMULACIÓN!N251,"00,00%")&amp;CHAR(10)&amp;"Tn: "&amp;TEXT(FORMULACIÓN!O251,"00,00%"),IF(FORMULACIÓN!Q251=0,0,"T1: "&amp;TEXT(FORMULACIÓN!L251,"##.###")&amp;CHAR(10)&amp;"T2: "&amp;TEXT(FORMULACIÓN!M251,"##.###")&amp;CHAR(10)&amp;"T3: "&amp;TEXT(FORMULACIÓN!N251,"##.###")&amp;CHAR(10)&amp;"Tn: "&amp;TEXT(FORMULACIÓN!O251,"##.###")))</f>
        <v xml:space="preserve">T1: 
T2: 
T3: 
Tn: </v>
      </c>
      <c r="AO251" s="117" t="str">
        <f>IFERROR(IF($H251=Lists!$S$6,IF(AND(FORMULACIÓN!L251&gt;K251,K251&gt;0),1,0),IF((K251/FORMULACIÓN!L251)&lt;&gt;0,K251/FORMULACIÓN!L251,0)),"")</f>
        <v/>
      </c>
      <c r="AP251" s="117" t="str">
        <f>IFERROR(IF($H251=Lists!$S$6,IF(AND(FORMULACIÓN!M251&gt;L251,L251&gt;0),1,0),IF((L251/FORMULACIÓN!M251)&lt;&gt;0,L251/FORMULACIÓN!M251,0)),"")</f>
        <v/>
      </c>
      <c r="AQ251" s="117" t="str">
        <f>IFERROR(IF($H251=Lists!$S$6,IF(AND(FORMULACIÓN!N251&gt;M251,M251&gt;0),1,0),IF((M251/FORMULACIÓN!N251)&lt;&gt;0,M251/FORMULACIÓN!N251,0)),"")</f>
        <v/>
      </c>
      <c r="AR251" s="117" t="str">
        <f>IFERROR(IF($H251=Lists!$S$6,IF(AND(FORMULACIÓN!O251&gt;N251,N251&gt;0),1,0),IF((N251/FORMULACIÓN!O251)&lt;&gt;0,N251/FORMULACIÓN!O251,0)),"")</f>
        <v/>
      </c>
      <c r="AS251" s="110"/>
      <c r="AT251" s="118" t="str">
        <f ca="1">IF($H251=Lists!$S$6,TEXT(COUNTIF('SEGUIMIENTO Y EVALUACIÓN'!K251:N251,"&lt;"&amp;FORMULACIÓN!Q251),"##.###")&amp;" / "&amp;TEXT(COUNTIF('SEGUIMIENTO Y EVALUACIÓN'!K251:N251,"&gt;"&amp;0),"##.###"),IF($G251=Lists!$R$3,TEXT('SEGUIMIENTO Y EVALUACIÓN'!O251,"00,00%")&amp;" / "&amp;TEXT(FORMULACIÓN!P251,"00,00%"),IF('SEGUIMIENTO Y EVALUACIÓN'!O251=0,0,TEXT('SEGUIMIENTO Y EVALUACIÓN'!O251,"##.###")&amp;" / "&amp;TEXT(FORMULACIÓN!P251,"##.###"))))</f>
        <v xml:space="preserve"> / </v>
      </c>
      <c r="AU251" s="57">
        <f ca="1">IFERROR(IF((P251/FORMULACIÓN!Q251)&lt;&gt;0,IF($H251=Lists!$S$6,COUNTIF('SEGUIMIENTO Y EVALUACIÓN'!K251:N251,"&lt;"&amp;FORMULACIÓN!Q251),'SEGUIMIENTO Y EVALUACIÓN'!P251)/IF($H251=Lists!$S$6,COUNTIF('SEGUIMIENTO Y EVALUACIÓN'!K251:N251,"&gt;"&amp;0),FORMULACIÓN!P251),0),0)</f>
        <v>0</v>
      </c>
      <c r="AV251" s="93" t="str">
        <f t="shared" ca="1" si="32"/>
        <v/>
      </c>
      <c r="AW251" s="93" cm="1">
        <f t="array" ref="AW251">IF(INDEX(AO251:AU251,1,$AV$3)&gt;1,1,INDEX(AO251:AU251,1,$AV$3))</f>
        <v>1</v>
      </c>
      <c r="AX251" s="3"/>
      <c r="AY251" s="119" t="str">
        <f>IFERROR(IF((W251/FORMULACIÓN!X251)&lt;&gt;0,W251/FORMULACIÓN!X251,0),"")</f>
        <v/>
      </c>
      <c r="AZ251" s="119" t="str">
        <f>IFERROR(IF((AA251/FORMULACIÓN!AB251)&lt;&gt;0,AA251/FORMULACIÓN!AB251,0),"")</f>
        <v/>
      </c>
      <c r="BA251" s="119" t="str">
        <f>IFERROR(IF((AE251/FORMULACIÓN!AF251)&lt;&gt;0,(AE251/FORMULACIÓN!AF251),0),"")</f>
        <v/>
      </c>
      <c r="BB251" s="119" t="str">
        <f>IFERROR(IF((AI251/FORMULACIÓN!AJ251)&lt;&gt;0,AI251/FORMULACIÓN!AJ251,0),"")</f>
        <v/>
      </c>
      <c r="BC251" s="120" t="str">
        <f>IF('SEGUIMIENTO Y EVALUACIÓN'!AI251=0,0,TEXT('SEGUIMIENTO Y EVALUACIÓN'!AI251,"$ ##.###")&amp;" / "&amp;TEXT(FORMULACIÓN!AK251,"$ ##.###"))</f>
        <v xml:space="preserve"> / </v>
      </c>
      <c r="BD251" s="57">
        <f>IFERROR(IF((AJ251/FORMULACIÓN!AK251)&lt;&gt;0,AJ251/FORMULACIÓN!AK251,0),0)</f>
        <v>0</v>
      </c>
      <c r="CL251" s="7"/>
    </row>
    <row r="252" spans="1:90" s="1" customFormat="1" ht="99.95" customHeight="1">
      <c r="A252" s="45" t="str">
        <f>IF(FORMULACIÓN!A252="","",FORMULACIÓN!A252)</f>
        <v/>
      </c>
      <c r="B252" s="45" t="str">
        <f>IF(FORMULACIÓN!B252="","",FORMULACIÓN!B252)</f>
        <v/>
      </c>
      <c r="C252" s="45" t="str">
        <f>IF(FORMULACIÓN!E252="","",FORMULACIÓN!E252)</f>
        <v/>
      </c>
      <c r="D252" s="45" t="str">
        <f>IF(FORMULACIÓN!F252="","",FORMULACIÓN!F252)</f>
        <v/>
      </c>
      <c r="E252" s="45" t="str">
        <f>IF(FORMULACIÓN!G252="","",FORMULACIÓN!G252)</f>
        <v/>
      </c>
      <c r="F252" s="45" t="str">
        <f>IF(FORMULACIÓN!H252="","",FORMULACIÓN!H252)</f>
        <v/>
      </c>
      <c r="G252" s="45" t="str">
        <f>IF(FORMULACIÓN!I252="","",FORMULACIÓN!I252)</f>
        <v/>
      </c>
      <c r="H252" s="45" t="str">
        <f>IF(FORMULACIÓN!J252="","",FORMULACIÓN!J252)</f>
        <v/>
      </c>
      <c r="I252" s="188" t="str">
        <f ca="1">IF($G252=Lists!$R$3,"PDI: "&amp;TEXT(FORMULACIÓN!Q252,"00,00%")&amp;CHAR(10)&amp;CHAR(10)&amp;"T1: "&amp;TEXT(FORMULACIÓN!L252,"00,00%")&amp;CHAR(10)&amp;"T2: "&amp;TEXT(FORMULACIÓN!M252,"00,00%")&amp;CHAR(10)&amp;"T3: "&amp;TEXT(FORMULACIÓN!N252,"00,00%")&amp;CHAR(10)&amp;"Tn: "&amp;TEXT(FORMULACIÓN!O252,"00,00%"),IF(FORMULACIÓN!Q252=0,0,"PDI: "&amp;TEXT(FORMULACIÓN!Q252,"##.###")&amp;CHAR(10)&amp;CHAR(10)&amp;"T1: "&amp;TEXT(FORMULACIÓN!L252,"##.###")&amp;CHAR(10)&amp;"T2: "&amp;TEXT(FORMULACIÓN!M252,"##.###")&amp;CHAR(10)&amp;"T3: "&amp;TEXT(FORMULACIÓN!N252,"##.###")&amp;CHAR(10)&amp;"Tn: "&amp;TEXT(FORMULACIÓN!O252,"##.###")))</f>
        <v xml:space="preserve">PDI: 
T1: 
T2: 
T3: 
Tn: </v>
      </c>
      <c r="J252" s="122" t="str">
        <f>IF(FORMULACIÓN!K252&lt;&gt;"",FORMULACIÓN!K252,"")</f>
        <v/>
      </c>
      <c r="K252" s="58"/>
      <c r="L252" s="58"/>
      <c r="M252" s="58"/>
      <c r="N252" s="58"/>
      <c r="O252" s="47" t="str">
        <f ca="1">IFERROR(IF($H252=Lists!$S$2,SUM('SEGUIMIENTO Y EVALUACIÓN'!J252:N252),IF('SEGUIMIENTO Y EVALUACIÓN'!$H252=Lists!$S$3,SUM('SEGUIMIENTO Y EVALUACIÓN'!K252:N252),IF('SEGUIMIENTO Y EVALUACIÓN'!$H252=Lists!$S$4,AVERAGE('SEGUIMIENTO Y EVALUACIÓN'!K252:N252),IF('SEGUIMIENTO Y EVALUACIÓN'!$H252=Lists!$S$5,OFFSET(J252,0,COUNTA(K252:N252)),IF($H252=Lists!$S$6,COUNTIF(K252:N252,"&lt;"&amp;FORMULACIÓN!Q252)/COUNT('SEGUIMIENTO Y EVALUACIÓN'!K252:N252),""))))),"")</f>
        <v/>
      </c>
      <c r="P252" s="51" t="str">
        <f ca="1">IF($G252=Lists!$R$3,TEXT('SEGUIMIENTO Y EVALUACIÓN'!O252,"00,00%"),IF('SEGUIMIENTO Y EVALUACIÓN'!O252=0,0,TEXT('SEGUIMIENTO Y EVALUACIÓN'!O252,"##.###")))</f>
        <v/>
      </c>
      <c r="Q252" s="209" t="str">
        <f>IF(FORMULACIÓN!R252&lt;&gt;"",FORMULACIÓN!R252,"")</f>
        <v/>
      </c>
      <c r="R252" s="209" t="str">
        <f>IF(FORMULACIÓN!S252&lt;&gt;"",FORMULACIÓN!S252,"")</f>
        <v/>
      </c>
      <c r="S252" s="209" t="str">
        <f>IF(FORMULACIÓN!T252&lt;&gt;"",FORMULACIÓN!T252,"")</f>
        <v/>
      </c>
      <c r="T252" s="42"/>
      <c r="U252" s="42"/>
      <c r="V252" s="42"/>
      <c r="W252" s="43" t="str">
        <f t="shared" si="27"/>
        <v/>
      </c>
      <c r="X252" s="42"/>
      <c r="Y252" s="42"/>
      <c r="Z252" s="42"/>
      <c r="AA252" s="43" t="str">
        <f t="shared" si="28"/>
        <v/>
      </c>
      <c r="AB252" s="42"/>
      <c r="AC252" s="42"/>
      <c r="AD252" s="42"/>
      <c r="AE252" s="43" t="str">
        <f t="shared" si="29"/>
        <v/>
      </c>
      <c r="AF252" s="42"/>
      <c r="AG252" s="42"/>
      <c r="AH252" s="42"/>
      <c r="AI252" s="46" t="str">
        <f t="shared" si="30"/>
        <v/>
      </c>
      <c r="AJ252" s="46" t="str">
        <f>IF(SUM(AA252,AE252,W252,AI252)=0,"",SUM((AA252,AE252,W252,AI252)))</f>
        <v/>
      </c>
      <c r="AK252" s="2"/>
      <c r="AL252" s="1" t="str">
        <f t="shared" si="31"/>
        <v/>
      </c>
      <c r="AM252" s="56" t="str">
        <f t="shared" si="33"/>
        <v/>
      </c>
      <c r="AN252" s="112" t="str">
        <f ca="1">IF($G252=Lists!$R$3,"T1: "&amp;TEXT(FORMULACIÓN!L252,"00,00%")&amp;CHAR(10)&amp;"T2: "&amp;TEXT(FORMULACIÓN!M252,"00,00%")&amp;CHAR(10)&amp;"T3: "&amp;TEXT(FORMULACIÓN!N252,"00,00%")&amp;CHAR(10)&amp;"Tn: "&amp;TEXT(FORMULACIÓN!O252,"00,00%"),IF(FORMULACIÓN!Q252=0,0,"T1: "&amp;TEXT(FORMULACIÓN!L252,"##.###")&amp;CHAR(10)&amp;"T2: "&amp;TEXT(FORMULACIÓN!M252,"##.###")&amp;CHAR(10)&amp;"T3: "&amp;TEXT(FORMULACIÓN!N252,"##.###")&amp;CHAR(10)&amp;"Tn: "&amp;TEXT(FORMULACIÓN!O252,"##.###")))</f>
        <v xml:space="preserve">T1: 
T2: 
T3: 
Tn: </v>
      </c>
      <c r="AO252" s="117" t="str">
        <f>IFERROR(IF($H252=Lists!$S$6,IF(AND(FORMULACIÓN!L252&gt;K252,K252&gt;0),1,0),IF((K252/FORMULACIÓN!L252)&lt;&gt;0,K252/FORMULACIÓN!L252,0)),"")</f>
        <v/>
      </c>
      <c r="AP252" s="117" t="str">
        <f>IFERROR(IF($H252=Lists!$S$6,IF(AND(FORMULACIÓN!M252&gt;L252,L252&gt;0),1,0),IF((L252/FORMULACIÓN!M252)&lt;&gt;0,L252/FORMULACIÓN!M252,0)),"")</f>
        <v/>
      </c>
      <c r="AQ252" s="117" t="str">
        <f>IFERROR(IF($H252=Lists!$S$6,IF(AND(FORMULACIÓN!N252&gt;M252,M252&gt;0),1,0),IF((M252/FORMULACIÓN!N252)&lt;&gt;0,M252/FORMULACIÓN!N252,0)),"")</f>
        <v/>
      </c>
      <c r="AR252" s="117" t="str">
        <f>IFERROR(IF($H252=Lists!$S$6,IF(AND(FORMULACIÓN!O252&gt;N252,N252&gt;0),1,0),IF((N252/FORMULACIÓN!O252)&lt;&gt;0,N252/FORMULACIÓN!O252,0)),"")</f>
        <v/>
      </c>
      <c r="AS252" s="110"/>
      <c r="AT252" s="118" t="str">
        <f ca="1">IF($H252=Lists!$S$6,TEXT(COUNTIF('SEGUIMIENTO Y EVALUACIÓN'!K252:N252,"&lt;"&amp;FORMULACIÓN!Q252),"##.###")&amp;" / "&amp;TEXT(COUNTIF('SEGUIMIENTO Y EVALUACIÓN'!K252:N252,"&gt;"&amp;0),"##.###"),IF($G252=Lists!$R$3,TEXT('SEGUIMIENTO Y EVALUACIÓN'!O252,"00,00%")&amp;" / "&amp;TEXT(FORMULACIÓN!P252,"00,00%"),IF('SEGUIMIENTO Y EVALUACIÓN'!O252=0,0,TEXT('SEGUIMIENTO Y EVALUACIÓN'!O252,"##.###")&amp;" / "&amp;TEXT(FORMULACIÓN!P252,"##.###"))))</f>
        <v xml:space="preserve"> / </v>
      </c>
      <c r="AU252" s="57">
        <f ca="1">IFERROR(IF((P252/FORMULACIÓN!Q252)&lt;&gt;0,IF($H252=Lists!$S$6,COUNTIF('SEGUIMIENTO Y EVALUACIÓN'!K252:N252,"&lt;"&amp;FORMULACIÓN!Q252),'SEGUIMIENTO Y EVALUACIÓN'!P252)/IF($H252=Lists!$S$6,COUNTIF('SEGUIMIENTO Y EVALUACIÓN'!K252:N252,"&gt;"&amp;0),FORMULACIÓN!P252),0),0)</f>
        <v>0</v>
      </c>
      <c r="AV252" s="93" t="str">
        <f t="shared" ca="1" si="32"/>
        <v/>
      </c>
      <c r="AW252" s="93" cm="1">
        <f t="array" ref="AW252">IF(INDEX(AO252:AU252,1,$AV$3)&gt;1,1,INDEX(AO252:AU252,1,$AV$3))</f>
        <v>1</v>
      </c>
      <c r="AX252" s="3"/>
      <c r="AY252" s="119" t="str">
        <f>IFERROR(IF((W252/FORMULACIÓN!X252)&lt;&gt;0,W252/FORMULACIÓN!X252,0),"")</f>
        <v/>
      </c>
      <c r="AZ252" s="119" t="str">
        <f>IFERROR(IF((AA252/FORMULACIÓN!AB252)&lt;&gt;0,AA252/FORMULACIÓN!AB252,0),"")</f>
        <v/>
      </c>
      <c r="BA252" s="119" t="str">
        <f>IFERROR(IF((AE252/FORMULACIÓN!AF252)&lt;&gt;0,(AE252/FORMULACIÓN!AF252),0),"")</f>
        <v/>
      </c>
      <c r="BB252" s="119" t="str">
        <f>IFERROR(IF((AI252/FORMULACIÓN!AJ252)&lt;&gt;0,AI252/FORMULACIÓN!AJ252,0),"")</f>
        <v/>
      </c>
      <c r="BC252" s="120" t="str">
        <f>IF('SEGUIMIENTO Y EVALUACIÓN'!AI252=0,0,TEXT('SEGUIMIENTO Y EVALUACIÓN'!AI252,"$ ##.###")&amp;" / "&amp;TEXT(FORMULACIÓN!AK252,"$ ##.###"))</f>
        <v xml:space="preserve"> / </v>
      </c>
      <c r="BD252" s="57">
        <f>IFERROR(IF((AJ252/FORMULACIÓN!AK252)&lt;&gt;0,AJ252/FORMULACIÓN!AK252,0),0)</f>
        <v>0</v>
      </c>
      <c r="CL252" s="7"/>
    </row>
    <row r="253" spans="1:90" s="1" customFormat="1" ht="99.95" customHeight="1">
      <c r="A253" s="45" t="str">
        <f>IF(FORMULACIÓN!A253="","",FORMULACIÓN!A253)</f>
        <v/>
      </c>
      <c r="B253" s="45" t="str">
        <f>IF(FORMULACIÓN!B253="","",FORMULACIÓN!B253)</f>
        <v/>
      </c>
      <c r="C253" s="45" t="str">
        <f>IF(FORMULACIÓN!E253="","",FORMULACIÓN!E253)</f>
        <v/>
      </c>
      <c r="D253" s="45" t="str">
        <f>IF(FORMULACIÓN!F253="","",FORMULACIÓN!F253)</f>
        <v/>
      </c>
      <c r="E253" s="45" t="str">
        <f>IF(FORMULACIÓN!G253="","",FORMULACIÓN!G253)</f>
        <v/>
      </c>
      <c r="F253" s="45" t="str">
        <f>IF(FORMULACIÓN!H253="","",FORMULACIÓN!H253)</f>
        <v/>
      </c>
      <c r="G253" s="45" t="str">
        <f>IF(FORMULACIÓN!I253="","",FORMULACIÓN!I253)</f>
        <v/>
      </c>
      <c r="H253" s="45" t="str">
        <f>IF(FORMULACIÓN!J253="","",FORMULACIÓN!J253)</f>
        <v/>
      </c>
      <c r="I253" s="188" t="str">
        <f ca="1">IF($G253=Lists!$R$3,"PDI: "&amp;TEXT(FORMULACIÓN!Q253,"00,00%")&amp;CHAR(10)&amp;CHAR(10)&amp;"T1: "&amp;TEXT(FORMULACIÓN!L253,"00,00%")&amp;CHAR(10)&amp;"T2: "&amp;TEXT(FORMULACIÓN!M253,"00,00%")&amp;CHAR(10)&amp;"T3: "&amp;TEXT(FORMULACIÓN!N253,"00,00%")&amp;CHAR(10)&amp;"Tn: "&amp;TEXT(FORMULACIÓN!O253,"00,00%"),IF(FORMULACIÓN!Q253=0,0,"PDI: "&amp;TEXT(FORMULACIÓN!Q253,"##.###")&amp;CHAR(10)&amp;CHAR(10)&amp;"T1: "&amp;TEXT(FORMULACIÓN!L253,"##.###")&amp;CHAR(10)&amp;"T2: "&amp;TEXT(FORMULACIÓN!M253,"##.###")&amp;CHAR(10)&amp;"T3: "&amp;TEXT(FORMULACIÓN!N253,"##.###")&amp;CHAR(10)&amp;"Tn: "&amp;TEXT(FORMULACIÓN!O253,"##.###")))</f>
        <v xml:space="preserve">PDI: 
T1: 
T2: 
T3: 
Tn: </v>
      </c>
      <c r="J253" s="122" t="str">
        <f>IF(FORMULACIÓN!K253&lt;&gt;"",FORMULACIÓN!K253,"")</f>
        <v/>
      </c>
      <c r="K253" s="58"/>
      <c r="L253" s="58"/>
      <c r="M253" s="58"/>
      <c r="N253" s="58"/>
      <c r="O253" s="47" t="str">
        <f ca="1">IFERROR(IF($H253=Lists!$S$2,SUM('SEGUIMIENTO Y EVALUACIÓN'!J253:N253),IF('SEGUIMIENTO Y EVALUACIÓN'!$H253=Lists!$S$3,SUM('SEGUIMIENTO Y EVALUACIÓN'!K253:N253),IF('SEGUIMIENTO Y EVALUACIÓN'!$H253=Lists!$S$4,AVERAGE('SEGUIMIENTO Y EVALUACIÓN'!K253:N253),IF('SEGUIMIENTO Y EVALUACIÓN'!$H253=Lists!$S$5,OFFSET(J253,0,COUNTA(K253:N253)),IF($H253=Lists!$S$6,COUNTIF(K253:N253,"&lt;"&amp;FORMULACIÓN!Q253)/COUNT('SEGUIMIENTO Y EVALUACIÓN'!K253:N253),""))))),"")</f>
        <v/>
      </c>
      <c r="P253" s="51" t="str">
        <f ca="1">IF($G253=Lists!$R$3,TEXT('SEGUIMIENTO Y EVALUACIÓN'!O253,"00,00%"),IF('SEGUIMIENTO Y EVALUACIÓN'!O253=0,0,TEXT('SEGUIMIENTO Y EVALUACIÓN'!O253,"##.###")))</f>
        <v/>
      </c>
      <c r="Q253" s="209" t="str">
        <f>IF(FORMULACIÓN!R253&lt;&gt;"",FORMULACIÓN!R253,"")</f>
        <v/>
      </c>
      <c r="R253" s="209" t="str">
        <f>IF(FORMULACIÓN!S253&lt;&gt;"",FORMULACIÓN!S253,"")</f>
        <v/>
      </c>
      <c r="S253" s="209" t="str">
        <f>IF(FORMULACIÓN!T253&lt;&gt;"",FORMULACIÓN!T253,"")</f>
        <v/>
      </c>
      <c r="T253" s="42"/>
      <c r="U253" s="42"/>
      <c r="V253" s="42"/>
      <c r="W253" s="43" t="str">
        <f t="shared" si="27"/>
        <v/>
      </c>
      <c r="X253" s="42"/>
      <c r="Y253" s="42"/>
      <c r="Z253" s="42"/>
      <c r="AA253" s="43" t="str">
        <f t="shared" si="28"/>
        <v/>
      </c>
      <c r="AB253" s="42"/>
      <c r="AC253" s="42"/>
      <c r="AD253" s="42"/>
      <c r="AE253" s="43" t="str">
        <f t="shared" si="29"/>
        <v/>
      </c>
      <c r="AF253" s="42"/>
      <c r="AG253" s="42"/>
      <c r="AH253" s="42"/>
      <c r="AI253" s="46" t="str">
        <f t="shared" si="30"/>
        <v/>
      </c>
      <c r="AJ253" s="46" t="str">
        <f>IF(SUM(AA253,AE253,W253,AI253)=0,"",SUM((AA253,AE253,W253,AI253)))</f>
        <v/>
      </c>
      <c r="AK253" s="2"/>
      <c r="AL253" s="1" t="str">
        <f t="shared" si="31"/>
        <v/>
      </c>
      <c r="AM253" s="56" t="str">
        <f t="shared" si="33"/>
        <v/>
      </c>
      <c r="AN253" s="112" t="str">
        <f ca="1">IF($G253=Lists!$R$3,"T1: "&amp;TEXT(FORMULACIÓN!L253,"00,00%")&amp;CHAR(10)&amp;"T2: "&amp;TEXT(FORMULACIÓN!M253,"00,00%")&amp;CHAR(10)&amp;"T3: "&amp;TEXT(FORMULACIÓN!N253,"00,00%")&amp;CHAR(10)&amp;"Tn: "&amp;TEXT(FORMULACIÓN!O253,"00,00%"),IF(FORMULACIÓN!Q253=0,0,"T1: "&amp;TEXT(FORMULACIÓN!L253,"##.###")&amp;CHAR(10)&amp;"T2: "&amp;TEXT(FORMULACIÓN!M253,"##.###")&amp;CHAR(10)&amp;"T3: "&amp;TEXT(FORMULACIÓN!N253,"##.###")&amp;CHAR(10)&amp;"Tn: "&amp;TEXT(FORMULACIÓN!O253,"##.###")))</f>
        <v xml:space="preserve">T1: 
T2: 
T3: 
Tn: </v>
      </c>
      <c r="AO253" s="117" t="str">
        <f>IFERROR(IF($H253=Lists!$S$6,IF(AND(FORMULACIÓN!L253&gt;K253,K253&gt;0),1,0),IF((K253/FORMULACIÓN!L253)&lt;&gt;0,K253/FORMULACIÓN!L253,0)),"")</f>
        <v/>
      </c>
      <c r="AP253" s="117" t="str">
        <f>IFERROR(IF($H253=Lists!$S$6,IF(AND(FORMULACIÓN!M253&gt;L253,L253&gt;0),1,0),IF((L253/FORMULACIÓN!M253)&lt;&gt;0,L253/FORMULACIÓN!M253,0)),"")</f>
        <v/>
      </c>
      <c r="AQ253" s="117" t="str">
        <f>IFERROR(IF($H253=Lists!$S$6,IF(AND(FORMULACIÓN!N253&gt;M253,M253&gt;0),1,0),IF((M253/FORMULACIÓN!N253)&lt;&gt;0,M253/FORMULACIÓN!N253,0)),"")</f>
        <v/>
      </c>
      <c r="AR253" s="117" t="str">
        <f>IFERROR(IF($H253=Lists!$S$6,IF(AND(FORMULACIÓN!O253&gt;N253,N253&gt;0),1,0),IF((N253/FORMULACIÓN!O253)&lt;&gt;0,N253/FORMULACIÓN!O253,0)),"")</f>
        <v/>
      </c>
      <c r="AS253" s="110"/>
      <c r="AT253" s="118" t="str">
        <f ca="1">IF($H253=Lists!$S$6,TEXT(COUNTIF('SEGUIMIENTO Y EVALUACIÓN'!K253:N253,"&lt;"&amp;FORMULACIÓN!Q253),"##.###")&amp;" / "&amp;TEXT(COUNTIF('SEGUIMIENTO Y EVALUACIÓN'!K253:N253,"&gt;"&amp;0),"##.###"),IF($G253=Lists!$R$3,TEXT('SEGUIMIENTO Y EVALUACIÓN'!O253,"00,00%")&amp;" / "&amp;TEXT(FORMULACIÓN!P253,"00,00%"),IF('SEGUIMIENTO Y EVALUACIÓN'!O253=0,0,TEXT('SEGUIMIENTO Y EVALUACIÓN'!O253,"##.###")&amp;" / "&amp;TEXT(FORMULACIÓN!P253,"##.###"))))</f>
        <v xml:space="preserve"> / </v>
      </c>
      <c r="AU253" s="57">
        <f ca="1">IFERROR(IF((P253/FORMULACIÓN!Q253)&lt;&gt;0,IF($H253=Lists!$S$6,COUNTIF('SEGUIMIENTO Y EVALUACIÓN'!K253:N253,"&lt;"&amp;FORMULACIÓN!Q253),'SEGUIMIENTO Y EVALUACIÓN'!P253)/IF($H253=Lists!$S$6,COUNTIF('SEGUIMIENTO Y EVALUACIÓN'!K253:N253,"&gt;"&amp;0),FORMULACIÓN!P253),0),0)</f>
        <v>0</v>
      </c>
      <c r="AV253" s="93" t="str">
        <f t="shared" ca="1" si="32"/>
        <v/>
      </c>
      <c r="AW253" s="93" cm="1">
        <f t="array" ref="AW253">IF(INDEX(AO253:AU253,1,$AV$3)&gt;1,1,INDEX(AO253:AU253,1,$AV$3))</f>
        <v>1</v>
      </c>
      <c r="AX253" s="3"/>
      <c r="AY253" s="119" t="str">
        <f>IFERROR(IF((W253/FORMULACIÓN!X253)&lt;&gt;0,W253/FORMULACIÓN!X253,0),"")</f>
        <v/>
      </c>
      <c r="AZ253" s="119" t="str">
        <f>IFERROR(IF((AA253/FORMULACIÓN!AB253)&lt;&gt;0,AA253/FORMULACIÓN!AB253,0),"")</f>
        <v/>
      </c>
      <c r="BA253" s="119" t="str">
        <f>IFERROR(IF((AE253/FORMULACIÓN!AF253)&lt;&gt;0,(AE253/FORMULACIÓN!AF253),0),"")</f>
        <v/>
      </c>
      <c r="BB253" s="119" t="str">
        <f>IFERROR(IF((AI253/FORMULACIÓN!AJ253)&lt;&gt;0,AI253/FORMULACIÓN!AJ253,0),"")</f>
        <v/>
      </c>
      <c r="BC253" s="120" t="str">
        <f>IF('SEGUIMIENTO Y EVALUACIÓN'!AI253=0,0,TEXT('SEGUIMIENTO Y EVALUACIÓN'!AI253,"$ ##.###")&amp;" / "&amp;TEXT(FORMULACIÓN!AK253,"$ ##.###"))</f>
        <v xml:space="preserve"> / </v>
      </c>
      <c r="BD253" s="57">
        <f>IFERROR(IF((AJ253/FORMULACIÓN!AK253)&lt;&gt;0,AJ253/FORMULACIÓN!AK253,0),0)</f>
        <v>0</v>
      </c>
      <c r="CL253" s="7"/>
    </row>
    <row r="254" spans="1:90" s="1" customFormat="1" ht="99.95" customHeight="1">
      <c r="A254" s="45" t="str">
        <f>IF(FORMULACIÓN!A254="","",FORMULACIÓN!A254)</f>
        <v/>
      </c>
      <c r="B254" s="45" t="str">
        <f>IF(FORMULACIÓN!B254="","",FORMULACIÓN!B254)</f>
        <v/>
      </c>
      <c r="C254" s="45" t="str">
        <f>IF(FORMULACIÓN!E254="","",FORMULACIÓN!E254)</f>
        <v/>
      </c>
      <c r="D254" s="45" t="str">
        <f>IF(FORMULACIÓN!F254="","",FORMULACIÓN!F254)</f>
        <v/>
      </c>
      <c r="E254" s="45" t="str">
        <f>IF(FORMULACIÓN!G254="","",FORMULACIÓN!G254)</f>
        <v/>
      </c>
      <c r="F254" s="45" t="str">
        <f>IF(FORMULACIÓN!H254="","",FORMULACIÓN!H254)</f>
        <v/>
      </c>
      <c r="G254" s="45" t="str">
        <f>IF(FORMULACIÓN!I254="","",FORMULACIÓN!I254)</f>
        <v/>
      </c>
      <c r="H254" s="45" t="str">
        <f>IF(FORMULACIÓN!J254="","",FORMULACIÓN!J254)</f>
        <v/>
      </c>
      <c r="I254" s="188" t="str">
        <f ca="1">IF($G254=Lists!$R$3,"PDI: "&amp;TEXT(FORMULACIÓN!Q254,"00,00%")&amp;CHAR(10)&amp;CHAR(10)&amp;"T1: "&amp;TEXT(FORMULACIÓN!L254,"00,00%")&amp;CHAR(10)&amp;"T2: "&amp;TEXT(FORMULACIÓN!M254,"00,00%")&amp;CHAR(10)&amp;"T3: "&amp;TEXT(FORMULACIÓN!N254,"00,00%")&amp;CHAR(10)&amp;"Tn: "&amp;TEXT(FORMULACIÓN!O254,"00,00%"),IF(FORMULACIÓN!Q254=0,0,"PDI: "&amp;TEXT(FORMULACIÓN!Q254,"##.###")&amp;CHAR(10)&amp;CHAR(10)&amp;"T1: "&amp;TEXT(FORMULACIÓN!L254,"##.###")&amp;CHAR(10)&amp;"T2: "&amp;TEXT(FORMULACIÓN!M254,"##.###")&amp;CHAR(10)&amp;"T3: "&amp;TEXT(FORMULACIÓN!N254,"##.###")&amp;CHAR(10)&amp;"Tn: "&amp;TEXT(FORMULACIÓN!O254,"##.###")))</f>
        <v xml:space="preserve">PDI: 
T1: 
T2: 
T3: 
Tn: </v>
      </c>
      <c r="J254" s="122" t="str">
        <f>IF(FORMULACIÓN!K254&lt;&gt;"",FORMULACIÓN!K254,"")</f>
        <v/>
      </c>
      <c r="K254" s="58"/>
      <c r="L254" s="58"/>
      <c r="M254" s="58"/>
      <c r="N254" s="58"/>
      <c r="O254" s="47" t="str">
        <f ca="1">IFERROR(IF($H254=Lists!$S$2,SUM('SEGUIMIENTO Y EVALUACIÓN'!J254:N254),IF('SEGUIMIENTO Y EVALUACIÓN'!$H254=Lists!$S$3,SUM('SEGUIMIENTO Y EVALUACIÓN'!K254:N254),IF('SEGUIMIENTO Y EVALUACIÓN'!$H254=Lists!$S$4,AVERAGE('SEGUIMIENTO Y EVALUACIÓN'!K254:N254),IF('SEGUIMIENTO Y EVALUACIÓN'!$H254=Lists!$S$5,OFFSET(J254,0,COUNTA(K254:N254)),IF($H254=Lists!$S$6,COUNTIF(K254:N254,"&lt;"&amp;FORMULACIÓN!Q254)/COUNT('SEGUIMIENTO Y EVALUACIÓN'!K254:N254),""))))),"")</f>
        <v/>
      </c>
      <c r="P254" s="51" t="str">
        <f ca="1">IF($G254=Lists!$R$3,TEXT('SEGUIMIENTO Y EVALUACIÓN'!O254,"00,00%"),IF('SEGUIMIENTO Y EVALUACIÓN'!O254=0,0,TEXT('SEGUIMIENTO Y EVALUACIÓN'!O254,"##.###")))</f>
        <v/>
      </c>
      <c r="Q254" s="209" t="str">
        <f>IF(FORMULACIÓN!R254&lt;&gt;"",FORMULACIÓN!R254,"")</f>
        <v/>
      </c>
      <c r="R254" s="209" t="str">
        <f>IF(FORMULACIÓN!S254&lt;&gt;"",FORMULACIÓN!S254,"")</f>
        <v/>
      </c>
      <c r="S254" s="209" t="str">
        <f>IF(FORMULACIÓN!T254&lt;&gt;"",FORMULACIÓN!T254,"")</f>
        <v/>
      </c>
      <c r="T254" s="42"/>
      <c r="U254" s="42"/>
      <c r="V254" s="42"/>
      <c r="W254" s="43" t="str">
        <f t="shared" si="27"/>
        <v/>
      </c>
      <c r="X254" s="42"/>
      <c r="Y254" s="42"/>
      <c r="Z254" s="42"/>
      <c r="AA254" s="43" t="str">
        <f t="shared" si="28"/>
        <v/>
      </c>
      <c r="AB254" s="42"/>
      <c r="AC254" s="42"/>
      <c r="AD254" s="42"/>
      <c r="AE254" s="43" t="str">
        <f t="shared" si="29"/>
        <v/>
      </c>
      <c r="AF254" s="42"/>
      <c r="AG254" s="42"/>
      <c r="AH254" s="42"/>
      <c r="AI254" s="46" t="str">
        <f t="shared" si="30"/>
        <v/>
      </c>
      <c r="AJ254" s="46" t="str">
        <f>IF(SUM(AA254,AE254,W254,AI254)=0,"",SUM((AA254,AE254,W254,AI254)))</f>
        <v/>
      </c>
      <c r="AK254" s="2"/>
      <c r="AL254" s="1" t="str">
        <f t="shared" si="31"/>
        <v/>
      </c>
      <c r="AM254" s="56" t="str">
        <f t="shared" si="33"/>
        <v/>
      </c>
      <c r="AN254" s="112" t="str">
        <f ca="1">IF($G254=Lists!$R$3,"T1: "&amp;TEXT(FORMULACIÓN!L254,"00,00%")&amp;CHAR(10)&amp;"T2: "&amp;TEXT(FORMULACIÓN!M254,"00,00%")&amp;CHAR(10)&amp;"T3: "&amp;TEXT(FORMULACIÓN!N254,"00,00%")&amp;CHAR(10)&amp;"Tn: "&amp;TEXT(FORMULACIÓN!O254,"00,00%"),IF(FORMULACIÓN!Q254=0,0,"T1: "&amp;TEXT(FORMULACIÓN!L254,"##.###")&amp;CHAR(10)&amp;"T2: "&amp;TEXT(FORMULACIÓN!M254,"##.###")&amp;CHAR(10)&amp;"T3: "&amp;TEXT(FORMULACIÓN!N254,"##.###")&amp;CHAR(10)&amp;"Tn: "&amp;TEXT(FORMULACIÓN!O254,"##.###")))</f>
        <v xml:space="preserve">T1: 
T2: 
T3: 
Tn: </v>
      </c>
      <c r="AO254" s="117" t="str">
        <f>IFERROR(IF($H254=Lists!$S$6,IF(AND(FORMULACIÓN!L254&gt;K254,K254&gt;0),1,0),IF((K254/FORMULACIÓN!L254)&lt;&gt;0,K254/FORMULACIÓN!L254,0)),"")</f>
        <v/>
      </c>
      <c r="AP254" s="117" t="str">
        <f>IFERROR(IF($H254=Lists!$S$6,IF(AND(FORMULACIÓN!M254&gt;L254,L254&gt;0),1,0),IF((L254/FORMULACIÓN!M254)&lt;&gt;0,L254/FORMULACIÓN!M254,0)),"")</f>
        <v/>
      </c>
      <c r="AQ254" s="117" t="str">
        <f>IFERROR(IF($H254=Lists!$S$6,IF(AND(FORMULACIÓN!N254&gt;M254,M254&gt;0),1,0),IF((M254/FORMULACIÓN!N254)&lt;&gt;0,M254/FORMULACIÓN!N254,0)),"")</f>
        <v/>
      </c>
      <c r="AR254" s="117" t="str">
        <f>IFERROR(IF($H254=Lists!$S$6,IF(AND(FORMULACIÓN!O254&gt;N254,N254&gt;0),1,0),IF((N254/FORMULACIÓN!O254)&lt;&gt;0,N254/FORMULACIÓN!O254,0)),"")</f>
        <v/>
      </c>
      <c r="AS254" s="110"/>
      <c r="AT254" s="118" t="str">
        <f ca="1">IF($H254=Lists!$S$6,TEXT(COUNTIF('SEGUIMIENTO Y EVALUACIÓN'!K254:N254,"&lt;"&amp;FORMULACIÓN!Q254),"##.###")&amp;" / "&amp;TEXT(COUNTIF('SEGUIMIENTO Y EVALUACIÓN'!K254:N254,"&gt;"&amp;0),"##.###"),IF($G254=Lists!$R$3,TEXT('SEGUIMIENTO Y EVALUACIÓN'!O254,"00,00%")&amp;" / "&amp;TEXT(FORMULACIÓN!P254,"00,00%"),IF('SEGUIMIENTO Y EVALUACIÓN'!O254=0,0,TEXT('SEGUIMIENTO Y EVALUACIÓN'!O254,"##.###")&amp;" / "&amp;TEXT(FORMULACIÓN!P254,"##.###"))))</f>
        <v xml:space="preserve"> / </v>
      </c>
      <c r="AU254" s="57">
        <f ca="1">IFERROR(IF((P254/FORMULACIÓN!Q254)&lt;&gt;0,IF($H254=Lists!$S$6,COUNTIF('SEGUIMIENTO Y EVALUACIÓN'!K254:N254,"&lt;"&amp;FORMULACIÓN!Q254),'SEGUIMIENTO Y EVALUACIÓN'!P254)/IF($H254=Lists!$S$6,COUNTIF('SEGUIMIENTO Y EVALUACIÓN'!K254:N254,"&gt;"&amp;0),FORMULACIÓN!P254),0),0)</f>
        <v>0</v>
      </c>
      <c r="AV254" s="93" t="str">
        <f t="shared" ca="1" si="32"/>
        <v/>
      </c>
      <c r="AW254" s="93" cm="1">
        <f t="array" ref="AW254">IF(INDEX(AO254:AU254,1,$AV$3)&gt;1,1,INDEX(AO254:AU254,1,$AV$3))</f>
        <v>1</v>
      </c>
      <c r="AX254" s="3"/>
      <c r="AY254" s="119" t="str">
        <f>IFERROR(IF((W254/FORMULACIÓN!X254)&lt;&gt;0,W254/FORMULACIÓN!X254,0),"")</f>
        <v/>
      </c>
      <c r="AZ254" s="119" t="str">
        <f>IFERROR(IF((AA254/FORMULACIÓN!AB254)&lt;&gt;0,AA254/FORMULACIÓN!AB254,0),"")</f>
        <v/>
      </c>
      <c r="BA254" s="119" t="str">
        <f>IFERROR(IF((AE254/FORMULACIÓN!AF254)&lt;&gt;0,(AE254/FORMULACIÓN!AF254),0),"")</f>
        <v/>
      </c>
      <c r="BB254" s="119" t="str">
        <f>IFERROR(IF((AI254/FORMULACIÓN!AJ254)&lt;&gt;0,AI254/FORMULACIÓN!AJ254,0),"")</f>
        <v/>
      </c>
      <c r="BC254" s="120" t="str">
        <f>IF('SEGUIMIENTO Y EVALUACIÓN'!AI254=0,0,TEXT('SEGUIMIENTO Y EVALUACIÓN'!AI254,"$ ##.###")&amp;" / "&amp;TEXT(FORMULACIÓN!AK254,"$ ##.###"))</f>
        <v xml:space="preserve"> / </v>
      </c>
      <c r="BD254" s="57">
        <f>IFERROR(IF((AJ254/FORMULACIÓN!AK254)&lt;&gt;0,AJ254/FORMULACIÓN!AK254,0),0)</f>
        <v>0</v>
      </c>
      <c r="CL254" s="7"/>
    </row>
    <row r="255" spans="1:90" s="1" customFormat="1" ht="99.95" customHeight="1">
      <c r="A255" s="45" t="str">
        <f>IF(FORMULACIÓN!A255="","",FORMULACIÓN!A255)</f>
        <v/>
      </c>
      <c r="B255" s="45" t="str">
        <f>IF(FORMULACIÓN!B255="","",FORMULACIÓN!B255)</f>
        <v/>
      </c>
      <c r="C255" s="45" t="str">
        <f>IF(FORMULACIÓN!E255="","",FORMULACIÓN!E255)</f>
        <v/>
      </c>
      <c r="D255" s="45" t="str">
        <f>IF(FORMULACIÓN!F255="","",FORMULACIÓN!F255)</f>
        <v/>
      </c>
      <c r="E255" s="45" t="str">
        <f>IF(FORMULACIÓN!G255="","",FORMULACIÓN!G255)</f>
        <v/>
      </c>
      <c r="F255" s="45" t="str">
        <f>IF(FORMULACIÓN!H255="","",FORMULACIÓN!H255)</f>
        <v/>
      </c>
      <c r="G255" s="45" t="str">
        <f>IF(FORMULACIÓN!I255="","",FORMULACIÓN!I255)</f>
        <v/>
      </c>
      <c r="H255" s="45" t="str">
        <f>IF(FORMULACIÓN!J255="","",FORMULACIÓN!J255)</f>
        <v/>
      </c>
      <c r="I255" s="188" t="str">
        <f ca="1">IF($G255=Lists!$R$3,"PDI: "&amp;TEXT(FORMULACIÓN!Q255,"00,00%")&amp;CHAR(10)&amp;CHAR(10)&amp;"T1: "&amp;TEXT(FORMULACIÓN!L255,"00,00%")&amp;CHAR(10)&amp;"T2: "&amp;TEXT(FORMULACIÓN!M255,"00,00%")&amp;CHAR(10)&amp;"T3: "&amp;TEXT(FORMULACIÓN!N255,"00,00%")&amp;CHAR(10)&amp;"Tn: "&amp;TEXT(FORMULACIÓN!O255,"00,00%"),IF(FORMULACIÓN!Q255=0,0,"PDI: "&amp;TEXT(FORMULACIÓN!Q255,"##.###")&amp;CHAR(10)&amp;CHAR(10)&amp;"T1: "&amp;TEXT(FORMULACIÓN!L255,"##.###")&amp;CHAR(10)&amp;"T2: "&amp;TEXT(FORMULACIÓN!M255,"##.###")&amp;CHAR(10)&amp;"T3: "&amp;TEXT(FORMULACIÓN!N255,"##.###")&amp;CHAR(10)&amp;"Tn: "&amp;TEXT(FORMULACIÓN!O255,"##.###")))</f>
        <v xml:space="preserve">PDI: 
T1: 
T2: 
T3: 
Tn: </v>
      </c>
      <c r="J255" s="122" t="str">
        <f>IF(FORMULACIÓN!K255&lt;&gt;"",FORMULACIÓN!K255,"")</f>
        <v/>
      </c>
      <c r="K255" s="58"/>
      <c r="L255" s="58"/>
      <c r="M255" s="58"/>
      <c r="N255" s="58"/>
      <c r="O255" s="47" t="str">
        <f ca="1">IFERROR(IF($H255=Lists!$S$2,SUM('SEGUIMIENTO Y EVALUACIÓN'!J255:N255),IF('SEGUIMIENTO Y EVALUACIÓN'!$H255=Lists!$S$3,SUM('SEGUIMIENTO Y EVALUACIÓN'!K255:N255),IF('SEGUIMIENTO Y EVALUACIÓN'!$H255=Lists!$S$4,AVERAGE('SEGUIMIENTO Y EVALUACIÓN'!K255:N255),IF('SEGUIMIENTO Y EVALUACIÓN'!$H255=Lists!$S$5,OFFSET(J255,0,COUNTA(K255:N255)),IF($H255=Lists!$S$6,COUNTIF(K255:N255,"&lt;"&amp;FORMULACIÓN!Q255)/COUNT('SEGUIMIENTO Y EVALUACIÓN'!K255:N255),""))))),"")</f>
        <v/>
      </c>
      <c r="P255" s="51" t="str">
        <f ca="1">IF($G255=Lists!$R$3,TEXT('SEGUIMIENTO Y EVALUACIÓN'!O255,"00,00%"),IF('SEGUIMIENTO Y EVALUACIÓN'!O255=0,0,TEXT('SEGUIMIENTO Y EVALUACIÓN'!O255,"##.###")))</f>
        <v/>
      </c>
      <c r="Q255" s="209" t="str">
        <f>IF(FORMULACIÓN!R255&lt;&gt;"",FORMULACIÓN!R255,"")</f>
        <v/>
      </c>
      <c r="R255" s="209" t="str">
        <f>IF(FORMULACIÓN!S255&lt;&gt;"",FORMULACIÓN!S255,"")</f>
        <v/>
      </c>
      <c r="S255" s="209" t="str">
        <f>IF(FORMULACIÓN!T255&lt;&gt;"",FORMULACIÓN!T255,"")</f>
        <v/>
      </c>
      <c r="T255" s="42"/>
      <c r="U255" s="42"/>
      <c r="V255" s="42"/>
      <c r="W255" s="43" t="str">
        <f t="shared" si="27"/>
        <v/>
      </c>
      <c r="X255" s="42"/>
      <c r="Y255" s="42"/>
      <c r="Z255" s="42"/>
      <c r="AA255" s="43" t="str">
        <f t="shared" si="28"/>
        <v/>
      </c>
      <c r="AB255" s="42"/>
      <c r="AC255" s="42"/>
      <c r="AD255" s="42"/>
      <c r="AE255" s="43" t="str">
        <f t="shared" si="29"/>
        <v/>
      </c>
      <c r="AF255" s="42"/>
      <c r="AG255" s="42"/>
      <c r="AH255" s="42"/>
      <c r="AI255" s="46" t="str">
        <f t="shared" si="30"/>
        <v/>
      </c>
      <c r="AJ255" s="46" t="str">
        <f>IF(SUM(AA255,AE255,W255,AI255)=0,"",SUM((AA255,AE255,W255,AI255)))</f>
        <v/>
      </c>
      <c r="AK255" s="2"/>
      <c r="AL255" s="1" t="str">
        <f t="shared" si="31"/>
        <v/>
      </c>
      <c r="AM255" s="56" t="str">
        <f t="shared" si="33"/>
        <v/>
      </c>
      <c r="AN255" s="112" t="str">
        <f ca="1">IF($G255=Lists!$R$3,"T1: "&amp;TEXT(FORMULACIÓN!L255,"00,00%")&amp;CHAR(10)&amp;"T2: "&amp;TEXT(FORMULACIÓN!M255,"00,00%")&amp;CHAR(10)&amp;"T3: "&amp;TEXT(FORMULACIÓN!N255,"00,00%")&amp;CHAR(10)&amp;"Tn: "&amp;TEXT(FORMULACIÓN!O255,"00,00%"),IF(FORMULACIÓN!Q255=0,0,"T1: "&amp;TEXT(FORMULACIÓN!L255,"##.###")&amp;CHAR(10)&amp;"T2: "&amp;TEXT(FORMULACIÓN!M255,"##.###")&amp;CHAR(10)&amp;"T3: "&amp;TEXT(FORMULACIÓN!N255,"##.###")&amp;CHAR(10)&amp;"Tn: "&amp;TEXT(FORMULACIÓN!O255,"##.###")))</f>
        <v xml:space="preserve">T1: 
T2: 
T3: 
Tn: </v>
      </c>
      <c r="AO255" s="117" t="str">
        <f>IFERROR(IF($H255=Lists!$S$6,IF(AND(FORMULACIÓN!L255&gt;K255,K255&gt;0),1,0),IF((K255/FORMULACIÓN!L255)&lt;&gt;0,K255/FORMULACIÓN!L255,0)),"")</f>
        <v/>
      </c>
      <c r="AP255" s="117" t="str">
        <f>IFERROR(IF($H255=Lists!$S$6,IF(AND(FORMULACIÓN!M255&gt;L255,L255&gt;0),1,0),IF((L255/FORMULACIÓN!M255)&lt;&gt;0,L255/FORMULACIÓN!M255,0)),"")</f>
        <v/>
      </c>
      <c r="AQ255" s="117" t="str">
        <f>IFERROR(IF($H255=Lists!$S$6,IF(AND(FORMULACIÓN!N255&gt;M255,M255&gt;0),1,0),IF((M255/FORMULACIÓN!N255)&lt;&gt;0,M255/FORMULACIÓN!N255,0)),"")</f>
        <v/>
      </c>
      <c r="AR255" s="117" t="str">
        <f>IFERROR(IF($H255=Lists!$S$6,IF(AND(FORMULACIÓN!O255&gt;N255,N255&gt;0),1,0),IF((N255/FORMULACIÓN!O255)&lt;&gt;0,N255/FORMULACIÓN!O255,0)),"")</f>
        <v/>
      </c>
      <c r="AS255" s="110"/>
      <c r="AT255" s="118" t="str">
        <f ca="1">IF($H255=Lists!$S$6,TEXT(COUNTIF('SEGUIMIENTO Y EVALUACIÓN'!K255:N255,"&lt;"&amp;FORMULACIÓN!Q255),"##.###")&amp;" / "&amp;TEXT(COUNTIF('SEGUIMIENTO Y EVALUACIÓN'!K255:N255,"&gt;"&amp;0),"##.###"),IF($G255=Lists!$R$3,TEXT('SEGUIMIENTO Y EVALUACIÓN'!O255,"00,00%")&amp;" / "&amp;TEXT(FORMULACIÓN!P255,"00,00%"),IF('SEGUIMIENTO Y EVALUACIÓN'!O255=0,0,TEXT('SEGUIMIENTO Y EVALUACIÓN'!O255,"##.###")&amp;" / "&amp;TEXT(FORMULACIÓN!P255,"##.###"))))</f>
        <v xml:space="preserve"> / </v>
      </c>
      <c r="AU255" s="57">
        <f ca="1">IFERROR(IF((P255/FORMULACIÓN!Q255)&lt;&gt;0,IF($H255=Lists!$S$6,COUNTIF('SEGUIMIENTO Y EVALUACIÓN'!K255:N255,"&lt;"&amp;FORMULACIÓN!Q255),'SEGUIMIENTO Y EVALUACIÓN'!P255)/IF($H255=Lists!$S$6,COUNTIF('SEGUIMIENTO Y EVALUACIÓN'!K255:N255,"&gt;"&amp;0),FORMULACIÓN!P255),0),0)</f>
        <v>0</v>
      </c>
      <c r="AV255" s="93" t="str">
        <f t="shared" ca="1" si="32"/>
        <v/>
      </c>
      <c r="AW255" s="93" cm="1">
        <f t="array" ref="AW255">IF(INDEX(AO255:AU255,1,$AV$3)&gt;1,1,INDEX(AO255:AU255,1,$AV$3))</f>
        <v>1</v>
      </c>
      <c r="AX255" s="3"/>
      <c r="AY255" s="119" t="str">
        <f>IFERROR(IF((W255/FORMULACIÓN!X255)&lt;&gt;0,W255/FORMULACIÓN!X255,0),"")</f>
        <v/>
      </c>
      <c r="AZ255" s="119" t="str">
        <f>IFERROR(IF((AA255/FORMULACIÓN!AB255)&lt;&gt;0,AA255/FORMULACIÓN!AB255,0),"")</f>
        <v/>
      </c>
      <c r="BA255" s="119" t="str">
        <f>IFERROR(IF((AE255/FORMULACIÓN!AF255)&lt;&gt;0,(AE255/FORMULACIÓN!AF255),0),"")</f>
        <v/>
      </c>
      <c r="BB255" s="119" t="str">
        <f>IFERROR(IF((AI255/FORMULACIÓN!AJ255)&lt;&gt;0,AI255/FORMULACIÓN!AJ255,0),"")</f>
        <v/>
      </c>
      <c r="BC255" s="120" t="str">
        <f>IF('SEGUIMIENTO Y EVALUACIÓN'!AI255=0,0,TEXT('SEGUIMIENTO Y EVALUACIÓN'!AI255,"$ ##.###")&amp;" / "&amp;TEXT(FORMULACIÓN!AK255,"$ ##.###"))</f>
        <v xml:space="preserve"> / </v>
      </c>
      <c r="BD255" s="57">
        <f>IFERROR(IF((AJ255/FORMULACIÓN!AK255)&lt;&gt;0,AJ255/FORMULACIÓN!AK255,0),0)</f>
        <v>0</v>
      </c>
      <c r="CL255" s="7"/>
    </row>
    <row r="256" spans="1:90" s="1" customFormat="1" ht="99.95" customHeight="1">
      <c r="A256" s="45" t="str">
        <f>IF(FORMULACIÓN!A256="","",FORMULACIÓN!A256)</f>
        <v/>
      </c>
      <c r="B256" s="45" t="str">
        <f>IF(FORMULACIÓN!B256="","",FORMULACIÓN!B256)</f>
        <v/>
      </c>
      <c r="C256" s="45" t="str">
        <f>IF(FORMULACIÓN!E256="","",FORMULACIÓN!E256)</f>
        <v/>
      </c>
      <c r="D256" s="45" t="str">
        <f>IF(FORMULACIÓN!F256="","",FORMULACIÓN!F256)</f>
        <v/>
      </c>
      <c r="E256" s="45" t="str">
        <f>IF(FORMULACIÓN!G256="","",FORMULACIÓN!G256)</f>
        <v/>
      </c>
      <c r="F256" s="45" t="str">
        <f>IF(FORMULACIÓN!H256="","",FORMULACIÓN!H256)</f>
        <v/>
      </c>
      <c r="G256" s="45" t="str">
        <f>IF(FORMULACIÓN!I256="","",FORMULACIÓN!I256)</f>
        <v/>
      </c>
      <c r="H256" s="45" t="str">
        <f>IF(FORMULACIÓN!J256="","",FORMULACIÓN!J256)</f>
        <v/>
      </c>
      <c r="I256" s="188" t="str">
        <f ca="1">IF($G256=Lists!$R$3,"PDI: "&amp;TEXT(FORMULACIÓN!Q256,"00,00%")&amp;CHAR(10)&amp;CHAR(10)&amp;"T1: "&amp;TEXT(FORMULACIÓN!L256,"00,00%")&amp;CHAR(10)&amp;"T2: "&amp;TEXT(FORMULACIÓN!M256,"00,00%")&amp;CHAR(10)&amp;"T3: "&amp;TEXT(FORMULACIÓN!N256,"00,00%")&amp;CHAR(10)&amp;"Tn: "&amp;TEXT(FORMULACIÓN!O256,"00,00%"),IF(FORMULACIÓN!Q256=0,0,"PDI: "&amp;TEXT(FORMULACIÓN!Q256,"##.###")&amp;CHAR(10)&amp;CHAR(10)&amp;"T1: "&amp;TEXT(FORMULACIÓN!L256,"##.###")&amp;CHAR(10)&amp;"T2: "&amp;TEXT(FORMULACIÓN!M256,"##.###")&amp;CHAR(10)&amp;"T3: "&amp;TEXT(FORMULACIÓN!N256,"##.###")&amp;CHAR(10)&amp;"Tn: "&amp;TEXT(FORMULACIÓN!O256,"##.###")))</f>
        <v xml:space="preserve">PDI: 
T1: 
T2: 
T3: 
Tn: </v>
      </c>
      <c r="J256" s="122" t="str">
        <f>IF(FORMULACIÓN!K256&lt;&gt;"",FORMULACIÓN!K256,"")</f>
        <v/>
      </c>
      <c r="K256" s="58"/>
      <c r="L256" s="58"/>
      <c r="M256" s="58"/>
      <c r="N256" s="58"/>
      <c r="O256" s="47" t="str">
        <f ca="1">IFERROR(IF($H256=Lists!$S$2,SUM('SEGUIMIENTO Y EVALUACIÓN'!J256:N256),IF('SEGUIMIENTO Y EVALUACIÓN'!$H256=Lists!$S$3,SUM('SEGUIMIENTO Y EVALUACIÓN'!K256:N256),IF('SEGUIMIENTO Y EVALUACIÓN'!$H256=Lists!$S$4,AVERAGE('SEGUIMIENTO Y EVALUACIÓN'!K256:N256),IF('SEGUIMIENTO Y EVALUACIÓN'!$H256=Lists!$S$5,OFFSET(J256,0,COUNTA(K256:N256)),IF($H256=Lists!$S$6,COUNTIF(K256:N256,"&lt;"&amp;FORMULACIÓN!Q256)/COUNT('SEGUIMIENTO Y EVALUACIÓN'!K256:N256),""))))),"")</f>
        <v/>
      </c>
      <c r="P256" s="51" t="str">
        <f ca="1">IF($G256=Lists!$R$3,TEXT('SEGUIMIENTO Y EVALUACIÓN'!O256,"00,00%"),IF('SEGUIMIENTO Y EVALUACIÓN'!O256=0,0,TEXT('SEGUIMIENTO Y EVALUACIÓN'!O256,"##.###")))</f>
        <v/>
      </c>
      <c r="Q256" s="209" t="str">
        <f>IF(FORMULACIÓN!R256&lt;&gt;"",FORMULACIÓN!R256,"")</f>
        <v/>
      </c>
      <c r="R256" s="209" t="str">
        <f>IF(FORMULACIÓN!S256&lt;&gt;"",FORMULACIÓN!S256,"")</f>
        <v/>
      </c>
      <c r="S256" s="209" t="str">
        <f>IF(FORMULACIÓN!T256&lt;&gt;"",FORMULACIÓN!T256,"")</f>
        <v/>
      </c>
      <c r="T256" s="42"/>
      <c r="U256" s="42"/>
      <c r="V256" s="42"/>
      <c r="W256" s="43" t="str">
        <f t="shared" si="27"/>
        <v/>
      </c>
      <c r="X256" s="42"/>
      <c r="Y256" s="42"/>
      <c r="Z256" s="42"/>
      <c r="AA256" s="43" t="str">
        <f t="shared" si="28"/>
        <v/>
      </c>
      <c r="AB256" s="42"/>
      <c r="AC256" s="42"/>
      <c r="AD256" s="42"/>
      <c r="AE256" s="43" t="str">
        <f t="shared" si="29"/>
        <v/>
      </c>
      <c r="AF256" s="42"/>
      <c r="AG256" s="42"/>
      <c r="AH256" s="42"/>
      <c r="AI256" s="46" t="str">
        <f t="shared" si="30"/>
        <v/>
      </c>
      <c r="AJ256" s="46" t="str">
        <f>IF(SUM(AA256,AE256,W256,AI256)=0,"",SUM((AA256,AE256,W256,AI256)))</f>
        <v/>
      </c>
      <c r="AK256" s="2"/>
      <c r="AL256" s="1" t="str">
        <f t="shared" si="31"/>
        <v/>
      </c>
      <c r="AM256" s="56" t="str">
        <f t="shared" si="33"/>
        <v/>
      </c>
      <c r="AN256" s="112" t="str">
        <f ca="1">IF($G256=Lists!$R$3,"T1: "&amp;TEXT(FORMULACIÓN!L256,"00,00%")&amp;CHAR(10)&amp;"T2: "&amp;TEXT(FORMULACIÓN!M256,"00,00%")&amp;CHAR(10)&amp;"T3: "&amp;TEXT(FORMULACIÓN!N256,"00,00%")&amp;CHAR(10)&amp;"Tn: "&amp;TEXT(FORMULACIÓN!O256,"00,00%"),IF(FORMULACIÓN!Q256=0,0,"T1: "&amp;TEXT(FORMULACIÓN!L256,"##.###")&amp;CHAR(10)&amp;"T2: "&amp;TEXT(FORMULACIÓN!M256,"##.###")&amp;CHAR(10)&amp;"T3: "&amp;TEXT(FORMULACIÓN!N256,"##.###")&amp;CHAR(10)&amp;"Tn: "&amp;TEXT(FORMULACIÓN!O256,"##.###")))</f>
        <v xml:space="preserve">T1: 
T2: 
T3: 
Tn: </v>
      </c>
      <c r="AO256" s="117" t="str">
        <f>IFERROR(IF($H256=Lists!$S$6,IF(AND(FORMULACIÓN!L256&gt;K256,K256&gt;0),1,0),IF((K256/FORMULACIÓN!L256)&lt;&gt;0,K256/FORMULACIÓN!L256,0)),"")</f>
        <v/>
      </c>
      <c r="AP256" s="117" t="str">
        <f>IFERROR(IF($H256=Lists!$S$6,IF(AND(FORMULACIÓN!M256&gt;L256,L256&gt;0),1,0),IF((L256/FORMULACIÓN!M256)&lt;&gt;0,L256/FORMULACIÓN!M256,0)),"")</f>
        <v/>
      </c>
      <c r="AQ256" s="117" t="str">
        <f>IFERROR(IF($H256=Lists!$S$6,IF(AND(FORMULACIÓN!N256&gt;M256,M256&gt;0),1,0),IF((M256/FORMULACIÓN!N256)&lt;&gt;0,M256/FORMULACIÓN!N256,0)),"")</f>
        <v/>
      </c>
      <c r="AR256" s="117" t="str">
        <f>IFERROR(IF($H256=Lists!$S$6,IF(AND(FORMULACIÓN!O256&gt;N256,N256&gt;0),1,0),IF((N256/FORMULACIÓN!O256)&lt;&gt;0,N256/FORMULACIÓN!O256,0)),"")</f>
        <v/>
      </c>
      <c r="AS256" s="110"/>
      <c r="AT256" s="118" t="str">
        <f ca="1">IF($H256=Lists!$S$6,TEXT(COUNTIF('SEGUIMIENTO Y EVALUACIÓN'!K256:N256,"&lt;"&amp;FORMULACIÓN!Q256),"##.###")&amp;" / "&amp;TEXT(COUNTIF('SEGUIMIENTO Y EVALUACIÓN'!K256:N256,"&gt;"&amp;0),"##.###"),IF($G256=Lists!$R$3,TEXT('SEGUIMIENTO Y EVALUACIÓN'!O256,"00,00%")&amp;" / "&amp;TEXT(FORMULACIÓN!P256,"00,00%"),IF('SEGUIMIENTO Y EVALUACIÓN'!O256=0,0,TEXT('SEGUIMIENTO Y EVALUACIÓN'!O256,"##.###")&amp;" / "&amp;TEXT(FORMULACIÓN!P256,"##.###"))))</f>
        <v xml:space="preserve"> / </v>
      </c>
      <c r="AU256" s="57">
        <f ca="1">IFERROR(IF((P256/FORMULACIÓN!Q256)&lt;&gt;0,IF($H256=Lists!$S$6,COUNTIF('SEGUIMIENTO Y EVALUACIÓN'!K256:N256,"&lt;"&amp;FORMULACIÓN!Q256),'SEGUIMIENTO Y EVALUACIÓN'!P256)/IF($H256=Lists!$S$6,COUNTIF('SEGUIMIENTO Y EVALUACIÓN'!K256:N256,"&gt;"&amp;0),FORMULACIÓN!P256),0),0)</f>
        <v>0</v>
      </c>
      <c r="AV256" s="93" t="str">
        <f t="shared" ca="1" si="32"/>
        <v/>
      </c>
      <c r="AW256" s="93" cm="1">
        <f t="array" ref="AW256">IF(INDEX(AO256:AU256,1,$AV$3)&gt;1,1,INDEX(AO256:AU256,1,$AV$3))</f>
        <v>1</v>
      </c>
      <c r="AX256" s="3"/>
      <c r="AY256" s="119" t="str">
        <f>IFERROR(IF((W256/FORMULACIÓN!X256)&lt;&gt;0,W256/FORMULACIÓN!X256,0),"")</f>
        <v/>
      </c>
      <c r="AZ256" s="119" t="str">
        <f>IFERROR(IF((AA256/FORMULACIÓN!AB256)&lt;&gt;0,AA256/FORMULACIÓN!AB256,0),"")</f>
        <v/>
      </c>
      <c r="BA256" s="119" t="str">
        <f>IFERROR(IF((AE256/FORMULACIÓN!AF256)&lt;&gt;0,(AE256/FORMULACIÓN!AF256),0),"")</f>
        <v/>
      </c>
      <c r="BB256" s="119" t="str">
        <f>IFERROR(IF((AI256/FORMULACIÓN!AJ256)&lt;&gt;0,AI256/FORMULACIÓN!AJ256,0),"")</f>
        <v/>
      </c>
      <c r="BC256" s="120" t="str">
        <f>IF('SEGUIMIENTO Y EVALUACIÓN'!AI256=0,0,TEXT('SEGUIMIENTO Y EVALUACIÓN'!AI256,"$ ##.###")&amp;" / "&amp;TEXT(FORMULACIÓN!AK256,"$ ##.###"))</f>
        <v xml:space="preserve"> / </v>
      </c>
      <c r="BD256" s="57">
        <f>IFERROR(IF((AJ256/FORMULACIÓN!AK256)&lt;&gt;0,AJ256/FORMULACIÓN!AK256,0),0)</f>
        <v>0</v>
      </c>
      <c r="CL256" s="7"/>
    </row>
    <row r="257" spans="1:90" s="1" customFormat="1" ht="99.95" customHeight="1">
      <c r="A257" s="45" t="str">
        <f>IF(FORMULACIÓN!A257="","",FORMULACIÓN!A257)</f>
        <v/>
      </c>
      <c r="B257" s="45" t="str">
        <f>IF(FORMULACIÓN!B257="","",FORMULACIÓN!B257)</f>
        <v/>
      </c>
      <c r="C257" s="45" t="str">
        <f>IF(FORMULACIÓN!E257="","",FORMULACIÓN!E257)</f>
        <v/>
      </c>
      <c r="D257" s="45" t="str">
        <f>IF(FORMULACIÓN!F257="","",FORMULACIÓN!F257)</f>
        <v/>
      </c>
      <c r="E257" s="45" t="str">
        <f>IF(FORMULACIÓN!G257="","",FORMULACIÓN!G257)</f>
        <v/>
      </c>
      <c r="F257" s="45" t="str">
        <f>IF(FORMULACIÓN!H257="","",FORMULACIÓN!H257)</f>
        <v/>
      </c>
      <c r="G257" s="45" t="str">
        <f>IF(FORMULACIÓN!I257="","",FORMULACIÓN!I257)</f>
        <v/>
      </c>
      <c r="H257" s="45" t="str">
        <f>IF(FORMULACIÓN!J257="","",FORMULACIÓN!J257)</f>
        <v/>
      </c>
      <c r="I257" s="188" t="str">
        <f ca="1">IF($G257=Lists!$R$3,"PDI: "&amp;TEXT(FORMULACIÓN!Q257,"00,00%")&amp;CHAR(10)&amp;CHAR(10)&amp;"T1: "&amp;TEXT(FORMULACIÓN!L257,"00,00%")&amp;CHAR(10)&amp;"T2: "&amp;TEXT(FORMULACIÓN!M257,"00,00%")&amp;CHAR(10)&amp;"T3: "&amp;TEXT(FORMULACIÓN!N257,"00,00%")&amp;CHAR(10)&amp;"Tn: "&amp;TEXT(FORMULACIÓN!O257,"00,00%"),IF(FORMULACIÓN!Q257=0,0,"PDI: "&amp;TEXT(FORMULACIÓN!Q257,"##.###")&amp;CHAR(10)&amp;CHAR(10)&amp;"T1: "&amp;TEXT(FORMULACIÓN!L257,"##.###")&amp;CHAR(10)&amp;"T2: "&amp;TEXT(FORMULACIÓN!M257,"##.###")&amp;CHAR(10)&amp;"T3: "&amp;TEXT(FORMULACIÓN!N257,"##.###")&amp;CHAR(10)&amp;"Tn: "&amp;TEXT(FORMULACIÓN!O257,"##.###")))</f>
        <v xml:space="preserve">PDI: 
T1: 
T2: 
T3: 
Tn: </v>
      </c>
      <c r="J257" s="122" t="str">
        <f>IF(FORMULACIÓN!K257&lt;&gt;"",FORMULACIÓN!K257,"")</f>
        <v/>
      </c>
      <c r="K257" s="58"/>
      <c r="L257" s="58"/>
      <c r="M257" s="58"/>
      <c r="N257" s="58"/>
      <c r="O257" s="47" t="str">
        <f ca="1">IFERROR(IF($H257=Lists!$S$2,SUM('SEGUIMIENTO Y EVALUACIÓN'!J257:N257),IF('SEGUIMIENTO Y EVALUACIÓN'!$H257=Lists!$S$3,SUM('SEGUIMIENTO Y EVALUACIÓN'!K257:N257),IF('SEGUIMIENTO Y EVALUACIÓN'!$H257=Lists!$S$4,AVERAGE('SEGUIMIENTO Y EVALUACIÓN'!K257:N257),IF('SEGUIMIENTO Y EVALUACIÓN'!$H257=Lists!$S$5,OFFSET(J257,0,COUNTA(K257:N257)),IF($H257=Lists!$S$6,COUNTIF(K257:N257,"&lt;"&amp;FORMULACIÓN!Q257)/COUNT('SEGUIMIENTO Y EVALUACIÓN'!K257:N257),""))))),"")</f>
        <v/>
      </c>
      <c r="P257" s="51" t="str">
        <f ca="1">IF($G257=Lists!$R$3,TEXT('SEGUIMIENTO Y EVALUACIÓN'!O257,"00,00%"),IF('SEGUIMIENTO Y EVALUACIÓN'!O257=0,0,TEXT('SEGUIMIENTO Y EVALUACIÓN'!O257,"##.###")))</f>
        <v/>
      </c>
      <c r="Q257" s="209" t="str">
        <f>IF(FORMULACIÓN!R257&lt;&gt;"",FORMULACIÓN!R257,"")</f>
        <v/>
      </c>
      <c r="R257" s="209" t="str">
        <f>IF(FORMULACIÓN!S257&lt;&gt;"",FORMULACIÓN!S257,"")</f>
        <v/>
      </c>
      <c r="S257" s="209" t="str">
        <f>IF(FORMULACIÓN!T257&lt;&gt;"",FORMULACIÓN!T257,"")</f>
        <v/>
      </c>
      <c r="T257" s="42"/>
      <c r="U257" s="42"/>
      <c r="V257" s="42"/>
      <c r="W257" s="43" t="str">
        <f t="shared" si="27"/>
        <v/>
      </c>
      <c r="X257" s="42"/>
      <c r="Y257" s="42"/>
      <c r="Z257" s="42"/>
      <c r="AA257" s="43" t="str">
        <f t="shared" si="28"/>
        <v/>
      </c>
      <c r="AB257" s="42"/>
      <c r="AC257" s="42"/>
      <c r="AD257" s="42"/>
      <c r="AE257" s="43" t="str">
        <f t="shared" si="29"/>
        <v/>
      </c>
      <c r="AF257" s="42"/>
      <c r="AG257" s="42"/>
      <c r="AH257" s="42"/>
      <c r="AI257" s="46" t="str">
        <f t="shared" si="30"/>
        <v/>
      </c>
      <c r="AJ257" s="46" t="str">
        <f>IF(SUM(AA257,AE257,W257,AI257)=0,"",SUM((AA257,AE257,W257,AI257)))</f>
        <v/>
      </c>
      <c r="AK257" s="2"/>
      <c r="AL257" s="1" t="str">
        <f t="shared" si="31"/>
        <v/>
      </c>
      <c r="AM257" s="56" t="str">
        <f t="shared" si="33"/>
        <v/>
      </c>
      <c r="AN257" s="112" t="str">
        <f ca="1">IF($G257=Lists!$R$3,"T1: "&amp;TEXT(FORMULACIÓN!L257,"00,00%")&amp;CHAR(10)&amp;"T2: "&amp;TEXT(FORMULACIÓN!M257,"00,00%")&amp;CHAR(10)&amp;"T3: "&amp;TEXT(FORMULACIÓN!N257,"00,00%")&amp;CHAR(10)&amp;"Tn: "&amp;TEXT(FORMULACIÓN!O257,"00,00%"),IF(FORMULACIÓN!Q257=0,0,"T1: "&amp;TEXT(FORMULACIÓN!L257,"##.###")&amp;CHAR(10)&amp;"T2: "&amp;TEXT(FORMULACIÓN!M257,"##.###")&amp;CHAR(10)&amp;"T3: "&amp;TEXT(FORMULACIÓN!N257,"##.###")&amp;CHAR(10)&amp;"Tn: "&amp;TEXT(FORMULACIÓN!O257,"##.###")))</f>
        <v xml:space="preserve">T1: 
T2: 
T3: 
Tn: </v>
      </c>
      <c r="AO257" s="117" t="str">
        <f>IFERROR(IF($H257=Lists!$S$6,IF(AND(FORMULACIÓN!L257&gt;K257,K257&gt;0),1,0),IF((K257/FORMULACIÓN!L257)&lt;&gt;0,K257/FORMULACIÓN!L257,0)),"")</f>
        <v/>
      </c>
      <c r="AP257" s="117" t="str">
        <f>IFERROR(IF($H257=Lists!$S$6,IF(AND(FORMULACIÓN!M257&gt;L257,L257&gt;0),1,0),IF((L257/FORMULACIÓN!M257)&lt;&gt;0,L257/FORMULACIÓN!M257,0)),"")</f>
        <v/>
      </c>
      <c r="AQ257" s="117" t="str">
        <f>IFERROR(IF($H257=Lists!$S$6,IF(AND(FORMULACIÓN!N257&gt;M257,M257&gt;0),1,0),IF((M257/FORMULACIÓN!N257)&lt;&gt;0,M257/FORMULACIÓN!N257,0)),"")</f>
        <v/>
      </c>
      <c r="AR257" s="117" t="str">
        <f>IFERROR(IF($H257=Lists!$S$6,IF(AND(FORMULACIÓN!O257&gt;N257,N257&gt;0),1,0),IF((N257/FORMULACIÓN!O257)&lt;&gt;0,N257/FORMULACIÓN!O257,0)),"")</f>
        <v/>
      </c>
      <c r="AS257" s="110"/>
      <c r="AT257" s="118" t="str">
        <f ca="1">IF($H257=Lists!$S$6,TEXT(COUNTIF('SEGUIMIENTO Y EVALUACIÓN'!K257:N257,"&lt;"&amp;FORMULACIÓN!Q257),"##.###")&amp;" / "&amp;TEXT(COUNTIF('SEGUIMIENTO Y EVALUACIÓN'!K257:N257,"&gt;"&amp;0),"##.###"),IF($G257=Lists!$R$3,TEXT('SEGUIMIENTO Y EVALUACIÓN'!O257,"00,00%")&amp;" / "&amp;TEXT(FORMULACIÓN!P257,"00,00%"),IF('SEGUIMIENTO Y EVALUACIÓN'!O257=0,0,TEXT('SEGUIMIENTO Y EVALUACIÓN'!O257,"##.###")&amp;" / "&amp;TEXT(FORMULACIÓN!P257,"##.###"))))</f>
        <v xml:space="preserve"> / </v>
      </c>
      <c r="AU257" s="57">
        <f ca="1">IFERROR(IF((P257/FORMULACIÓN!Q257)&lt;&gt;0,IF($H257=Lists!$S$6,COUNTIF('SEGUIMIENTO Y EVALUACIÓN'!K257:N257,"&lt;"&amp;FORMULACIÓN!Q257),'SEGUIMIENTO Y EVALUACIÓN'!P257)/IF($H257=Lists!$S$6,COUNTIF('SEGUIMIENTO Y EVALUACIÓN'!K257:N257,"&gt;"&amp;0),FORMULACIÓN!P257),0),0)</f>
        <v>0</v>
      </c>
      <c r="AV257" s="93" t="str">
        <f t="shared" ca="1" si="32"/>
        <v/>
      </c>
      <c r="AW257" s="93" cm="1">
        <f t="array" ref="AW257">IF(INDEX(AO257:AU257,1,$AV$3)&gt;1,1,INDEX(AO257:AU257,1,$AV$3))</f>
        <v>1</v>
      </c>
      <c r="AX257" s="3"/>
      <c r="AY257" s="119" t="str">
        <f>IFERROR(IF((W257/FORMULACIÓN!X257)&lt;&gt;0,W257/FORMULACIÓN!X257,0),"")</f>
        <v/>
      </c>
      <c r="AZ257" s="119" t="str">
        <f>IFERROR(IF((AA257/FORMULACIÓN!AB257)&lt;&gt;0,AA257/FORMULACIÓN!AB257,0),"")</f>
        <v/>
      </c>
      <c r="BA257" s="119" t="str">
        <f>IFERROR(IF((AE257/FORMULACIÓN!AF257)&lt;&gt;0,(AE257/FORMULACIÓN!AF257),0),"")</f>
        <v/>
      </c>
      <c r="BB257" s="119" t="str">
        <f>IFERROR(IF((AI257/FORMULACIÓN!AJ257)&lt;&gt;0,AI257/FORMULACIÓN!AJ257,0),"")</f>
        <v/>
      </c>
      <c r="BC257" s="120" t="str">
        <f>IF('SEGUIMIENTO Y EVALUACIÓN'!AI257=0,0,TEXT('SEGUIMIENTO Y EVALUACIÓN'!AI257,"$ ##.###")&amp;" / "&amp;TEXT(FORMULACIÓN!AK257,"$ ##.###"))</f>
        <v xml:space="preserve"> / </v>
      </c>
      <c r="BD257" s="57">
        <f>IFERROR(IF((AJ257/FORMULACIÓN!AK257)&lt;&gt;0,AJ257/FORMULACIÓN!AK257,0),0)</f>
        <v>0</v>
      </c>
      <c r="CL257" s="7"/>
    </row>
    <row r="258" spans="1:90" s="1" customFormat="1" ht="99.95" customHeight="1">
      <c r="A258" s="45" t="str">
        <f>IF(FORMULACIÓN!A258="","",FORMULACIÓN!A258)</f>
        <v/>
      </c>
      <c r="B258" s="45" t="str">
        <f>IF(FORMULACIÓN!B258="","",FORMULACIÓN!B258)</f>
        <v/>
      </c>
      <c r="C258" s="45" t="str">
        <f>IF(FORMULACIÓN!E258="","",FORMULACIÓN!E258)</f>
        <v/>
      </c>
      <c r="D258" s="45" t="str">
        <f>IF(FORMULACIÓN!F258="","",FORMULACIÓN!F258)</f>
        <v/>
      </c>
      <c r="E258" s="45" t="str">
        <f>IF(FORMULACIÓN!G258="","",FORMULACIÓN!G258)</f>
        <v/>
      </c>
      <c r="F258" s="45" t="str">
        <f>IF(FORMULACIÓN!H258="","",FORMULACIÓN!H258)</f>
        <v/>
      </c>
      <c r="G258" s="45" t="str">
        <f>IF(FORMULACIÓN!I258="","",FORMULACIÓN!I258)</f>
        <v/>
      </c>
      <c r="H258" s="45" t="str">
        <f>IF(FORMULACIÓN!J258="","",FORMULACIÓN!J258)</f>
        <v/>
      </c>
      <c r="I258" s="188" t="str">
        <f ca="1">IF($G258=Lists!$R$3,"PDI: "&amp;TEXT(FORMULACIÓN!Q258,"00,00%")&amp;CHAR(10)&amp;CHAR(10)&amp;"T1: "&amp;TEXT(FORMULACIÓN!L258,"00,00%")&amp;CHAR(10)&amp;"T2: "&amp;TEXT(FORMULACIÓN!M258,"00,00%")&amp;CHAR(10)&amp;"T3: "&amp;TEXT(FORMULACIÓN!N258,"00,00%")&amp;CHAR(10)&amp;"Tn: "&amp;TEXT(FORMULACIÓN!O258,"00,00%"),IF(FORMULACIÓN!Q258=0,0,"PDI: "&amp;TEXT(FORMULACIÓN!Q258,"##.###")&amp;CHAR(10)&amp;CHAR(10)&amp;"T1: "&amp;TEXT(FORMULACIÓN!L258,"##.###")&amp;CHAR(10)&amp;"T2: "&amp;TEXT(FORMULACIÓN!M258,"##.###")&amp;CHAR(10)&amp;"T3: "&amp;TEXT(FORMULACIÓN!N258,"##.###")&amp;CHAR(10)&amp;"Tn: "&amp;TEXT(FORMULACIÓN!O258,"##.###")))</f>
        <v xml:space="preserve">PDI: 
T1: 
T2: 
T3: 
Tn: </v>
      </c>
      <c r="J258" s="122" t="str">
        <f>IF(FORMULACIÓN!K258&lt;&gt;"",FORMULACIÓN!K258,"")</f>
        <v/>
      </c>
      <c r="K258" s="58"/>
      <c r="L258" s="58"/>
      <c r="M258" s="58"/>
      <c r="N258" s="58"/>
      <c r="O258" s="47" t="str">
        <f ca="1">IFERROR(IF($H258=Lists!$S$2,SUM('SEGUIMIENTO Y EVALUACIÓN'!J258:N258),IF('SEGUIMIENTO Y EVALUACIÓN'!$H258=Lists!$S$3,SUM('SEGUIMIENTO Y EVALUACIÓN'!K258:N258),IF('SEGUIMIENTO Y EVALUACIÓN'!$H258=Lists!$S$4,AVERAGE('SEGUIMIENTO Y EVALUACIÓN'!K258:N258),IF('SEGUIMIENTO Y EVALUACIÓN'!$H258=Lists!$S$5,OFFSET(J258,0,COUNTA(K258:N258)),IF($H258=Lists!$S$6,COUNTIF(K258:N258,"&lt;"&amp;FORMULACIÓN!Q258)/COUNT('SEGUIMIENTO Y EVALUACIÓN'!K258:N258),""))))),"")</f>
        <v/>
      </c>
      <c r="P258" s="51" t="str">
        <f ca="1">IF($G258=Lists!$R$3,TEXT('SEGUIMIENTO Y EVALUACIÓN'!O258,"00,00%"),IF('SEGUIMIENTO Y EVALUACIÓN'!O258=0,0,TEXT('SEGUIMIENTO Y EVALUACIÓN'!O258,"##.###")))</f>
        <v/>
      </c>
      <c r="Q258" s="209" t="str">
        <f>IF(FORMULACIÓN!R258&lt;&gt;"",FORMULACIÓN!R258,"")</f>
        <v/>
      </c>
      <c r="R258" s="209" t="str">
        <f>IF(FORMULACIÓN!S258&lt;&gt;"",FORMULACIÓN!S258,"")</f>
        <v/>
      </c>
      <c r="S258" s="209" t="str">
        <f>IF(FORMULACIÓN!T258&lt;&gt;"",FORMULACIÓN!T258,"")</f>
        <v/>
      </c>
      <c r="T258" s="42"/>
      <c r="U258" s="42"/>
      <c r="V258" s="42"/>
      <c r="W258" s="43" t="str">
        <f t="shared" si="27"/>
        <v/>
      </c>
      <c r="X258" s="42"/>
      <c r="Y258" s="42"/>
      <c r="Z258" s="42"/>
      <c r="AA258" s="43" t="str">
        <f t="shared" si="28"/>
        <v/>
      </c>
      <c r="AB258" s="42"/>
      <c r="AC258" s="42"/>
      <c r="AD258" s="42"/>
      <c r="AE258" s="43" t="str">
        <f t="shared" si="29"/>
        <v/>
      </c>
      <c r="AF258" s="42"/>
      <c r="AG258" s="42"/>
      <c r="AH258" s="42"/>
      <c r="AI258" s="46" t="str">
        <f t="shared" si="30"/>
        <v/>
      </c>
      <c r="AJ258" s="46" t="str">
        <f>IF(SUM(AA258,AE258,W258,AI258)=0,"",SUM((AA258,AE258,W258,AI258)))</f>
        <v/>
      </c>
      <c r="AK258" s="2"/>
      <c r="AL258" s="1" t="str">
        <f t="shared" si="31"/>
        <v/>
      </c>
      <c r="AM258" s="56" t="str">
        <f t="shared" si="33"/>
        <v/>
      </c>
      <c r="AN258" s="112" t="str">
        <f ca="1">IF($G258=Lists!$R$3,"T1: "&amp;TEXT(FORMULACIÓN!L258,"00,00%")&amp;CHAR(10)&amp;"T2: "&amp;TEXT(FORMULACIÓN!M258,"00,00%")&amp;CHAR(10)&amp;"T3: "&amp;TEXT(FORMULACIÓN!N258,"00,00%")&amp;CHAR(10)&amp;"Tn: "&amp;TEXT(FORMULACIÓN!O258,"00,00%"),IF(FORMULACIÓN!Q258=0,0,"T1: "&amp;TEXT(FORMULACIÓN!L258,"##.###")&amp;CHAR(10)&amp;"T2: "&amp;TEXT(FORMULACIÓN!M258,"##.###")&amp;CHAR(10)&amp;"T3: "&amp;TEXT(FORMULACIÓN!N258,"##.###")&amp;CHAR(10)&amp;"Tn: "&amp;TEXT(FORMULACIÓN!O258,"##.###")))</f>
        <v xml:space="preserve">T1: 
T2: 
T3: 
Tn: </v>
      </c>
      <c r="AO258" s="117" t="str">
        <f>IFERROR(IF($H258=Lists!$S$6,IF(AND(FORMULACIÓN!L258&gt;K258,K258&gt;0),1,0),IF((K258/FORMULACIÓN!L258)&lt;&gt;0,K258/FORMULACIÓN!L258,0)),"")</f>
        <v/>
      </c>
      <c r="AP258" s="117" t="str">
        <f>IFERROR(IF($H258=Lists!$S$6,IF(AND(FORMULACIÓN!M258&gt;L258,L258&gt;0),1,0),IF((L258/FORMULACIÓN!M258)&lt;&gt;0,L258/FORMULACIÓN!M258,0)),"")</f>
        <v/>
      </c>
      <c r="AQ258" s="117" t="str">
        <f>IFERROR(IF($H258=Lists!$S$6,IF(AND(FORMULACIÓN!N258&gt;M258,M258&gt;0),1,0),IF((M258/FORMULACIÓN!N258)&lt;&gt;0,M258/FORMULACIÓN!N258,0)),"")</f>
        <v/>
      </c>
      <c r="AR258" s="117" t="str">
        <f>IFERROR(IF($H258=Lists!$S$6,IF(AND(FORMULACIÓN!O258&gt;N258,N258&gt;0),1,0),IF((N258/FORMULACIÓN!O258)&lt;&gt;0,N258/FORMULACIÓN!O258,0)),"")</f>
        <v/>
      </c>
      <c r="AS258" s="110"/>
      <c r="AT258" s="118" t="str">
        <f ca="1">IF($H258=Lists!$S$6,TEXT(COUNTIF('SEGUIMIENTO Y EVALUACIÓN'!K258:N258,"&lt;"&amp;FORMULACIÓN!Q258),"##.###")&amp;" / "&amp;TEXT(COUNTIF('SEGUIMIENTO Y EVALUACIÓN'!K258:N258,"&gt;"&amp;0),"##.###"),IF($G258=Lists!$R$3,TEXT('SEGUIMIENTO Y EVALUACIÓN'!O258,"00,00%")&amp;" / "&amp;TEXT(FORMULACIÓN!P258,"00,00%"),IF('SEGUIMIENTO Y EVALUACIÓN'!O258=0,0,TEXT('SEGUIMIENTO Y EVALUACIÓN'!O258,"##.###")&amp;" / "&amp;TEXT(FORMULACIÓN!P258,"##.###"))))</f>
        <v xml:space="preserve"> / </v>
      </c>
      <c r="AU258" s="57">
        <f ca="1">IFERROR(IF((P258/FORMULACIÓN!Q258)&lt;&gt;0,IF($H258=Lists!$S$6,COUNTIF('SEGUIMIENTO Y EVALUACIÓN'!K258:N258,"&lt;"&amp;FORMULACIÓN!Q258),'SEGUIMIENTO Y EVALUACIÓN'!P258)/IF($H258=Lists!$S$6,COUNTIF('SEGUIMIENTO Y EVALUACIÓN'!K258:N258,"&gt;"&amp;0),FORMULACIÓN!P258),0),0)</f>
        <v>0</v>
      </c>
      <c r="AV258" s="93" t="str">
        <f t="shared" ca="1" si="32"/>
        <v/>
      </c>
      <c r="AW258" s="93" cm="1">
        <f t="array" ref="AW258">IF(INDEX(AO258:AU258,1,$AV$3)&gt;1,1,INDEX(AO258:AU258,1,$AV$3))</f>
        <v>1</v>
      </c>
      <c r="AX258" s="3"/>
      <c r="AY258" s="119" t="str">
        <f>IFERROR(IF((W258/FORMULACIÓN!X258)&lt;&gt;0,W258/FORMULACIÓN!X258,0),"")</f>
        <v/>
      </c>
      <c r="AZ258" s="119" t="str">
        <f>IFERROR(IF((AA258/FORMULACIÓN!AB258)&lt;&gt;0,AA258/FORMULACIÓN!AB258,0),"")</f>
        <v/>
      </c>
      <c r="BA258" s="119" t="str">
        <f>IFERROR(IF((AE258/FORMULACIÓN!AF258)&lt;&gt;0,(AE258/FORMULACIÓN!AF258),0),"")</f>
        <v/>
      </c>
      <c r="BB258" s="119" t="str">
        <f>IFERROR(IF((AI258/FORMULACIÓN!AJ258)&lt;&gt;0,AI258/FORMULACIÓN!AJ258,0),"")</f>
        <v/>
      </c>
      <c r="BC258" s="120" t="str">
        <f>IF('SEGUIMIENTO Y EVALUACIÓN'!AI258=0,0,TEXT('SEGUIMIENTO Y EVALUACIÓN'!AI258,"$ ##.###")&amp;" / "&amp;TEXT(FORMULACIÓN!AK258,"$ ##.###"))</f>
        <v xml:space="preserve"> / </v>
      </c>
      <c r="BD258" s="57">
        <f>IFERROR(IF((AJ258/FORMULACIÓN!AK258)&lt;&gt;0,AJ258/FORMULACIÓN!AK258,0),0)</f>
        <v>0</v>
      </c>
      <c r="CL258" s="7"/>
    </row>
    <row r="259" spans="1:90" s="1" customFormat="1" ht="99.95" customHeight="1">
      <c r="A259" s="45" t="str">
        <f>IF(FORMULACIÓN!A259="","",FORMULACIÓN!A259)</f>
        <v/>
      </c>
      <c r="B259" s="45" t="str">
        <f>IF(FORMULACIÓN!B259="","",FORMULACIÓN!B259)</f>
        <v/>
      </c>
      <c r="C259" s="45" t="str">
        <f>IF(FORMULACIÓN!E259="","",FORMULACIÓN!E259)</f>
        <v/>
      </c>
      <c r="D259" s="45" t="str">
        <f>IF(FORMULACIÓN!F259="","",FORMULACIÓN!F259)</f>
        <v/>
      </c>
      <c r="E259" s="45" t="str">
        <f>IF(FORMULACIÓN!G259="","",FORMULACIÓN!G259)</f>
        <v/>
      </c>
      <c r="F259" s="45" t="str">
        <f>IF(FORMULACIÓN!H259="","",FORMULACIÓN!H259)</f>
        <v/>
      </c>
      <c r="G259" s="45" t="str">
        <f>IF(FORMULACIÓN!I259="","",FORMULACIÓN!I259)</f>
        <v/>
      </c>
      <c r="H259" s="45" t="str">
        <f>IF(FORMULACIÓN!J259="","",FORMULACIÓN!J259)</f>
        <v/>
      </c>
      <c r="I259" s="188" t="str">
        <f ca="1">IF($G259=Lists!$R$3,"PDI: "&amp;TEXT(FORMULACIÓN!Q259,"00,00%")&amp;CHAR(10)&amp;CHAR(10)&amp;"T1: "&amp;TEXT(FORMULACIÓN!L259,"00,00%")&amp;CHAR(10)&amp;"T2: "&amp;TEXT(FORMULACIÓN!M259,"00,00%")&amp;CHAR(10)&amp;"T3: "&amp;TEXT(FORMULACIÓN!N259,"00,00%")&amp;CHAR(10)&amp;"Tn: "&amp;TEXT(FORMULACIÓN!O259,"00,00%"),IF(FORMULACIÓN!Q259=0,0,"PDI: "&amp;TEXT(FORMULACIÓN!Q259,"##.###")&amp;CHAR(10)&amp;CHAR(10)&amp;"T1: "&amp;TEXT(FORMULACIÓN!L259,"##.###")&amp;CHAR(10)&amp;"T2: "&amp;TEXT(FORMULACIÓN!M259,"##.###")&amp;CHAR(10)&amp;"T3: "&amp;TEXT(FORMULACIÓN!N259,"##.###")&amp;CHAR(10)&amp;"Tn: "&amp;TEXT(FORMULACIÓN!O259,"##.###")))</f>
        <v xml:space="preserve">PDI: 
T1: 
T2: 
T3: 
Tn: </v>
      </c>
      <c r="J259" s="122" t="str">
        <f>IF(FORMULACIÓN!K259&lt;&gt;"",FORMULACIÓN!K259,"")</f>
        <v/>
      </c>
      <c r="K259" s="58"/>
      <c r="L259" s="58"/>
      <c r="M259" s="58"/>
      <c r="N259" s="58"/>
      <c r="O259" s="47" t="str">
        <f ca="1">IFERROR(IF($H259=Lists!$S$2,SUM('SEGUIMIENTO Y EVALUACIÓN'!J259:N259),IF('SEGUIMIENTO Y EVALUACIÓN'!$H259=Lists!$S$3,SUM('SEGUIMIENTO Y EVALUACIÓN'!K259:N259),IF('SEGUIMIENTO Y EVALUACIÓN'!$H259=Lists!$S$4,AVERAGE('SEGUIMIENTO Y EVALUACIÓN'!K259:N259),IF('SEGUIMIENTO Y EVALUACIÓN'!$H259=Lists!$S$5,OFFSET(J259,0,COUNTA(K259:N259)),IF($H259=Lists!$S$6,COUNTIF(K259:N259,"&lt;"&amp;FORMULACIÓN!Q259)/COUNT('SEGUIMIENTO Y EVALUACIÓN'!K259:N259),""))))),"")</f>
        <v/>
      </c>
      <c r="P259" s="51" t="str">
        <f ca="1">IF($G259=Lists!$R$3,TEXT('SEGUIMIENTO Y EVALUACIÓN'!O259,"00,00%"),IF('SEGUIMIENTO Y EVALUACIÓN'!O259=0,0,TEXT('SEGUIMIENTO Y EVALUACIÓN'!O259,"##.###")))</f>
        <v/>
      </c>
      <c r="Q259" s="209" t="str">
        <f>IF(FORMULACIÓN!R259&lt;&gt;"",FORMULACIÓN!R259,"")</f>
        <v/>
      </c>
      <c r="R259" s="209" t="str">
        <f>IF(FORMULACIÓN!S259&lt;&gt;"",FORMULACIÓN!S259,"")</f>
        <v/>
      </c>
      <c r="S259" s="209" t="str">
        <f>IF(FORMULACIÓN!T259&lt;&gt;"",FORMULACIÓN!T259,"")</f>
        <v/>
      </c>
      <c r="T259" s="42"/>
      <c r="U259" s="42"/>
      <c r="V259" s="42"/>
      <c r="W259" s="43" t="str">
        <f t="shared" si="27"/>
        <v/>
      </c>
      <c r="X259" s="42"/>
      <c r="Y259" s="42"/>
      <c r="Z259" s="42"/>
      <c r="AA259" s="43" t="str">
        <f t="shared" si="28"/>
        <v/>
      </c>
      <c r="AB259" s="42"/>
      <c r="AC259" s="42"/>
      <c r="AD259" s="42"/>
      <c r="AE259" s="43" t="str">
        <f t="shared" si="29"/>
        <v/>
      </c>
      <c r="AF259" s="42"/>
      <c r="AG259" s="42"/>
      <c r="AH259" s="42"/>
      <c r="AI259" s="46" t="str">
        <f t="shared" si="30"/>
        <v/>
      </c>
      <c r="AJ259" s="46" t="str">
        <f>IF(SUM(AA259,AE259,W259,AI259)=0,"",SUM((AA259,AE259,W259,AI259)))</f>
        <v/>
      </c>
      <c r="AK259" s="2"/>
      <c r="AL259" s="1" t="str">
        <f t="shared" si="31"/>
        <v/>
      </c>
      <c r="AM259" s="56" t="str">
        <f t="shared" si="33"/>
        <v/>
      </c>
      <c r="AN259" s="112" t="str">
        <f ca="1">IF($G259=Lists!$R$3,"T1: "&amp;TEXT(FORMULACIÓN!L259,"00,00%")&amp;CHAR(10)&amp;"T2: "&amp;TEXT(FORMULACIÓN!M259,"00,00%")&amp;CHAR(10)&amp;"T3: "&amp;TEXT(FORMULACIÓN!N259,"00,00%")&amp;CHAR(10)&amp;"Tn: "&amp;TEXT(FORMULACIÓN!O259,"00,00%"),IF(FORMULACIÓN!Q259=0,0,"T1: "&amp;TEXT(FORMULACIÓN!L259,"##.###")&amp;CHAR(10)&amp;"T2: "&amp;TEXT(FORMULACIÓN!M259,"##.###")&amp;CHAR(10)&amp;"T3: "&amp;TEXT(FORMULACIÓN!N259,"##.###")&amp;CHAR(10)&amp;"Tn: "&amp;TEXT(FORMULACIÓN!O259,"##.###")))</f>
        <v xml:space="preserve">T1: 
T2: 
T3: 
Tn: </v>
      </c>
      <c r="AO259" s="117" t="str">
        <f>IFERROR(IF($H259=Lists!$S$6,IF(AND(FORMULACIÓN!L259&gt;K259,K259&gt;0),1,0),IF((K259/FORMULACIÓN!L259)&lt;&gt;0,K259/FORMULACIÓN!L259,0)),"")</f>
        <v/>
      </c>
      <c r="AP259" s="117" t="str">
        <f>IFERROR(IF($H259=Lists!$S$6,IF(AND(FORMULACIÓN!M259&gt;L259,L259&gt;0),1,0),IF((L259/FORMULACIÓN!M259)&lt;&gt;0,L259/FORMULACIÓN!M259,0)),"")</f>
        <v/>
      </c>
      <c r="AQ259" s="117" t="str">
        <f>IFERROR(IF($H259=Lists!$S$6,IF(AND(FORMULACIÓN!N259&gt;M259,M259&gt;0),1,0),IF((M259/FORMULACIÓN!N259)&lt;&gt;0,M259/FORMULACIÓN!N259,0)),"")</f>
        <v/>
      </c>
      <c r="AR259" s="117" t="str">
        <f>IFERROR(IF($H259=Lists!$S$6,IF(AND(FORMULACIÓN!O259&gt;N259,N259&gt;0),1,0),IF((N259/FORMULACIÓN!O259)&lt;&gt;0,N259/FORMULACIÓN!O259,0)),"")</f>
        <v/>
      </c>
      <c r="AS259" s="110"/>
      <c r="AT259" s="118" t="str">
        <f ca="1">IF($H259=Lists!$S$6,TEXT(COUNTIF('SEGUIMIENTO Y EVALUACIÓN'!K259:N259,"&lt;"&amp;FORMULACIÓN!Q259),"##.###")&amp;" / "&amp;TEXT(COUNTIF('SEGUIMIENTO Y EVALUACIÓN'!K259:N259,"&gt;"&amp;0),"##.###"),IF($G259=Lists!$R$3,TEXT('SEGUIMIENTO Y EVALUACIÓN'!O259,"00,00%")&amp;" / "&amp;TEXT(FORMULACIÓN!P259,"00,00%"),IF('SEGUIMIENTO Y EVALUACIÓN'!O259=0,0,TEXT('SEGUIMIENTO Y EVALUACIÓN'!O259,"##.###")&amp;" / "&amp;TEXT(FORMULACIÓN!P259,"##.###"))))</f>
        <v xml:space="preserve"> / </v>
      </c>
      <c r="AU259" s="57">
        <f ca="1">IFERROR(IF((P259/FORMULACIÓN!Q259)&lt;&gt;0,IF($H259=Lists!$S$6,COUNTIF('SEGUIMIENTO Y EVALUACIÓN'!K259:N259,"&lt;"&amp;FORMULACIÓN!Q259),'SEGUIMIENTO Y EVALUACIÓN'!P259)/IF($H259=Lists!$S$6,COUNTIF('SEGUIMIENTO Y EVALUACIÓN'!K259:N259,"&gt;"&amp;0),FORMULACIÓN!P259),0),0)</f>
        <v>0</v>
      </c>
      <c r="AV259" s="93" t="str">
        <f t="shared" ca="1" si="32"/>
        <v/>
      </c>
      <c r="AW259" s="93" cm="1">
        <f t="array" ref="AW259">IF(INDEX(AO259:AU259,1,$AV$3)&gt;1,1,INDEX(AO259:AU259,1,$AV$3))</f>
        <v>1</v>
      </c>
      <c r="AX259" s="3"/>
      <c r="AY259" s="119" t="str">
        <f>IFERROR(IF((W259/FORMULACIÓN!X259)&lt;&gt;0,W259/FORMULACIÓN!X259,0),"")</f>
        <v/>
      </c>
      <c r="AZ259" s="119" t="str">
        <f>IFERROR(IF((AA259/FORMULACIÓN!AB259)&lt;&gt;0,AA259/FORMULACIÓN!AB259,0),"")</f>
        <v/>
      </c>
      <c r="BA259" s="119" t="str">
        <f>IFERROR(IF((AE259/FORMULACIÓN!AF259)&lt;&gt;0,(AE259/FORMULACIÓN!AF259),0),"")</f>
        <v/>
      </c>
      <c r="BB259" s="119" t="str">
        <f>IFERROR(IF((AI259/FORMULACIÓN!AJ259)&lt;&gt;0,AI259/FORMULACIÓN!AJ259,0),"")</f>
        <v/>
      </c>
      <c r="BC259" s="120" t="str">
        <f>IF('SEGUIMIENTO Y EVALUACIÓN'!AI259=0,0,TEXT('SEGUIMIENTO Y EVALUACIÓN'!AI259,"$ ##.###")&amp;" / "&amp;TEXT(FORMULACIÓN!AK259,"$ ##.###"))</f>
        <v xml:space="preserve"> / </v>
      </c>
      <c r="BD259" s="57">
        <f>IFERROR(IF((AJ259/FORMULACIÓN!AK259)&lt;&gt;0,AJ259/FORMULACIÓN!AK259,0),0)</f>
        <v>0</v>
      </c>
      <c r="CL259" s="7"/>
    </row>
    <row r="260" spans="1:90" s="1" customFormat="1" ht="99.95" customHeight="1">
      <c r="A260" s="45" t="str">
        <f>IF(FORMULACIÓN!A260="","",FORMULACIÓN!A260)</f>
        <v/>
      </c>
      <c r="B260" s="45" t="str">
        <f>IF(FORMULACIÓN!B260="","",FORMULACIÓN!B260)</f>
        <v/>
      </c>
      <c r="C260" s="45" t="str">
        <f>IF(FORMULACIÓN!E260="","",FORMULACIÓN!E260)</f>
        <v/>
      </c>
      <c r="D260" s="45" t="str">
        <f>IF(FORMULACIÓN!F260="","",FORMULACIÓN!F260)</f>
        <v/>
      </c>
      <c r="E260" s="45" t="str">
        <f>IF(FORMULACIÓN!G260="","",FORMULACIÓN!G260)</f>
        <v/>
      </c>
      <c r="F260" s="45" t="str">
        <f>IF(FORMULACIÓN!H260="","",FORMULACIÓN!H260)</f>
        <v/>
      </c>
      <c r="G260" s="45" t="str">
        <f>IF(FORMULACIÓN!I260="","",FORMULACIÓN!I260)</f>
        <v/>
      </c>
      <c r="H260" s="45" t="str">
        <f>IF(FORMULACIÓN!J260="","",FORMULACIÓN!J260)</f>
        <v/>
      </c>
      <c r="I260" s="188" t="str">
        <f ca="1">IF($G260=Lists!$R$3,"PDI: "&amp;TEXT(FORMULACIÓN!Q260,"00,00%")&amp;CHAR(10)&amp;CHAR(10)&amp;"T1: "&amp;TEXT(FORMULACIÓN!L260,"00,00%")&amp;CHAR(10)&amp;"T2: "&amp;TEXT(FORMULACIÓN!M260,"00,00%")&amp;CHAR(10)&amp;"T3: "&amp;TEXT(FORMULACIÓN!N260,"00,00%")&amp;CHAR(10)&amp;"Tn: "&amp;TEXT(FORMULACIÓN!O260,"00,00%"),IF(FORMULACIÓN!Q260=0,0,"PDI: "&amp;TEXT(FORMULACIÓN!Q260,"##.###")&amp;CHAR(10)&amp;CHAR(10)&amp;"T1: "&amp;TEXT(FORMULACIÓN!L260,"##.###")&amp;CHAR(10)&amp;"T2: "&amp;TEXT(FORMULACIÓN!M260,"##.###")&amp;CHAR(10)&amp;"T3: "&amp;TEXT(FORMULACIÓN!N260,"##.###")&amp;CHAR(10)&amp;"Tn: "&amp;TEXT(FORMULACIÓN!O260,"##.###")))</f>
        <v xml:space="preserve">PDI: 
T1: 
T2: 
T3: 
Tn: </v>
      </c>
      <c r="J260" s="122" t="str">
        <f>IF(FORMULACIÓN!K260&lt;&gt;"",FORMULACIÓN!K260,"")</f>
        <v/>
      </c>
      <c r="K260" s="58"/>
      <c r="L260" s="58"/>
      <c r="M260" s="58"/>
      <c r="N260" s="58"/>
      <c r="O260" s="47" t="str">
        <f ca="1">IFERROR(IF($H260=Lists!$S$2,SUM('SEGUIMIENTO Y EVALUACIÓN'!J260:N260),IF('SEGUIMIENTO Y EVALUACIÓN'!$H260=Lists!$S$3,SUM('SEGUIMIENTO Y EVALUACIÓN'!K260:N260),IF('SEGUIMIENTO Y EVALUACIÓN'!$H260=Lists!$S$4,AVERAGE('SEGUIMIENTO Y EVALUACIÓN'!K260:N260),IF('SEGUIMIENTO Y EVALUACIÓN'!$H260=Lists!$S$5,OFFSET(J260,0,COUNTA(K260:N260)),IF($H260=Lists!$S$6,COUNTIF(K260:N260,"&lt;"&amp;FORMULACIÓN!Q260)/COUNT('SEGUIMIENTO Y EVALUACIÓN'!K260:N260),""))))),"")</f>
        <v/>
      </c>
      <c r="P260" s="51" t="str">
        <f ca="1">IF($G260=Lists!$R$3,TEXT('SEGUIMIENTO Y EVALUACIÓN'!O260,"00,00%"),IF('SEGUIMIENTO Y EVALUACIÓN'!O260=0,0,TEXT('SEGUIMIENTO Y EVALUACIÓN'!O260,"##.###")))</f>
        <v/>
      </c>
      <c r="Q260" s="209" t="str">
        <f>IF(FORMULACIÓN!R260&lt;&gt;"",FORMULACIÓN!R260,"")</f>
        <v/>
      </c>
      <c r="R260" s="209" t="str">
        <f>IF(FORMULACIÓN!S260&lt;&gt;"",FORMULACIÓN!S260,"")</f>
        <v/>
      </c>
      <c r="S260" s="209" t="str">
        <f>IF(FORMULACIÓN!T260&lt;&gt;"",FORMULACIÓN!T260,"")</f>
        <v/>
      </c>
      <c r="T260" s="42"/>
      <c r="U260" s="42"/>
      <c r="V260" s="42"/>
      <c r="W260" s="43" t="str">
        <f t="shared" si="27"/>
        <v/>
      </c>
      <c r="X260" s="42"/>
      <c r="Y260" s="42"/>
      <c r="Z260" s="42"/>
      <c r="AA260" s="43" t="str">
        <f t="shared" si="28"/>
        <v/>
      </c>
      <c r="AB260" s="42"/>
      <c r="AC260" s="42"/>
      <c r="AD260" s="42"/>
      <c r="AE260" s="43" t="str">
        <f t="shared" si="29"/>
        <v/>
      </c>
      <c r="AF260" s="42"/>
      <c r="AG260" s="42"/>
      <c r="AH260" s="42"/>
      <c r="AI260" s="46" t="str">
        <f t="shared" si="30"/>
        <v/>
      </c>
      <c r="AJ260" s="46" t="str">
        <f>IF(SUM(AA260,AE260,W260,AI260)=0,"",SUM((AA260,AE260,W260,AI260)))</f>
        <v/>
      </c>
      <c r="AK260" s="2"/>
      <c r="AL260" s="1" t="str">
        <f t="shared" si="31"/>
        <v/>
      </c>
      <c r="AM260" s="56" t="str">
        <f t="shared" si="33"/>
        <v/>
      </c>
      <c r="AN260" s="112" t="str">
        <f ca="1">IF($G260=Lists!$R$3,"T1: "&amp;TEXT(FORMULACIÓN!L260,"00,00%")&amp;CHAR(10)&amp;"T2: "&amp;TEXT(FORMULACIÓN!M260,"00,00%")&amp;CHAR(10)&amp;"T3: "&amp;TEXT(FORMULACIÓN!N260,"00,00%")&amp;CHAR(10)&amp;"Tn: "&amp;TEXT(FORMULACIÓN!O260,"00,00%"),IF(FORMULACIÓN!Q260=0,0,"T1: "&amp;TEXT(FORMULACIÓN!L260,"##.###")&amp;CHAR(10)&amp;"T2: "&amp;TEXT(FORMULACIÓN!M260,"##.###")&amp;CHAR(10)&amp;"T3: "&amp;TEXT(FORMULACIÓN!N260,"##.###")&amp;CHAR(10)&amp;"Tn: "&amp;TEXT(FORMULACIÓN!O260,"##.###")))</f>
        <v xml:space="preserve">T1: 
T2: 
T3: 
Tn: </v>
      </c>
      <c r="AO260" s="117" t="str">
        <f>IFERROR(IF($H260=Lists!$S$6,IF(AND(FORMULACIÓN!L260&gt;K260,K260&gt;0),1,0),IF((K260/FORMULACIÓN!L260)&lt;&gt;0,K260/FORMULACIÓN!L260,0)),"")</f>
        <v/>
      </c>
      <c r="AP260" s="117" t="str">
        <f>IFERROR(IF($H260=Lists!$S$6,IF(AND(FORMULACIÓN!M260&gt;L260,L260&gt;0),1,0),IF((L260/FORMULACIÓN!M260)&lt;&gt;0,L260/FORMULACIÓN!M260,0)),"")</f>
        <v/>
      </c>
      <c r="AQ260" s="117" t="str">
        <f>IFERROR(IF($H260=Lists!$S$6,IF(AND(FORMULACIÓN!N260&gt;M260,M260&gt;0),1,0),IF((M260/FORMULACIÓN!N260)&lt;&gt;0,M260/FORMULACIÓN!N260,0)),"")</f>
        <v/>
      </c>
      <c r="AR260" s="117" t="str">
        <f>IFERROR(IF($H260=Lists!$S$6,IF(AND(FORMULACIÓN!O260&gt;N260,N260&gt;0),1,0),IF((N260/FORMULACIÓN!O260)&lt;&gt;0,N260/FORMULACIÓN!O260,0)),"")</f>
        <v/>
      </c>
      <c r="AS260" s="110"/>
      <c r="AT260" s="118" t="str">
        <f ca="1">IF($H260=Lists!$S$6,TEXT(COUNTIF('SEGUIMIENTO Y EVALUACIÓN'!K260:N260,"&lt;"&amp;FORMULACIÓN!Q260),"##.###")&amp;" / "&amp;TEXT(COUNTIF('SEGUIMIENTO Y EVALUACIÓN'!K260:N260,"&gt;"&amp;0),"##.###"),IF($G260=Lists!$R$3,TEXT('SEGUIMIENTO Y EVALUACIÓN'!O260,"00,00%")&amp;" / "&amp;TEXT(FORMULACIÓN!P260,"00,00%"),IF('SEGUIMIENTO Y EVALUACIÓN'!O260=0,0,TEXT('SEGUIMIENTO Y EVALUACIÓN'!O260,"##.###")&amp;" / "&amp;TEXT(FORMULACIÓN!P260,"##.###"))))</f>
        <v xml:space="preserve"> / </v>
      </c>
      <c r="AU260" s="57">
        <f ca="1">IFERROR(IF((P260/FORMULACIÓN!Q260)&lt;&gt;0,IF($H260=Lists!$S$6,COUNTIF('SEGUIMIENTO Y EVALUACIÓN'!K260:N260,"&lt;"&amp;FORMULACIÓN!Q260),'SEGUIMIENTO Y EVALUACIÓN'!P260)/IF($H260=Lists!$S$6,COUNTIF('SEGUIMIENTO Y EVALUACIÓN'!K260:N260,"&gt;"&amp;0),FORMULACIÓN!P260),0),0)</f>
        <v>0</v>
      </c>
      <c r="AV260" s="93" t="str">
        <f t="shared" ca="1" si="32"/>
        <v/>
      </c>
      <c r="AW260" s="93" cm="1">
        <f t="array" ref="AW260">IF(INDEX(AO260:AU260,1,$AV$3)&gt;1,1,INDEX(AO260:AU260,1,$AV$3))</f>
        <v>1</v>
      </c>
      <c r="AX260" s="3"/>
      <c r="AY260" s="119" t="str">
        <f>IFERROR(IF((W260/FORMULACIÓN!X260)&lt;&gt;0,W260/FORMULACIÓN!X260,0),"")</f>
        <v/>
      </c>
      <c r="AZ260" s="119" t="str">
        <f>IFERROR(IF((AA260/FORMULACIÓN!AB260)&lt;&gt;0,AA260/FORMULACIÓN!AB260,0),"")</f>
        <v/>
      </c>
      <c r="BA260" s="119" t="str">
        <f>IFERROR(IF((AE260/FORMULACIÓN!AF260)&lt;&gt;0,(AE260/FORMULACIÓN!AF260),0),"")</f>
        <v/>
      </c>
      <c r="BB260" s="119" t="str">
        <f>IFERROR(IF((AI260/FORMULACIÓN!AJ260)&lt;&gt;0,AI260/FORMULACIÓN!AJ260,0),"")</f>
        <v/>
      </c>
      <c r="BC260" s="120" t="str">
        <f>IF('SEGUIMIENTO Y EVALUACIÓN'!AI260=0,0,TEXT('SEGUIMIENTO Y EVALUACIÓN'!AI260,"$ ##.###")&amp;" / "&amp;TEXT(FORMULACIÓN!AK260,"$ ##.###"))</f>
        <v xml:space="preserve"> / </v>
      </c>
      <c r="BD260" s="57">
        <f>IFERROR(IF((AJ260/FORMULACIÓN!AK260)&lt;&gt;0,AJ260/FORMULACIÓN!AK260,0),0)</f>
        <v>0</v>
      </c>
      <c r="CL260" s="7"/>
    </row>
    <row r="261" spans="1:90" s="1" customFormat="1" ht="99.95" customHeight="1">
      <c r="A261" s="45" t="str">
        <f>IF(FORMULACIÓN!A261="","",FORMULACIÓN!A261)</f>
        <v/>
      </c>
      <c r="B261" s="45" t="str">
        <f>IF(FORMULACIÓN!B261="","",FORMULACIÓN!B261)</f>
        <v/>
      </c>
      <c r="C261" s="45" t="str">
        <f>IF(FORMULACIÓN!E261="","",FORMULACIÓN!E261)</f>
        <v/>
      </c>
      <c r="D261" s="45" t="str">
        <f>IF(FORMULACIÓN!F261="","",FORMULACIÓN!F261)</f>
        <v/>
      </c>
      <c r="E261" s="45" t="str">
        <f>IF(FORMULACIÓN!G261="","",FORMULACIÓN!G261)</f>
        <v/>
      </c>
      <c r="F261" s="45" t="str">
        <f>IF(FORMULACIÓN!H261="","",FORMULACIÓN!H261)</f>
        <v/>
      </c>
      <c r="G261" s="45" t="str">
        <f>IF(FORMULACIÓN!I261="","",FORMULACIÓN!I261)</f>
        <v/>
      </c>
      <c r="H261" s="45" t="str">
        <f>IF(FORMULACIÓN!J261="","",FORMULACIÓN!J261)</f>
        <v/>
      </c>
      <c r="I261" s="188" t="str">
        <f ca="1">IF($G261=Lists!$R$3,"PDI: "&amp;TEXT(FORMULACIÓN!Q261,"00,00%")&amp;CHAR(10)&amp;CHAR(10)&amp;"T1: "&amp;TEXT(FORMULACIÓN!L261,"00,00%")&amp;CHAR(10)&amp;"T2: "&amp;TEXT(FORMULACIÓN!M261,"00,00%")&amp;CHAR(10)&amp;"T3: "&amp;TEXT(FORMULACIÓN!N261,"00,00%")&amp;CHAR(10)&amp;"Tn: "&amp;TEXT(FORMULACIÓN!O261,"00,00%"),IF(FORMULACIÓN!Q261=0,0,"PDI: "&amp;TEXT(FORMULACIÓN!Q261,"##.###")&amp;CHAR(10)&amp;CHAR(10)&amp;"T1: "&amp;TEXT(FORMULACIÓN!L261,"##.###")&amp;CHAR(10)&amp;"T2: "&amp;TEXT(FORMULACIÓN!M261,"##.###")&amp;CHAR(10)&amp;"T3: "&amp;TEXT(FORMULACIÓN!N261,"##.###")&amp;CHAR(10)&amp;"Tn: "&amp;TEXT(FORMULACIÓN!O261,"##.###")))</f>
        <v xml:space="preserve">PDI: 
T1: 
T2: 
T3: 
Tn: </v>
      </c>
      <c r="J261" s="122" t="str">
        <f>IF(FORMULACIÓN!K261&lt;&gt;"",FORMULACIÓN!K261,"")</f>
        <v/>
      </c>
      <c r="K261" s="70"/>
      <c r="L261" s="70"/>
      <c r="M261" s="70"/>
      <c r="N261" s="70"/>
      <c r="O261" s="47" t="str">
        <f ca="1">IFERROR(IF($H261=Lists!$S$2,SUM('SEGUIMIENTO Y EVALUACIÓN'!J261:N261),IF('SEGUIMIENTO Y EVALUACIÓN'!$H261=Lists!$S$3,SUM('SEGUIMIENTO Y EVALUACIÓN'!K261:N261),IF('SEGUIMIENTO Y EVALUACIÓN'!$H261=Lists!$S$4,AVERAGE('SEGUIMIENTO Y EVALUACIÓN'!K261:N261),IF('SEGUIMIENTO Y EVALUACIÓN'!$H261=Lists!$S$5,OFFSET(J261,0,COUNTA(K261:N261)),IF($H261=Lists!$S$6,COUNTIF(K261:N261,"&lt;"&amp;FORMULACIÓN!Q261)/COUNT('SEGUIMIENTO Y EVALUACIÓN'!K261:N261),""))))),"")</f>
        <v/>
      </c>
      <c r="P261" s="51" t="str">
        <f ca="1">IF($G261=Lists!$R$3,TEXT('SEGUIMIENTO Y EVALUACIÓN'!O261,"00,00%"),IF('SEGUIMIENTO Y EVALUACIÓN'!O261=0,0,TEXT('SEGUIMIENTO Y EVALUACIÓN'!O261,"##.###")))</f>
        <v/>
      </c>
      <c r="Q261" s="209" t="str">
        <f>IF(FORMULACIÓN!R261&lt;&gt;"",FORMULACIÓN!R261,"")</f>
        <v/>
      </c>
      <c r="R261" s="209" t="str">
        <f>IF(FORMULACIÓN!S261&lt;&gt;"",FORMULACIÓN!S261,"")</f>
        <v/>
      </c>
      <c r="S261" s="209" t="str">
        <f>IF(FORMULACIÓN!T261&lt;&gt;"",FORMULACIÓN!T261,"")</f>
        <v/>
      </c>
      <c r="T261" s="42"/>
      <c r="U261" s="42"/>
      <c r="V261" s="42"/>
      <c r="W261" s="43" t="str">
        <f t="shared" si="27"/>
        <v/>
      </c>
      <c r="X261" s="42"/>
      <c r="Y261" s="42"/>
      <c r="Z261" s="42"/>
      <c r="AA261" s="44"/>
      <c r="AB261" s="42"/>
      <c r="AC261" s="42"/>
      <c r="AD261" s="42"/>
      <c r="AE261" s="44"/>
      <c r="AF261" s="42"/>
      <c r="AG261" s="42"/>
      <c r="AH261" s="42"/>
      <c r="AI261" s="46" t="str">
        <f t="shared" si="30"/>
        <v/>
      </c>
      <c r="AJ261" s="44"/>
      <c r="AK261" s="2"/>
      <c r="AL261" s="1" t="str">
        <f t="shared" si="31"/>
        <v/>
      </c>
      <c r="AM261" s="56" t="str">
        <f t="shared" si="33"/>
        <v/>
      </c>
      <c r="AN261" s="112" t="str">
        <f ca="1">IF($G261=Lists!$R$3,"T1: "&amp;TEXT(FORMULACIÓN!L261,"00,00%")&amp;CHAR(10)&amp;"T2: "&amp;TEXT(FORMULACIÓN!M261,"00,00%")&amp;CHAR(10)&amp;"T3: "&amp;TEXT(FORMULACIÓN!N261,"00,00%")&amp;CHAR(10)&amp;"Tn: "&amp;TEXT(FORMULACIÓN!O261,"00,00%"),IF(FORMULACIÓN!Q261=0,0,"T1: "&amp;TEXT(FORMULACIÓN!L261,"##.###")&amp;CHAR(10)&amp;"T2: "&amp;TEXT(FORMULACIÓN!M261,"##.###")&amp;CHAR(10)&amp;"T3: "&amp;TEXT(FORMULACIÓN!N261,"##.###")&amp;CHAR(10)&amp;"Tn: "&amp;TEXT(FORMULACIÓN!O261,"##.###")))</f>
        <v xml:space="preserve">T1: 
T2: 
T3: 
Tn: </v>
      </c>
      <c r="AO261" s="117" t="str">
        <f>IFERROR(IF($H261=Lists!$S$6,IF(AND(FORMULACIÓN!L261&gt;K261,K261&gt;0),1,0),IF((K261/FORMULACIÓN!L261)&lt;&gt;0,K261/FORMULACIÓN!L261,0)),"")</f>
        <v/>
      </c>
      <c r="AP261" s="117" t="str">
        <f>IFERROR(IF($H261=Lists!$S$6,IF(AND(FORMULACIÓN!M261&gt;L261,L261&gt;0),1,0),IF((L261/FORMULACIÓN!M261)&lt;&gt;0,L261/FORMULACIÓN!M261,0)),"")</f>
        <v/>
      </c>
      <c r="AQ261" s="117" t="str">
        <f>IFERROR(IF($H261=Lists!$S$6,IF(AND(FORMULACIÓN!N261&gt;M261,M261&gt;0),1,0),IF((M261/FORMULACIÓN!N261)&lt;&gt;0,M261/FORMULACIÓN!N261,0)),"")</f>
        <v/>
      </c>
      <c r="AR261" s="117" t="str">
        <f>IFERROR(IF($H261=Lists!$S$6,IF(AND(FORMULACIÓN!O261&gt;N261,N261&gt;0),1,0),IF((N261/FORMULACIÓN!O261)&lt;&gt;0,N261/FORMULACIÓN!O261,0)),"")</f>
        <v/>
      </c>
      <c r="AS261" s="110"/>
      <c r="AT261" s="118" t="str">
        <f ca="1">IF($H261=Lists!$S$6,TEXT(COUNTIF('SEGUIMIENTO Y EVALUACIÓN'!K261:N261,"&lt;"&amp;FORMULACIÓN!Q261),"##.###")&amp;" / "&amp;TEXT(COUNTIF('SEGUIMIENTO Y EVALUACIÓN'!K261:N261,"&gt;"&amp;0),"##.###"),IF($G261=Lists!$R$3,TEXT('SEGUIMIENTO Y EVALUACIÓN'!O261,"00,00%")&amp;" / "&amp;TEXT(FORMULACIÓN!P261,"00,00%"),IF('SEGUIMIENTO Y EVALUACIÓN'!O261=0,0,TEXT('SEGUIMIENTO Y EVALUACIÓN'!O261,"##.###")&amp;" / "&amp;TEXT(FORMULACIÓN!P261,"##.###"))))</f>
        <v xml:space="preserve"> / </v>
      </c>
      <c r="AU261" s="57">
        <f ca="1">IFERROR(IF((P261/FORMULACIÓN!Q261)&lt;&gt;0,IF($H261=Lists!$S$6,COUNTIF('SEGUIMIENTO Y EVALUACIÓN'!K261:N261,"&lt;"&amp;FORMULACIÓN!Q261),'SEGUIMIENTO Y EVALUACIÓN'!P261)/IF($H261=Lists!$S$6,COUNTIF('SEGUIMIENTO Y EVALUACIÓN'!K261:N261,"&gt;"&amp;0),FORMULACIÓN!P261),0),0)</f>
        <v>0</v>
      </c>
      <c r="AV261" s="93" t="str">
        <f t="shared" ca="1" si="32"/>
        <v/>
      </c>
      <c r="AW261" s="93" cm="1">
        <f t="array" ref="AW261">IF(INDEX(AO261:AU261,1,$AV$3)&gt;1,1,INDEX(AO261:AU261,1,$AV$3))</f>
        <v>1</v>
      </c>
      <c r="AX261" s="3"/>
      <c r="AY261" s="119" t="str">
        <f>IFERROR(IF((W261/FORMULACIÓN!X261)&lt;&gt;0,W261/FORMULACIÓN!X261,0),"")</f>
        <v/>
      </c>
      <c r="AZ261" s="119" t="str">
        <f>IFERROR(IF((AA261/FORMULACIÓN!AB261)&lt;&gt;0,AA261/FORMULACIÓN!AB261,0),"")</f>
        <v/>
      </c>
      <c r="BA261" s="119" t="str">
        <f>IFERROR(IF((AE261/FORMULACIÓN!AF261)&lt;&gt;0,(AE261/FORMULACIÓN!AF261),0),"")</f>
        <v/>
      </c>
      <c r="BB261" s="119" t="str">
        <f>IFERROR(IF((AI261/FORMULACIÓN!AJ261)&lt;&gt;0,AI261/FORMULACIÓN!AJ261,0),"")</f>
        <v/>
      </c>
      <c r="BC261" s="120" t="str">
        <f>IF('SEGUIMIENTO Y EVALUACIÓN'!AI261=0,0,TEXT('SEGUIMIENTO Y EVALUACIÓN'!AI261,"$ ##.###")&amp;" / "&amp;TEXT(FORMULACIÓN!AK261,"$ ##.###"))</f>
        <v xml:space="preserve"> / $ </v>
      </c>
      <c r="BD261" s="57">
        <f>IFERROR(IF((AJ261/FORMULACIÓN!AK261)&lt;&gt;0,AJ261/FORMULACIÓN!AK261,0),0)</f>
        <v>0</v>
      </c>
      <c r="CL261" s="7"/>
    </row>
    <row r="262" spans="1:90" ht="99.95" customHeight="1">
      <c r="A262" s="33"/>
      <c r="B262" s="33"/>
      <c r="C262" s="33"/>
      <c r="D262" s="33"/>
      <c r="E262" s="33"/>
      <c r="F262" s="33"/>
      <c r="G262" s="33"/>
      <c r="H262" s="33"/>
      <c r="J262" s="33"/>
      <c r="O262" s="33"/>
      <c r="P262" s="20"/>
      <c r="Q262" s="33"/>
      <c r="S262" s="33"/>
      <c r="T262" s="33"/>
      <c r="U262" s="33"/>
      <c r="V262" s="33"/>
      <c r="W262" s="33"/>
      <c r="X262" s="33"/>
      <c r="Y262" s="33"/>
      <c r="Z262" s="33"/>
      <c r="AA262" s="33"/>
      <c r="AB262" s="33"/>
      <c r="AC262" s="33"/>
      <c r="AD262" s="33"/>
      <c r="AE262" s="33"/>
      <c r="AF262" s="33"/>
      <c r="AG262" s="33"/>
      <c r="AH262" s="33"/>
      <c r="AI262" s="33"/>
      <c r="AJ262" s="33"/>
    </row>
    <row r="263" spans="1:90" ht="99.95" customHeight="1">
      <c r="A263" s="34" t="s">
        <v>628</v>
      </c>
      <c r="B263" s="34" t="s">
        <v>628</v>
      </c>
      <c r="C263" s="34" t="s">
        <v>628</v>
      </c>
      <c r="D263" s="34" t="s">
        <v>628</v>
      </c>
      <c r="E263" s="34" t="s">
        <v>628</v>
      </c>
      <c r="F263" s="34" t="s">
        <v>628</v>
      </c>
      <c r="G263" s="34" t="s">
        <v>628</v>
      </c>
      <c r="H263" s="34" t="s">
        <v>628</v>
      </c>
      <c r="I263" s="34" t="s">
        <v>628</v>
      </c>
      <c r="J263" s="34" t="s">
        <v>628</v>
      </c>
      <c r="K263" s="32" t="s">
        <v>628</v>
      </c>
      <c r="L263" s="32" t="s">
        <v>628</v>
      </c>
      <c r="M263" s="32" t="s">
        <v>628</v>
      </c>
      <c r="N263" s="32" t="s">
        <v>628</v>
      </c>
      <c r="O263" s="34" t="s">
        <v>628</v>
      </c>
      <c r="P263" s="34" t="s">
        <v>628</v>
      </c>
      <c r="Q263" s="34" t="s">
        <v>628</v>
      </c>
      <c r="R263" s="32" t="s">
        <v>628</v>
      </c>
      <c r="S263" s="34" t="s">
        <v>628</v>
      </c>
      <c r="T263" s="34" t="s">
        <v>628</v>
      </c>
      <c r="U263" s="34" t="s">
        <v>628</v>
      </c>
      <c r="V263" s="34" t="s">
        <v>628</v>
      </c>
      <c r="W263" s="34" t="s">
        <v>628</v>
      </c>
      <c r="X263" s="34" t="s">
        <v>628</v>
      </c>
      <c r="Y263" s="34" t="s">
        <v>628</v>
      </c>
      <c r="Z263" s="34" t="s">
        <v>628</v>
      </c>
      <c r="AA263" s="34" t="s">
        <v>628</v>
      </c>
      <c r="AB263" s="34" t="s">
        <v>628</v>
      </c>
      <c r="AC263" s="34" t="s">
        <v>628</v>
      </c>
      <c r="AD263" s="34" t="s">
        <v>628</v>
      </c>
      <c r="AE263" s="34" t="s">
        <v>628</v>
      </c>
      <c r="AF263" s="34" t="s">
        <v>628</v>
      </c>
      <c r="AG263" s="34" t="s">
        <v>628</v>
      </c>
      <c r="AH263" s="34" t="s">
        <v>628</v>
      </c>
      <c r="AI263" s="34" t="s">
        <v>628</v>
      </c>
      <c r="AJ263" s="34" t="s">
        <v>628</v>
      </c>
      <c r="AK263" s="34" t="s">
        <v>628</v>
      </c>
      <c r="AL263" s="34" t="s">
        <v>628</v>
      </c>
      <c r="AM263" s="34" t="s">
        <v>628</v>
      </c>
      <c r="AN263" s="34"/>
      <c r="AO263" s="34" t="s">
        <v>628</v>
      </c>
      <c r="AP263" s="34" t="s">
        <v>628</v>
      </c>
      <c r="AQ263" s="34" t="s">
        <v>628</v>
      </c>
      <c r="AR263" s="34" t="s">
        <v>628</v>
      </c>
      <c r="AS263" s="34" t="s">
        <v>628</v>
      </c>
      <c r="AT263" s="34" t="s">
        <v>628</v>
      </c>
      <c r="AU263" s="34" t="s">
        <v>628</v>
      </c>
      <c r="AV263" s="34" t="s">
        <v>628</v>
      </c>
      <c r="AW263" s="34"/>
      <c r="AX263" s="34" t="s">
        <v>628</v>
      </c>
      <c r="AY263" s="34" t="s">
        <v>628</v>
      </c>
      <c r="AZ263" s="34" t="s">
        <v>628</v>
      </c>
      <c r="BA263" s="34" t="s">
        <v>628</v>
      </c>
      <c r="BB263" s="34" t="s">
        <v>628</v>
      </c>
      <c r="BC263" s="34" t="s">
        <v>628</v>
      </c>
      <c r="BD263" s="34" t="s">
        <v>628</v>
      </c>
    </row>
  </sheetData>
  <sheetProtection formatCells="0" formatColumns="0" formatRows="0" sort="0" autoFilter="0" pivotTables="0"/>
  <protectedRanges>
    <protectedRange sqref="T12:V261 X12:Z261 AB12:AD261 AF12:AH261 K12:N261" name="r2" securityDescriptor="O:WDG:WDD:(A;;CC;;;WD)"/>
  </protectedRanges>
  <autoFilter ref="A11:CL261" xr:uid="{00000000-0001-0000-0100-000000000000}">
    <filterColumn colId="54" showButton="0"/>
  </autoFilter>
  <dataConsolidate link="1"/>
  <mergeCells count="63">
    <mergeCell ref="I10:I11"/>
    <mergeCell ref="AM7:BD7"/>
    <mergeCell ref="AE8:AE11"/>
    <mergeCell ref="AF10:AF11"/>
    <mergeCell ref="AG10:AG11"/>
    <mergeCell ref="AD10:AD11"/>
    <mergeCell ref="AH10:AH11"/>
    <mergeCell ref="AF8:AH8"/>
    <mergeCell ref="AF9:AH9"/>
    <mergeCell ref="AT8:AV10"/>
    <mergeCell ref="AY8:BD9"/>
    <mergeCell ref="AN10:AN11"/>
    <mergeCell ref="BA10:BA11"/>
    <mergeCell ref="AR10:AR11"/>
    <mergeCell ref="BB10:BB11"/>
    <mergeCell ref="BC10:BD11"/>
    <mergeCell ref="A4:AJ4"/>
    <mergeCell ref="A1:AI3"/>
    <mergeCell ref="B6:C6"/>
    <mergeCell ref="AB10:AB11"/>
    <mergeCell ref="AC10:AC11"/>
    <mergeCell ref="T10:T11"/>
    <mergeCell ref="AA8:AA11"/>
    <mergeCell ref="AB8:AD8"/>
    <mergeCell ref="W8:W11"/>
    <mergeCell ref="X8:Z8"/>
    <mergeCell ref="Y10:Y11"/>
    <mergeCell ref="R8:R11"/>
    <mergeCell ref="S8:S11"/>
    <mergeCell ref="T8:V8"/>
    <mergeCell ref="V10:V11"/>
    <mergeCell ref="Z10:Z11"/>
    <mergeCell ref="W6:X6"/>
    <mergeCell ref="Y6:Z6"/>
    <mergeCell ref="AA6:AB6"/>
    <mergeCell ref="AC6:AD6"/>
    <mergeCell ref="AI6:AJ6"/>
    <mergeCell ref="A8:A11"/>
    <mergeCell ref="B8:B11"/>
    <mergeCell ref="C8:C11"/>
    <mergeCell ref="D8:D11"/>
    <mergeCell ref="E8:H9"/>
    <mergeCell ref="E10:E11"/>
    <mergeCell ref="F10:F11"/>
    <mergeCell ref="G10:G11"/>
    <mergeCell ref="H10:H11"/>
    <mergeCell ref="J8:P9"/>
    <mergeCell ref="AJ8:AJ11"/>
    <mergeCell ref="T9:V9"/>
    <mergeCell ref="X9:Z9"/>
    <mergeCell ref="AB9:AD9"/>
    <mergeCell ref="U10:U11"/>
    <mergeCell ref="J10:J11"/>
    <mergeCell ref="AY10:AY11"/>
    <mergeCell ref="AZ10:AZ11"/>
    <mergeCell ref="X10:X11"/>
    <mergeCell ref="Q8:Q11"/>
    <mergeCell ref="AI8:AI11"/>
    <mergeCell ref="AQ10:AQ11"/>
    <mergeCell ref="AP10:AP11"/>
    <mergeCell ref="AO10:AO11"/>
    <mergeCell ref="AM10:AM11"/>
    <mergeCell ref="AM8:AR9"/>
  </mergeCells>
  <phoneticPr fontId="20" type="noConversion"/>
  <conditionalFormatting sqref="AU12:AU261">
    <cfRule type="cellIs" dxfId="9" priority="6" operator="greaterThanOrEqual">
      <formula>0.851</formula>
    </cfRule>
    <cfRule type="cellIs" dxfId="8" priority="7" operator="between">
      <formula>0.751</formula>
      <formula>0.85</formula>
    </cfRule>
    <cfRule type="cellIs" dxfId="7" priority="8" operator="between">
      <formula>0.501</formula>
      <formula>0.75</formula>
    </cfRule>
    <cfRule type="cellIs" dxfId="6" priority="9" operator="between">
      <formula>0.301</formula>
      <formula>0.5</formula>
    </cfRule>
    <cfRule type="cellIs" dxfId="5" priority="10" operator="between">
      <formula>0</formula>
      <formula>0.3</formula>
    </cfRule>
  </conditionalFormatting>
  <conditionalFormatting sqref="BD12:BD261">
    <cfRule type="cellIs" dxfId="4" priority="1" operator="greaterThanOrEqual">
      <formula>0.851</formula>
    </cfRule>
    <cfRule type="cellIs" dxfId="3" priority="2" operator="between">
      <formula>0.751</formula>
      <formula>0.85</formula>
    </cfRule>
    <cfRule type="cellIs" dxfId="2" priority="3" operator="between">
      <formula>0.501</formula>
      <formula>0.75</formula>
    </cfRule>
    <cfRule type="cellIs" dxfId="1" priority="4" operator="between">
      <formula>0.301</formula>
      <formula>0.5</formula>
    </cfRule>
    <cfRule type="cellIs" dxfId="0" priority="5" operator="between">
      <formula>0</formula>
      <formula>0.3</formula>
    </cfRule>
  </conditionalFormatting>
  <dataValidations count="11">
    <dataValidation type="list" allowBlank="1" showInputMessage="1" showErrorMessage="1" sqref="Y6:Z6 AC6:AD6" xr:uid="{FFE7B03D-5BF3-4F1C-B324-96A890D9FCB1}">
      <formula1>AÑOS</formula1>
    </dataValidation>
    <dataValidation operator="greaterThanOrEqual" allowBlank="1" showInputMessage="1" showErrorMessage="1" promptTitle="VALOR PROYECTADO " sqref="AI13:AI261" xr:uid="{1BBE3CB2-4EE6-4264-B1D3-54C9F527C219}"/>
    <dataValidation allowBlank="1" showInputMessage="1" showErrorMessage="1" prompt="La evaluación de este Plan de Desarrollo se mide a partir de la eficacia en la “ejecución de los indicadores de producto” y la eficiencia en la “ejecución presupuestal”, dentro de un periodo específico&quot;" sqref="AT8" xr:uid="{9EB94CE7-F6B8-4AC2-8FE4-A274570041E1}"/>
    <dataValidation type="decimal" operator="greaterThanOrEqual" allowBlank="1" showInputMessage="1" showErrorMessage="1" promptTitle="VALOR ESPERADO PARA EL TRIENIO" sqref="K12:N261" xr:uid="{A863502C-B179-4C1F-A9FD-36217993EE00}">
      <formula1>0</formula1>
    </dataValidation>
    <dataValidation operator="greaterThanOrEqual" allowBlank="1" showInputMessage="1" showErrorMessage="1" promptTitle="VALOR ESPERADO PARA EL TRIENIO" sqref="J13:J261" xr:uid="{25D1ED9E-3E1C-455C-90C6-164901CAEE55}"/>
    <dataValidation type="decimal" operator="greaterThanOrEqual" allowBlank="1" showInputMessage="1" showErrorMessage="1" sqref="AF13:AJ263 T13:V261 X13:Z263 AB13:AD263" xr:uid="{6C091EFD-5382-44D5-946B-1A03F432B51D}">
      <formula1>0</formula1>
    </dataValidation>
    <dataValidation operator="greaterThanOrEqual" allowBlank="1" showInputMessage="1" showErrorMessage="1" prompt="Los valores de esta celda se actualizarán de acuerdo a lo reportado en la celda correspondiente en la hoja formulación." sqref="A12:J12 A13:I261" xr:uid="{479943C8-AF4B-4F2B-BF2D-F34FD88BA66F}"/>
    <dataValidation type="decimal" operator="greaterThanOrEqual" allowBlank="1" showInputMessage="1" showErrorMessage="1" promptTitle="Ejecución financiera " prompt="Digite el valor ejecutado de los recursos en pesos." sqref="AF12:AH12 AB12:AD12 X12:Z12 T12:V12" xr:uid="{D7BB0590-DA84-4ED2-ABAC-51A314C8FCE6}">
      <formula1>0</formula1>
    </dataValidation>
    <dataValidation operator="greaterThanOrEqual" allowBlank="1" showInputMessage="1" showErrorMessage="1" prompt="Sumatoria de los valores reportados." sqref="AI12:AJ12 AE12 AA12 W12" xr:uid="{7A9A144C-43AD-49F5-8F2E-DF67F1EDA088}"/>
    <dataValidation type="list" allowBlank="1" showInputMessage="1" showErrorMessage="1" sqref="AU2" xr:uid="{66557AEC-F862-421C-9594-FFFBFB4FC8C4}">
      <formula1>"0,1"</formula1>
    </dataValidation>
    <dataValidation type="list" allowBlank="1" showInputMessage="1" showErrorMessage="1" sqref="AU3" xr:uid="{DBFCFFA3-FDE3-4572-99A0-CC50A2070B52}">
      <formula1>$AO$10:$AS$10</formula1>
    </dataValidation>
  </dataValidations>
  <printOptions horizontalCentered="1"/>
  <pageMargins left="0.32" right="7.0000000000000007E-2" top="0.98425196850393704" bottom="0.46" header="0" footer="0"/>
  <pageSetup paperSize="5" scale="50" orientation="landscape" r:id="rId1"/>
  <headerFooter alignWithMargins="0"/>
  <ignoredErrors>
    <ignoredError sqref="AV3"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A6D1-81EC-4050-A0B7-5F265677EB52}">
  <sheetPr>
    <tabColor theme="3" tint="-0.249977111117893"/>
  </sheetPr>
  <dimension ref="A1:R24"/>
  <sheetViews>
    <sheetView showGridLines="0" topLeftCell="H4" zoomScale="110" zoomScaleNormal="110" workbookViewId="0">
      <selection activeCell="R30" sqref="R30"/>
    </sheetView>
  </sheetViews>
  <sheetFormatPr baseColWidth="10" defaultColWidth="11.42578125" defaultRowHeight="12.75"/>
  <cols>
    <col min="1" max="1" width="11.42578125" customWidth="1"/>
    <col min="2" max="2" width="86" customWidth="1"/>
    <col min="3" max="3" width="20.28515625" customWidth="1"/>
    <col min="4" max="4" width="7.42578125" customWidth="1"/>
    <col min="5" max="6" width="6.42578125" customWidth="1"/>
    <col min="7" max="7" width="35.42578125" customWidth="1"/>
    <col min="8" max="8" width="24.42578125" customWidth="1"/>
    <col min="9" max="9" width="13.5703125" customWidth="1"/>
    <col min="10" max="10" width="19" customWidth="1"/>
    <col min="11" max="11" width="19.7109375" customWidth="1"/>
    <col min="12" max="12" width="22.42578125" customWidth="1"/>
    <col min="15" max="15" width="73.85546875" bestFit="1" customWidth="1"/>
    <col min="16" max="16" width="15.85546875" hidden="1" customWidth="1"/>
    <col min="17" max="17" width="41" bestFit="1" customWidth="1"/>
    <col min="18" max="18" width="18" customWidth="1"/>
  </cols>
  <sheetData>
    <row r="1" spans="1:18" ht="18.600000000000001" customHeight="1">
      <c r="A1" s="257"/>
      <c r="B1" s="258"/>
      <c r="C1" s="258"/>
      <c r="D1" s="258"/>
      <c r="E1" s="258"/>
      <c r="F1" s="258"/>
      <c r="G1" s="258"/>
      <c r="H1" s="258"/>
      <c r="I1" s="258"/>
      <c r="J1" s="258"/>
      <c r="K1" s="258"/>
      <c r="L1" s="258"/>
      <c r="M1" s="259"/>
      <c r="N1" s="302" t="s">
        <v>108</v>
      </c>
      <c r="O1" s="303"/>
      <c r="P1" s="27"/>
    </row>
    <row r="2" spans="1:18" ht="18.600000000000001" customHeight="1">
      <c r="A2" s="260"/>
      <c r="B2" s="261"/>
      <c r="C2" s="261"/>
      <c r="D2" s="261"/>
      <c r="E2" s="261"/>
      <c r="F2" s="261"/>
      <c r="G2" s="261"/>
      <c r="H2" s="261"/>
      <c r="I2" s="261"/>
      <c r="J2" s="261"/>
      <c r="K2" s="261"/>
      <c r="L2" s="261"/>
      <c r="M2" s="262"/>
      <c r="N2" s="302" t="s">
        <v>110</v>
      </c>
      <c r="O2" s="303"/>
      <c r="P2" s="27"/>
    </row>
    <row r="3" spans="1:18" ht="18.600000000000001" customHeight="1">
      <c r="A3" s="263"/>
      <c r="B3" s="264"/>
      <c r="C3" s="264"/>
      <c r="D3" s="264"/>
      <c r="E3" s="264"/>
      <c r="F3" s="264"/>
      <c r="G3" s="264"/>
      <c r="H3" s="264"/>
      <c r="I3" s="264"/>
      <c r="J3" s="264"/>
      <c r="K3" s="264"/>
      <c r="L3" s="264"/>
      <c r="M3" s="265"/>
      <c r="N3" s="302" t="s">
        <v>111</v>
      </c>
      <c r="O3" s="303"/>
      <c r="P3" s="27"/>
    </row>
    <row r="4" spans="1:18" ht="21.75" customHeight="1">
      <c r="A4" s="305" t="s">
        <v>685</v>
      </c>
      <c r="B4" s="306"/>
      <c r="C4" s="306"/>
      <c r="D4" s="306"/>
      <c r="E4" s="306"/>
      <c r="F4" s="306"/>
      <c r="G4" s="306"/>
      <c r="H4" s="306"/>
      <c r="I4" s="306"/>
      <c r="J4" s="306"/>
      <c r="K4" s="306"/>
      <c r="L4" s="306"/>
      <c r="M4" s="306"/>
      <c r="N4" s="306"/>
      <c r="O4" s="307"/>
      <c r="P4" s="27"/>
    </row>
    <row r="5" spans="1:18">
      <c r="A5" s="27"/>
      <c r="B5" s="27"/>
      <c r="C5" s="27"/>
      <c r="D5" s="27"/>
      <c r="E5" s="27"/>
      <c r="F5" s="27"/>
      <c r="G5" s="27"/>
      <c r="H5" s="27"/>
      <c r="I5" s="27"/>
      <c r="J5" s="27"/>
      <c r="K5" s="27"/>
      <c r="L5" s="27"/>
      <c r="M5" s="27"/>
      <c r="N5" s="27"/>
      <c r="O5" s="27"/>
      <c r="P5" s="27"/>
    </row>
    <row r="6" spans="1:18">
      <c r="A6" s="27"/>
      <c r="B6" s="27"/>
      <c r="C6" s="27"/>
      <c r="D6" s="27"/>
      <c r="E6" s="27"/>
      <c r="F6" s="27"/>
      <c r="G6" s="27"/>
      <c r="H6" s="27"/>
      <c r="I6" s="27"/>
      <c r="J6" s="27"/>
      <c r="K6" s="27"/>
      <c r="L6" s="27"/>
      <c r="M6" s="27"/>
      <c r="N6" s="27"/>
      <c r="O6" s="27"/>
      <c r="P6" s="27"/>
    </row>
    <row r="7" spans="1:18">
      <c r="A7" s="27"/>
      <c r="B7" s="27"/>
      <c r="C7" s="27"/>
      <c r="D7" s="27"/>
      <c r="E7" s="27"/>
      <c r="F7" s="27"/>
      <c r="G7" s="27"/>
      <c r="H7" s="27"/>
      <c r="I7" s="27"/>
      <c r="J7" s="27"/>
      <c r="K7" s="27"/>
      <c r="L7" s="27"/>
      <c r="M7" s="27"/>
      <c r="N7" s="27"/>
      <c r="O7" s="27"/>
      <c r="P7" s="27"/>
    </row>
    <row r="8" spans="1:18">
      <c r="A8" s="27"/>
      <c r="B8" s="27"/>
      <c r="C8" s="27"/>
      <c r="D8" s="27"/>
      <c r="E8" s="27"/>
      <c r="F8" s="27"/>
      <c r="G8" s="27"/>
      <c r="H8" s="27"/>
      <c r="I8" s="27"/>
      <c r="J8" s="27"/>
      <c r="K8" s="27"/>
      <c r="L8" s="27"/>
      <c r="M8" s="27"/>
      <c r="N8" s="27"/>
      <c r="O8" s="27"/>
      <c r="P8" s="27"/>
    </row>
    <row r="9" spans="1:18" ht="18.75" customHeight="1">
      <c r="A9" s="27"/>
      <c r="B9" s="304" t="s">
        <v>686</v>
      </c>
      <c r="C9" s="304"/>
      <c r="D9" s="11"/>
      <c r="E9" s="27"/>
      <c r="F9" s="27"/>
      <c r="G9" s="304" t="s">
        <v>687</v>
      </c>
      <c r="H9" s="304"/>
      <c r="I9" s="304"/>
      <c r="J9" s="304"/>
      <c r="K9" s="304"/>
      <c r="L9" s="304"/>
      <c r="M9" s="27"/>
      <c r="N9" s="27"/>
      <c r="O9" s="27"/>
      <c r="P9" s="27"/>
    </row>
    <row r="10" spans="1:18">
      <c r="A10" s="27"/>
      <c r="B10" s="304"/>
      <c r="C10" s="304"/>
      <c r="D10" s="11"/>
      <c r="E10" s="27"/>
      <c r="F10" s="27"/>
      <c r="G10" s="304"/>
      <c r="H10" s="304"/>
      <c r="I10" s="304"/>
      <c r="J10" s="304"/>
      <c r="K10" s="304"/>
      <c r="L10" s="304"/>
      <c r="M10" s="27"/>
      <c r="N10" s="27"/>
      <c r="O10" s="27"/>
      <c r="P10" s="27"/>
    </row>
    <row r="11" spans="1:18">
      <c r="A11" s="27"/>
      <c r="B11" s="304"/>
      <c r="C11" s="304"/>
      <c r="D11" s="11"/>
      <c r="E11" s="27"/>
      <c r="F11" s="27"/>
      <c r="G11" s="304"/>
      <c r="H11" s="304"/>
      <c r="I11" s="304"/>
      <c r="J11" s="304"/>
      <c r="K11" s="304"/>
      <c r="L11" s="304"/>
      <c r="M11" s="27"/>
      <c r="N11" s="27"/>
      <c r="O11" s="27"/>
      <c r="P11" s="27"/>
    </row>
    <row r="12" spans="1:18" s="20" customFormat="1">
      <c r="A12" s="76"/>
      <c r="B12" s="178" t="s">
        <v>688</v>
      </c>
      <c r="C12" s="176" t="s">
        <v>781</v>
      </c>
      <c r="D12" s="76"/>
      <c r="E12" s="76"/>
      <c r="F12" s="76"/>
      <c r="G12" s="177" t="s">
        <v>689</v>
      </c>
      <c r="H12" s="178" t="s">
        <v>690</v>
      </c>
      <c r="I12" s="179" t="s">
        <v>691</v>
      </c>
      <c r="J12" s="177" t="s">
        <v>692</v>
      </c>
      <c r="K12" s="178" t="s">
        <v>693</v>
      </c>
      <c r="L12" s="179" t="s">
        <v>694</v>
      </c>
      <c r="M12" s="76"/>
      <c r="N12" s="76"/>
      <c r="O12" s="226" t="s">
        <v>806</v>
      </c>
      <c r="P12" s="227" t="s">
        <v>807</v>
      </c>
      <c r="Q12" s="228" t="str">
        <f>'SEGUIMIENTO Y EVALUACIÓN'!AU3</f>
        <v>CUMPLIMIENTO DE LA META DEL TRIENIO 1</v>
      </c>
      <c r="R12" s="227" t="s">
        <v>807</v>
      </c>
    </row>
    <row r="13" spans="1:18">
      <c r="A13" s="27"/>
      <c r="B13" s="76" t="s">
        <v>154</v>
      </c>
      <c r="C13" s="212">
        <v>0.26693059480150994</v>
      </c>
      <c r="D13" s="27"/>
      <c r="E13" s="27"/>
      <c r="F13" s="27"/>
      <c r="G13" s="162" t="s">
        <v>154</v>
      </c>
      <c r="H13" s="115"/>
      <c r="I13" s="115"/>
      <c r="J13" s="213">
        <v>6.8581890468075363E-2</v>
      </c>
      <c r="K13" s="213">
        <v>6.8581890468075363E-2</v>
      </c>
      <c r="L13" s="213">
        <v>0.34290945234037684</v>
      </c>
      <c r="M13" s="27"/>
      <c r="N13" s="27"/>
      <c r="O13" s="223" t="s">
        <v>154</v>
      </c>
      <c r="P13" s="225">
        <f>Q13/COUNTIF(Lists!$H$405:$H$422,LEFT(O13,2))</f>
        <v>0.13878059788359789</v>
      </c>
      <c r="Q13" s="224" cm="1">
        <f t="array" ref="Q13:Q17">Lists!I398:I402</f>
        <v>0.69390298941798945</v>
      </c>
      <c r="R13" s="225">
        <f>Q13*0.3</f>
        <v>0.20817089682539683</v>
      </c>
    </row>
    <row r="14" spans="1:18" ht="38.25">
      <c r="A14" s="27"/>
      <c r="B14" s="76" t="s">
        <v>343</v>
      </c>
      <c r="C14" s="212">
        <v>0.38065820105820108</v>
      </c>
      <c r="D14" s="27"/>
      <c r="E14" s="27"/>
      <c r="F14" s="27"/>
      <c r="G14" s="162" t="s">
        <v>343</v>
      </c>
      <c r="H14" s="115"/>
      <c r="I14" s="115"/>
      <c r="J14" s="213">
        <v>0.14223666666666668</v>
      </c>
      <c r="K14" s="213">
        <v>0.14223666666666668</v>
      </c>
      <c r="L14" s="213">
        <v>0.42670999999999998</v>
      </c>
      <c r="M14" s="27"/>
      <c r="N14" s="27"/>
      <c r="O14" s="223" t="s">
        <v>343</v>
      </c>
      <c r="P14" s="225">
        <f>Q14/COUNTIF(Lists!$H$405:$H$422,LEFT(O14,2))</f>
        <v>0.28986772486772489</v>
      </c>
      <c r="Q14" s="225">
        <v>0.8696031746031746</v>
      </c>
      <c r="R14" s="225">
        <f t="shared" ref="R14:R17" si="0">Q14*0.3</f>
        <v>0.26088095238095238</v>
      </c>
    </row>
    <row r="15" spans="1:18" ht="38.25">
      <c r="A15" s="27"/>
      <c r="B15" s="76" t="s">
        <v>411</v>
      </c>
      <c r="C15" s="212">
        <v>0.47675925925925927</v>
      </c>
      <c r="D15" s="27"/>
      <c r="E15" s="27"/>
      <c r="F15" s="27"/>
      <c r="G15" s="162" t="s">
        <v>411</v>
      </c>
      <c r="H15" s="115"/>
      <c r="I15" s="115"/>
      <c r="J15" s="213">
        <v>0.12718750000000001</v>
      </c>
      <c r="K15" s="213">
        <v>0.12718750000000001</v>
      </c>
      <c r="L15" s="213">
        <v>0.50874999999999992</v>
      </c>
      <c r="M15" s="27"/>
      <c r="N15" s="27"/>
      <c r="O15" s="223" t="s">
        <v>411</v>
      </c>
      <c r="P15" s="225">
        <f>Q15/COUNTIF(Lists!$H$405:$H$422,LEFT(O15,2))</f>
        <v>0.20582386363636365</v>
      </c>
      <c r="Q15" s="225">
        <v>0.82329545454545461</v>
      </c>
      <c r="R15" s="225">
        <f t="shared" si="0"/>
        <v>0.24698863636363638</v>
      </c>
    </row>
    <row r="16" spans="1:18" ht="38.25">
      <c r="A16" s="27"/>
      <c r="B16" s="76" t="s">
        <v>511</v>
      </c>
      <c r="C16" s="212">
        <v>0.35783730158730165</v>
      </c>
      <c r="D16" s="27"/>
      <c r="E16" s="27"/>
      <c r="F16" s="27"/>
      <c r="G16" s="162" t="s">
        <v>511</v>
      </c>
      <c r="H16" s="115"/>
      <c r="I16" s="115"/>
      <c r="J16" s="213">
        <v>0.14991534391534389</v>
      </c>
      <c r="K16" s="213">
        <v>0.14991534391534389</v>
      </c>
      <c r="L16" s="213">
        <v>0.44974603174603173</v>
      </c>
      <c r="M16" s="27"/>
      <c r="N16" s="27"/>
      <c r="O16" s="223" t="s">
        <v>511</v>
      </c>
      <c r="P16" s="225">
        <f>Q16/COUNTIF(Lists!$H$405:$H$422,LEFT(O16,2))</f>
        <v>0.24298245614035086</v>
      </c>
      <c r="Q16" s="225">
        <v>0.72894736842105257</v>
      </c>
      <c r="R16" s="225">
        <f t="shared" si="0"/>
        <v>0.21868421052631576</v>
      </c>
    </row>
    <row r="17" spans="1:18" ht="25.5">
      <c r="A17" s="27"/>
      <c r="B17" s="76" t="s">
        <v>553</v>
      </c>
      <c r="C17" s="212">
        <v>0.52815091575091577</v>
      </c>
      <c r="D17" s="27"/>
      <c r="E17" s="27"/>
      <c r="F17" s="27"/>
      <c r="G17" s="162" t="s">
        <v>553</v>
      </c>
      <c r="H17" s="115"/>
      <c r="I17" s="115"/>
      <c r="J17" s="213">
        <v>0.17625092063492065</v>
      </c>
      <c r="K17" s="213">
        <v>0.17625092063492065</v>
      </c>
      <c r="L17" s="213">
        <v>0.52875276190476195</v>
      </c>
      <c r="M17" s="27"/>
      <c r="N17" s="27"/>
      <c r="O17" s="223" t="s">
        <v>553</v>
      </c>
      <c r="P17" s="225">
        <f>Q17/COUNTIF(Lists!$H$405:$H$422,LEFT(O17,2))</f>
        <v>0.30413711583924352</v>
      </c>
      <c r="Q17" s="225">
        <v>0.91241134751773056</v>
      </c>
      <c r="R17" s="225">
        <f t="shared" si="0"/>
        <v>0.27372340425531916</v>
      </c>
    </row>
    <row r="18" spans="1:18">
      <c r="A18" s="27"/>
      <c r="D18" s="27"/>
      <c r="E18" s="27"/>
      <c r="F18" s="27"/>
      <c r="M18" s="27"/>
      <c r="N18" s="27"/>
      <c r="O18" s="27"/>
      <c r="P18" s="229">
        <f>AVERAGE(P13:P17)</f>
        <v>0.23631835167345616</v>
      </c>
      <c r="Q18" s="104">
        <f>AVERAGE(_xlfn.ANCHORARRAY(Q13))</f>
        <v>0.80563206690108036</v>
      </c>
      <c r="R18" s="104">
        <f>AVERAGE(R13:R17)</f>
        <v>0.2416896200703241</v>
      </c>
    </row>
    <row r="19" spans="1:18">
      <c r="A19" s="27"/>
      <c r="D19" s="27"/>
      <c r="E19" s="27"/>
      <c r="F19" s="27"/>
      <c r="M19" s="27"/>
      <c r="N19" s="27"/>
      <c r="O19" s="27"/>
      <c r="P19" s="27"/>
      <c r="Q19" s="301" t="s">
        <v>809</v>
      </c>
    </row>
    <row r="20" spans="1:18">
      <c r="Q20" s="301"/>
    </row>
    <row r="21" spans="1:18">
      <c r="Q21" s="301"/>
    </row>
    <row r="22" spans="1:18">
      <c r="Q22" s="301"/>
    </row>
    <row r="23" spans="1:18">
      <c r="Q23" s="301"/>
    </row>
    <row r="24" spans="1:18">
      <c r="Q24" s="301"/>
    </row>
  </sheetData>
  <protectedRanges>
    <protectedRange sqref="G9:L17 B9:D17" name="Rango2" securityDescriptor="O:WDG:WDD:(A;;CC;;;WD)"/>
  </protectedRanges>
  <mergeCells count="8">
    <mergeCell ref="Q19:Q24"/>
    <mergeCell ref="N1:O1"/>
    <mergeCell ref="N2:O2"/>
    <mergeCell ref="N3:O3"/>
    <mergeCell ref="A1:M3"/>
    <mergeCell ref="B9:C11"/>
    <mergeCell ref="G9:L11"/>
    <mergeCell ref="A4:O4"/>
  </mergeCell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698"/>
  <sheetViews>
    <sheetView topLeftCell="E395" zoomScaleNormal="100" workbookViewId="0">
      <selection activeCell="I405" sqref="I405:I409"/>
    </sheetView>
  </sheetViews>
  <sheetFormatPr baseColWidth="10" defaultColWidth="11.42578125" defaultRowHeight="12.75"/>
  <cols>
    <col min="1" max="1" width="17.28515625" bestFit="1" customWidth="1"/>
    <col min="2" max="2" width="67.28515625" customWidth="1"/>
    <col min="3" max="3" width="23.85546875" customWidth="1"/>
    <col min="4" max="4" width="9.140625" customWidth="1"/>
    <col min="5" max="5" width="14.7109375" customWidth="1"/>
    <col min="6" max="6" width="28.42578125" customWidth="1"/>
    <col min="7" max="7" width="36.42578125" customWidth="1"/>
    <col min="8" max="8" width="21.42578125" customWidth="1"/>
    <col min="9" max="9" width="27" customWidth="1"/>
    <col min="10" max="10" width="23" customWidth="1"/>
    <col min="11" max="11" width="17.140625" customWidth="1"/>
    <col min="12" max="12" width="13.140625" customWidth="1"/>
    <col min="13" max="13" width="39.140625" customWidth="1"/>
    <col min="14" max="14" width="29.7109375" customWidth="1"/>
    <col min="15" max="15" width="43.42578125" customWidth="1"/>
    <col min="16" max="16" width="28.85546875" customWidth="1"/>
    <col min="17" max="17" width="24.140625" customWidth="1"/>
    <col min="18" max="18" width="28.140625" customWidth="1"/>
    <col min="19" max="19" width="30.28515625" customWidth="1"/>
  </cols>
  <sheetData>
    <row r="1" spans="1:20">
      <c r="A1" s="28" t="s">
        <v>695</v>
      </c>
      <c r="B1" s="30" t="s">
        <v>696</v>
      </c>
      <c r="C1" s="308" t="s">
        <v>697</v>
      </c>
      <c r="D1" s="308"/>
      <c r="E1" s="308"/>
      <c r="F1" s="308"/>
      <c r="G1" s="308"/>
      <c r="I1" s="308" t="s">
        <v>698</v>
      </c>
      <c r="J1" s="308"/>
      <c r="K1" s="308"/>
      <c r="L1" s="308"/>
      <c r="M1" s="308"/>
      <c r="O1" s="28" t="s">
        <v>699</v>
      </c>
      <c r="P1" s="28" t="s">
        <v>700</v>
      </c>
      <c r="Q1" s="30" t="s">
        <v>701</v>
      </c>
      <c r="R1" s="30" t="s">
        <v>702</v>
      </c>
      <c r="S1" s="28" t="s">
        <v>656</v>
      </c>
    </row>
    <row r="2" spans="1:20">
      <c r="A2" s="31" t="s">
        <v>154</v>
      </c>
      <c r="B2" t="s">
        <v>703</v>
      </c>
      <c r="C2" s="29" t="str">
        <f>$A$2</f>
        <v>L1 - Formación Académica Integral</v>
      </c>
      <c r="D2" s="29" t="str">
        <f>$A$3</f>
        <v>L2 - Investigación y Redes de conocimiento para el desarrollo de la sociedad</v>
      </c>
      <c r="E2" s="29" t="str">
        <f>$A$4</f>
        <v>L3 - Impacto regional, Nacional e Internacional desde la Extensión y proyección social</v>
      </c>
      <c r="F2" s="29" t="str">
        <f>$A$5</f>
        <v>L4 - Bienestar Universitario, Salud mental positiva, Inclusión y Democracia.</v>
      </c>
      <c r="G2" s="29" t="str">
        <f>$A$6</f>
        <v xml:space="preserve">L5 - Modernización de la Gestión Administrativa </v>
      </c>
      <c r="H2" s="27" t="s">
        <v>704</v>
      </c>
      <c r="I2" s="29" t="str">
        <f>$A$2</f>
        <v>L1 - Formación Académica Integral</v>
      </c>
      <c r="J2" s="29" t="str">
        <f>$A$3</f>
        <v>L2 - Investigación y Redes de conocimiento para el desarrollo de la sociedad</v>
      </c>
      <c r="K2" s="29" t="str">
        <f>$A$4</f>
        <v>L3 - Impacto regional, Nacional e Internacional desde la Extensión y proyección social</v>
      </c>
      <c r="L2" s="29" t="str">
        <f>$A$5</f>
        <v>L4 - Bienestar Universitario, Salud mental positiva, Inclusión y Democracia.</v>
      </c>
      <c r="M2" s="29" t="str">
        <f>$A$6</f>
        <v xml:space="preserve">L5 - Modernización de la Gestión Administrativa </v>
      </c>
      <c r="N2" s="27" t="s">
        <v>704</v>
      </c>
      <c r="O2" t="s">
        <v>705</v>
      </c>
      <c r="Q2">
        <v>2021</v>
      </c>
      <c r="R2" t="s">
        <v>168</v>
      </c>
      <c r="S2" s="27" t="s">
        <v>161</v>
      </c>
      <c r="T2" t="s">
        <v>706</v>
      </c>
    </row>
    <row r="3" spans="1:20">
      <c r="A3" s="29" t="s">
        <v>343</v>
      </c>
      <c r="B3" t="s">
        <v>707</v>
      </c>
      <c r="C3" t="s">
        <v>277</v>
      </c>
      <c r="D3" t="s">
        <v>352</v>
      </c>
      <c r="E3" t="s">
        <v>432</v>
      </c>
      <c r="F3" t="s">
        <v>512</v>
      </c>
      <c r="G3" t="s">
        <v>611</v>
      </c>
      <c r="H3" s="27" t="s">
        <v>704</v>
      </c>
      <c r="I3" t="s">
        <v>156</v>
      </c>
      <c r="J3" s="27" t="s">
        <v>345</v>
      </c>
      <c r="K3" t="s">
        <v>413</v>
      </c>
      <c r="L3" s="27" t="s">
        <v>513</v>
      </c>
      <c r="M3" t="s">
        <v>555</v>
      </c>
      <c r="N3" s="27" t="s">
        <v>704</v>
      </c>
      <c r="O3" s="27" t="s">
        <v>708</v>
      </c>
      <c r="Q3">
        <f t="shared" ref="Q3:Q31" si="0">Q2+1</f>
        <v>2022</v>
      </c>
      <c r="R3" t="s">
        <v>160</v>
      </c>
      <c r="S3" s="27" t="s">
        <v>169</v>
      </c>
      <c r="T3" t="s">
        <v>709</v>
      </c>
    </row>
    <row r="4" spans="1:20">
      <c r="A4" s="31" t="s">
        <v>411</v>
      </c>
      <c r="B4" t="s">
        <v>710</v>
      </c>
      <c r="C4" s="27" t="s">
        <v>259</v>
      </c>
      <c r="D4" t="s">
        <v>344</v>
      </c>
      <c r="E4" t="s">
        <v>442</v>
      </c>
      <c r="F4" s="27" t="s">
        <v>519</v>
      </c>
      <c r="G4" t="s">
        <v>711</v>
      </c>
      <c r="H4" s="27" t="s">
        <v>704</v>
      </c>
      <c r="I4" s="27" t="s">
        <v>195</v>
      </c>
      <c r="J4" s="27" t="s">
        <v>361</v>
      </c>
      <c r="K4" t="s">
        <v>433</v>
      </c>
      <c r="L4" s="27" t="s">
        <v>531</v>
      </c>
      <c r="M4" s="27" t="s">
        <v>601</v>
      </c>
      <c r="N4" s="27" t="s">
        <v>704</v>
      </c>
      <c r="O4" t="s">
        <v>712</v>
      </c>
      <c r="Q4">
        <f t="shared" si="0"/>
        <v>2023</v>
      </c>
      <c r="S4" s="27" t="s">
        <v>323</v>
      </c>
      <c r="T4" t="s">
        <v>713</v>
      </c>
    </row>
    <row r="5" spans="1:20">
      <c r="A5" s="31" t="s">
        <v>511</v>
      </c>
      <c r="B5" t="s">
        <v>714</v>
      </c>
      <c r="C5" t="s">
        <v>155</v>
      </c>
      <c r="D5" t="s">
        <v>389</v>
      </c>
      <c r="E5" t="s">
        <v>412</v>
      </c>
      <c r="F5" t="s">
        <v>715</v>
      </c>
      <c r="G5" t="s">
        <v>716</v>
      </c>
      <c r="H5" s="27" t="s">
        <v>704</v>
      </c>
      <c r="I5" s="27" t="s">
        <v>214</v>
      </c>
      <c r="J5" s="27" t="s">
        <v>394</v>
      </c>
      <c r="K5" t="s">
        <v>470</v>
      </c>
      <c r="L5" s="27" t="s">
        <v>548</v>
      </c>
      <c r="M5" s="27" t="s">
        <v>612</v>
      </c>
      <c r="N5" s="27" t="s">
        <v>704</v>
      </c>
      <c r="O5" s="27" t="s">
        <v>717</v>
      </c>
      <c r="Q5">
        <f t="shared" si="0"/>
        <v>2024</v>
      </c>
      <c r="S5" s="27" t="s">
        <v>229</v>
      </c>
      <c r="T5" t="s">
        <v>718</v>
      </c>
    </row>
    <row r="6" spans="1:20">
      <c r="A6" s="31" t="s">
        <v>553</v>
      </c>
      <c r="B6" s="27" t="s">
        <v>719</v>
      </c>
      <c r="C6" t="s">
        <v>164</v>
      </c>
      <c r="D6" t="s">
        <v>355</v>
      </c>
      <c r="E6" t="s">
        <v>418</v>
      </c>
      <c r="F6" t="s">
        <v>720</v>
      </c>
      <c r="G6" s="27" t="s">
        <v>565</v>
      </c>
      <c r="H6" s="27" t="s">
        <v>704</v>
      </c>
      <c r="I6" s="27" t="s">
        <v>234</v>
      </c>
      <c r="J6" s="27"/>
      <c r="K6" t="s">
        <v>495</v>
      </c>
      <c r="L6" s="27"/>
      <c r="N6" s="27" t="s">
        <v>704</v>
      </c>
      <c r="O6" s="27" t="s">
        <v>721</v>
      </c>
      <c r="Q6">
        <f t="shared" si="0"/>
        <v>2025</v>
      </c>
      <c r="S6" s="27" t="s">
        <v>337</v>
      </c>
    </row>
    <row r="7" spans="1:20">
      <c r="C7" t="s">
        <v>194</v>
      </c>
      <c r="D7" t="s">
        <v>368</v>
      </c>
      <c r="E7" t="s">
        <v>438</v>
      </c>
      <c r="F7" t="s">
        <v>722</v>
      </c>
      <c r="G7" t="s">
        <v>554</v>
      </c>
      <c r="H7" s="27" t="s">
        <v>704</v>
      </c>
      <c r="I7" s="27" t="s">
        <v>260</v>
      </c>
      <c r="J7" s="27"/>
      <c r="N7" s="27" t="s">
        <v>704</v>
      </c>
      <c r="O7" t="s">
        <v>723</v>
      </c>
      <c r="Q7">
        <f t="shared" si="0"/>
        <v>2026</v>
      </c>
    </row>
    <row r="8" spans="1:20">
      <c r="C8" t="s">
        <v>300</v>
      </c>
      <c r="D8" t="s">
        <v>399</v>
      </c>
      <c r="E8" t="s">
        <v>421</v>
      </c>
      <c r="F8" t="s">
        <v>530</v>
      </c>
      <c r="G8" t="s">
        <v>561</v>
      </c>
      <c r="H8" s="27" t="s">
        <v>704</v>
      </c>
      <c r="N8" s="27" t="s">
        <v>704</v>
      </c>
      <c r="O8" s="27" t="s">
        <v>724</v>
      </c>
      <c r="Q8">
        <f t="shared" si="0"/>
        <v>2027</v>
      </c>
    </row>
    <row r="9" spans="1:20">
      <c r="C9" t="s">
        <v>269</v>
      </c>
      <c r="E9" t="s">
        <v>451</v>
      </c>
      <c r="F9" t="s">
        <v>725</v>
      </c>
      <c r="G9" t="s">
        <v>600</v>
      </c>
      <c r="H9" s="27" t="s">
        <v>704</v>
      </c>
      <c r="N9" s="27" t="s">
        <v>704</v>
      </c>
      <c r="O9" t="s">
        <v>726</v>
      </c>
      <c r="Q9">
        <f t="shared" si="0"/>
        <v>2028</v>
      </c>
    </row>
    <row r="10" spans="1:20">
      <c r="C10" t="s">
        <v>190</v>
      </c>
      <c r="E10" s="27" t="s">
        <v>469</v>
      </c>
      <c r="F10" t="s">
        <v>547</v>
      </c>
      <c r="G10" s="27" t="s">
        <v>587</v>
      </c>
      <c r="H10" s="27" t="s">
        <v>704</v>
      </c>
      <c r="L10" s="27"/>
      <c r="O10" t="s">
        <v>727</v>
      </c>
      <c r="Q10">
        <f t="shared" si="0"/>
        <v>2029</v>
      </c>
    </row>
    <row r="11" spans="1:20">
      <c r="A11" s="27"/>
      <c r="C11" t="s">
        <v>200</v>
      </c>
      <c r="G11" t="s">
        <v>576</v>
      </c>
      <c r="H11" s="27" t="s">
        <v>704</v>
      </c>
      <c r="O11" t="s">
        <v>581</v>
      </c>
      <c r="Q11">
        <f t="shared" si="0"/>
        <v>2030</v>
      </c>
    </row>
    <row r="12" spans="1:20">
      <c r="C12" s="27" t="s">
        <v>728</v>
      </c>
      <c r="G12" t="s">
        <v>729</v>
      </c>
      <c r="H12" s="27" t="s">
        <v>704</v>
      </c>
      <c r="O12" s="27" t="s">
        <v>596</v>
      </c>
      <c r="Q12">
        <f t="shared" si="0"/>
        <v>2031</v>
      </c>
    </row>
    <row r="13" spans="1:20">
      <c r="C13" t="s">
        <v>213</v>
      </c>
      <c r="H13" s="27" t="s">
        <v>704</v>
      </c>
      <c r="O13" t="s">
        <v>570</v>
      </c>
      <c r="Q13">
        <f t="shared" si="0"/>
        <v>2032</v>
      </c>
    </row>
    <row r="14" spans="1:20">
      <c r="C14" t="s">
        <v>225</v>
      </c>
      <c r="H14" s="27" t="s">
        <v>704</v>
      </c>
      <c r="O14" t="s">
        <v>730</v>
      </c>
      <c r="Q14">
        <f t="shared" si="0"/>
        <v>2033</v>
      </c>
    </row>
    <row r="15" spans="1:20">
      <c r="C15" t="s">
        <v>221</v>
      </c>
      <c r="H15" s="27" t="s">
        <v>704</v>
      </c>
      <c r="O15" t="s">
        <v>731</v>
      </c>
      <c r="Q15">
        <f t="shared" si="0"/>
        <v>2034</v>
      </c>
    </row>
    <row r="16" spans="1:20">
      <c r="C16" t="s">
        <v>246</v>
      </c>
      <c r="H16" s="27" t="s">
        <v>704</v>
      </c>
      <c r="O16" t="s">
        <v>732</v>
      </c>
      <c r="Q16">
        <f t="shared" si="0"/>
        <v>2035</v>
      </c>
    </row>
    <row r="17" spans="8:17">
      <c r="H17" s="27" t="s">
        <v>704</v>
      </c>
      <c r="O17" t="s">
        <v>733</v>
      </c>
      <c r="Q17">
        <f t="shared" si="0"/>
        <v>2036</v>
      </c>
    </row>
    <row r="18" spans="8:17">
      <c r="H18" s="27" t="s">
        <v>704</v>
      </c>
      <c r="O18" t="s">
        <v>734</v>
      </c>
      <c r="Q18">
        <f t="shared" si="0"/>
        <v>2037</v>
      </c>
    </row>
    <row r="19" spans="8:17">
      <c r="H19" s="27" t="s">
        <v>704</v>
      </c>
      <c r="O19" t="s">
        <v>560</v>
      </c>
      <c r="Q19">
        <f t="shared" si="0"/>
        <v>2038</v>
      </c>
    </row>
    <row r="20" spans="8:17">
      <c r="H20" s="27" t="s">
        <v>704</v>
      </c>
      <c r="O20" t="s">
        <v>735</v>
      </c>
      <c r="Q20">
        <f t="shared" si="0"/>
        <v>2039</v>
      </c>
    </row>
    <row r="21" spans="8:17">
      <c r="H21" s="27" t="s">
        <v>704</v>
      </c>
      <c r="O21" t="s">
        <v>736</v>
      </c>
      <c r="Q21">
        <f t="shared" si="0"/>
        <v>2040</v>
      </c>
    </row>
    <row r="22" spans="8:17">
      <c r="H22" s="27" t="s">
        <v>704</v>
      </c>
      <c r="O22" t="s">
        <v>737</v>
      </c>
      <c r="Q22">
        <f t="shared" si="0"/>
        <v>2041</v>
      </c>
    </row>
    <row r="23" spans="8:17">
      <c r="H23" s="27" t="s">
        <v>704</v>
      </c>
      <c r="O23" t="s">
        <v>738</v>
      </c>
      <c r="Q23">
        <f t="shared" si="0"/>
        <v>2042</v>
      </c>
    </row>
    <row r="24" spans="8:17">
      <c r="H24" s="27" t="s">
        <v>704</v>
      </c>
      <c r="O24" t="s">
        <v>608</v>
      </c>
      <c r="Q24">
        <f t="shared" si="0"/>
        <v>2043</v>
      </c>
    </row>
    <row r="25" spans="8:17">
      <c r="H25" s="27" t="s">
        <v>704</v>
      </c>
      <c r="O25" t="s">
        <v>739</v>
      </c>
      <c r="Q25">
        <f t="shared" si="0"/>
        <v>2044</v>
      </c>
    </row>
    <row r="26" spans="8:17">
      <c r="O26" t="s">
        <v>740</v>
      </c>
      <c r="Q26">
        <f t="shared" si="0"/>
        <v>2045</v>
      </c>
    </row>
    <row r="27" spans="8:17">
      <c r="O27" t="s">
        <v>741</v>
      </c>
      <c r="Q27">
        <f t="shared" si="0"/>
        <v>2046</v>
      </c>
    </row>
    <row r="28" spans="8:17">
      <c r="O28" t="s">
        <v>742</v>
      </c>
      <c r="Q28">
        <f t="shared" si="0"/>
        <v>2047</v>
      </c>
    </row>
    <row r="29" spans="8:17">
      <c r="O29" t="s">
        <v>518</v>
      </c>
      <c r="Q29">
        <f t="shared" si="0"/>
        <v>2048</v>
      </c>
    </row>
    <row r="30" spans="8:17">
      <c r="O30" t="s">
        <v>163</v>
      </c>
      <c r="Q30">
        <f t="shared" si="0"/>
        <v>2049</v>
      </c>
    </row>
    <row r="31" spans="8:17">
      <c r="O31" t="s">
        <v>350</v>
      </c>
      <c r="Q31">
        <f t="shared" si="0"/>
        <v>2050</v>
      </c>
    </row>
    <row r="32" spans="8:17">
      <c r="P32" t="s">
        <v>113</v>
      </c>
    </row>
    <row r="50" spans="1:20" ht="114.75">
      <c r="A50" s="113" t="s">
        <v>156</v>
      </c>
      <c r="B50" s="115" t="s">
        <v>195</v>
      </c>
      <c r="C50" s="115" t="s">
        <v>214</v>
      </c>
      <c r="D50" s="115" t="s">
        <v>234</v>
      </c>
      <c r="E50" s="115" t="s">
        <v>260</v>
      </c>
      <c r="F50" s="115" t="s">
        <v>345</v>
      </c>
      <c r="G50" s="115" t="s">
        <v>361</v>
      </c>
      <c r="H50" s="115" t="s">
        <v>394</v>
      </c>
      <c r="I50" s="113" t="s">
        <v>413</v>
      </c>
      <c r="J50" s="113" t="s">
        <v>433</v>
      </c>
      <c r="K50" s="113" t="s">
        <v>470</v>
      </c>
      <c r="L50" s="113" t="s">
        <v>495</v>
      </c>
      <c r="M50" s="27" t="s">
        <v>513</v>
      </c>
      <c r="N50" s="27" t="s">
        <v>531</v>
      </c>
      <c r="O50" s="27" t="s">
        <v>548</v>
      </c>
      <c r="P50" t="s">
        <v>555</v>
      </c>
      <c r="Q50" s="27" t="s">
        <v>601</v>
      </c>
      <c r="R50" s="27" t="s">
        <v>612</v>
      </c>
      <c r="S50" s="113"/>
      <c r="T50" s="113"/>
    </row>
    <row r="51" spans="1:20" ht="93" customHeight="1">
      <c r="A51" s="113" t="s">
        <v>162</v>
      </c>
      <c r="B51" s="113" t="s">
        <v>199</v>
      </c>
      <c r="C51" s="113" t="s">
        <v>218</v>
      </c>
      <c r="D51" s="113" t="s">
        <v>238</v>
      </c>
      <c r="E51" s="113" t="s">
        <v>264</v>
      </c>
      <c r="F51" s="113" t="s">
        <v>349</v>
      </c>
      <c r="G51" s="113" t="s">
        <v>365</v>
      </c>
      <c r="H51" s="113" t="s">
        <v>398</v>
      </c>
      <c r="I51" s="113" t="s">
        <v>743</v>
      </c>
      <c r="J51" s="113" t="s">
        <v>437</v>
      </c>
      <c r="K51" s="113" t="s">
        <v>474</v>
      </c>
      <c r="L51" s="113" t="s">
        <v>499</v>
      </c>
      <c r="M51" s="113" t="s">
        <v>517</v>
      </c>
      <c r="N51" s="113" t="s">
        <v>535</v>
      </c>
      <c r="O51" s="113" t="s">
        <v>552</v>
      </c>
      <c r="P51" s="113" t="s">
        <v>559</v>
      </c>
      <c r="Q51" s="113" t="s">
        <v>605</v>
      </c>
      <c r="R51" s="113" t="s">
        <v>616</v>
      </c>
      <c r="S51" s="113"/>
      <c r="T51" s="113"/>
    </row>
    <row r="52" spans="1:20" ht="81" customHeight="1">
      <c r="A52" s="113" t="s">
        <v>174</v>
      </c>
      <c r="B52" s="113" t="s">
        <v>206</v>
      </c>
      <c r="C52" s="113" t="s">
        <v>230</v>
      </c>
      <c r="D52" s="113" t="s">
        <v>245</v>
      </c>
      <c r="E52" s="113" t="s">
        <v>281</v>
      </c>
      <c r="F52" s="113" t="s">
        <v>359</v>
      </c>
      <c r="G52" s="113" t="s">
        <v>383</v>
      </c>
      <c r="H52" s="113" t="s">
        <v>403</v>
      </c>
      <c r="I52" s="113"/>
      <c r="J52" s="113" t="s">
        <v>446</v>
      </c>
      <c r="K52" s="113" t="s">
        <v>484</v>
      </c>
      <c r="L52" s="113" t="s">
        <v>504</v>
      </c>
      <c r="M52" s="113" t="s">
        <v>529</v>
      </c>
      <c r="N52" s="113" t="s">
        <v>744</v>
      </c>
      <c r="O52" s="113" t="s">
        <v>745</v>
      </c>
      <c r="P52" s="113" t="s">
        <v>569</v>
      </c>
      <c r="Q52" s="113"/>
      <c r="R52" s="113" t="s">
        <v>622</v>
      </c>
      <c r="S52" s="113"/>
      <c r="T52" s="113"/>
    </row>
    <row r="53" spans="1:20" ht="72" customHeight="1">
      <c r="A53" s="113" t="s">
        <v>189</v>
      </c>
      <c r="B53" s="113" t="s">
        <v>212</v>
      </c>
      <c r="C53" s="113" t="s">
        <v>233</v>
      </c>
      <c r="D53" s="113" t="s">
        <v>250</v>
      </c>
      <c r="E53" s="113" t="s">
        <v>293</v>
      </c>
      <c r="F53" s="113"/>
      <c r="G53" s="113" t="s">
        <v>388</v>
      </c>
      <c r="H53" s="113"/>
      <c r="I53" s="113"/>
      <c r="J53" s="113" t="s">
        <v>462</v>
      </c>
      <c r="K53" s="113" t="s">
        <v>488</v>
      </c>
      <c r="L53" s="113" t="s">
        <v>746</v>
      </c>
      <c r="M53" s="113"/>
      <c r="N53" s="113"/>
      <c r="O53" s="113" t="s">
        <v>747</v>
      </c>
      <c r="P53" s="113" t="s">
        <v>580</v>
      </c>
      <c r="Q53" s="113"/>
      <c r="R53" s="113" t="s">
        <v>626</v>
      </c>
      <c r="S53" s="113"/>
      <c r="T53" s="113"/>
    </row>
    <row r="54" spans="1:20" ht="60" customHeight="1">
      <c r="A54" s="113"/>
      <c r="B54" s="113"/>
      <c r="C54" s="113"/>
      <c r="D54" s="113" t="s">
        <v>255</v>
      </c>
      <c r="E54" s="113" t="s">
        <v>327</v>
      </c>
      <c r="F54" s="113"/>
      <c r="G54" s="113"/>
      <c r="H54" s="113"/>
      <c r="I54" s="113"/>
      <c r="J54" s="113" t="s">
        <v>468</v>
      </c>
      <c r="K54" s="113"/>
      <c r="L54" s="113" t="s">
        <v>748</v>
      </c>
      <c r="M54" s="113"/>
      <c r="N54" s="113"/>
      <c r="O54" s="113"/>
      <c r="P54" s="113" t="s">
        <v>591</v>
      </c>
      <c r="Q54" s="113"/>
      <c r="R54" s="113" t="s">
        <v>749</v>
      </c>
      <c r="S54" s="113"/>
      <c r="T54" s="113"/>
    </row>
    <row r="55" spans="1:20" ht="36.6" customHeight="1">
      <c r="A55" s="113"/>
      <c r="B55" s="113"/>
      <c r="C55" s="113"/>
      <c r="D55" s="113"/>
      <c r="E55" s="113"/>
      <c r="F55" s="113"/>
      <c r="G55" s="113"/>
      <c r="H55" s="113"/>
      <c r="I55" s="113"/>
      <c r="J55" s="113"/>
      <c r="K55" s="113"/>
      <c r="L55" s="113"/>
      <c r="M55" s="113"/>
      <c r="N55" s="113"/>
      <c r="O55" s="113"/>
      <c r="P55" s="113" t="s">
        <v>750</v>
      </c>
      <c r="Q55" s="113"/>
      <c r="R55" s="113" t="s">
        <v>751</v>
      </c>
      <c r="S55" s="113"/>
      <c r="T55" s="113"/>
    </row>
    <row r="56" spans="1:20" ht="25.5">
      <c r="A56" s="113"/>
      <c r="B56" s="113"/>
      <c r="C56" s="113"/>
      <c r="D56" s="113"/>
      <c r="E56" s="113"/>
      <c r="F56" s="113"/>
      <c r="G56" s="113"/>
      <c r="H56" s="113"/>
      <c r="I56" s="113"/>
      <c r="J56" s="113"/>
      <c r="K56" s="113"/>
      <c r="L56" s="113"/>
      <c r="M56" s="113"/>
      <c r="N56" s="113"/>
      <c r="O56" s="113"/>
      <c r="P56" s="113" t="s">
        <v>595</v>
      </c>
      <c r="Q56" s="113"/>
      <c r="R56" s="113"/>
      <c r="S56" s="113"/>
      <c r="T56" s="113"/>
    </row>
    <row r="57" spans="1:20">
      <c r="A57" s="113"/>
      <c r="B57" s="113"/>
      <c r="C57" s="113"/>
      <c r="D57" s="113"/>
      <c r="E57" s="113"/>
      <c r="F57" s="113"/>
      <c r="G57" s="113"/>
      <c r="H57" s="113"/>
      <c r="I57" s="113"/>
      <c r="J57" s="113"/>
      <c r="K57" s="113"/>
      <c r="L57" s="113"/>
      <c r="M57" s="113"/>
      <c r="N57" s="113"/>
      <c r="O57" s="113"/>
      <c r="P57" s="113"/>
      <c r="Q57" s="113"/>
      <c r="R57" s="113"/>
      <c r="S57" s="113"/>
      <c r="T57" s="113"/>
    </row>
    <row r="190" spans="5:6">
      <c r="E190" s="27" t="s">
        <v>752</v>
      </c>
      <c r="F190" s="27" t="s">
        <v>753</v>
      </c>
    </row>
    <row r="191" spans="5:6">
      <c r="E191" s="27" t="s">
        <v>754</v>
      </c>
      <c r="F191">
        <v>1</v>
      </c>
    </row>
    <row r="192" spans="5:6">
      <c r="E192" s="27" t="s">
        <v>755</v>
      </c>
      <c r="F192">
        <v>2</v>
      </c>
    </row>
    <row r="193" spans="1:12">
      <c r="E193" s="27" t="s">
        <v>756</v>
      </c>
      <c r="F193">
        <v>3</v>
      </c>
    </row>
    <row r="194" spans="1:12">
      <c r="E194" s="27" t="s">
        <v>757</v>
      </c>
      <c r="F194">
        <v>4</v>
      </c>
    </row>
    <row r="195" spans="1:12">
      <c r="E195" s="27" t="s">
        <v>758</v>
      </c>
      <c r="F195">
        <v>5</v>
      </c>
    </row>
    <row r="199" spans="1:12">
      <c r="A199" t="s">
        <v>759</v>
      </c>
      <c r="D199" s="27" t="s">
        <v>760</v>
      </c>
      <c r="E199" s="27" t="s">
        <v>761</v>
      </c>
      <c r="F199" s="27" t="s">
        <v>752</v>
      </c>
      <c r="G199" s="27" t="s">
        <v>762</v>
      </c>
      <c r="H199" s="27" t="s">
        <v>763</v>
      </c>
      <c r="I199" s="27" t="s">
        <v>764</v>
      </c>
      <c r="J199" s="27" t="s">
        <v>765</v>
      </c>
      <c r="K199" s="27" t="s">
        <v>766</v>
      </c>
      <c r="L199" s="27" t="s">
        <v>767</v>
      </c>
    </row>
    <row r="200" spans="1:12">
      <c r="A200" t="str">
        <f>LEFT(FORMULACIÓN!F12,100)</f>
        <v>Lograr por lo menos el 65% de los docentes de carrera profesoral certificados en nivel B2 según el m</v>
      </c>
      <c r="C200" t="str">
        <f>Tabla2[[#This Row],[metas]]</f>
        <v>Lograr por lo menos el 65% de los docentes de carrera profesoral certificados en nivel B2 según el m</v>
      </c>
      <c r="D200">
        <f>FORMULACIÓN!A12</f>
        <v>1</v>
      </c>
      <c r="E200">
        <f>COUNTIF($C$200:C200,C200)</f>
        <v>1</v>
      </c>
      <c r="F200" t="str">
        <f>'SEGUIMIENTO Y EVALUACIÓN'!AL12&amp;"GOAL"&amp;LEN(FORMULACIÓN!F12)</f>
        <v>L1M1P1GOAL118</v>
      </c>
      <c r="G200" t="str">
        <f>LEFT(F200,2)</f>
        <v>L1</v>
      </c>
      <c r="H200" t="str">
        <f t="shared" ref="H200:H231" si="1">IFERROR(INDEX(lin,VLOOKUP(G200,$E$191:$F$195,2,FALSE),1),"")</f>
        <v>L1 - Formación Académica Integral</v>
      </c>
      <c r="I200" t="str">
        <f>IF(E200=1,INDEX(FORMULACIÓN!$F$12:$F$261,Lists!D200,1),"")</f>
        <v>Lograr por lo menos el 65% de los docentes de carrera profesoral certificados en nivel B2 según el marco común europeo</v>
      </c>
      <c r="J200" s="100">
        <f ca="1">IF(E200=1,SUMIF($F$200:$F$365,F200,'SEGUIMIENTO Y EVALUACIÓN'!$AV$12:$AV$261),"")</f>
        <v>4.1538461538461529E-3</v>
      </c>
      <c r="K200" s="100">
        <f>IF(E200=1,SUMIF($F$200:$F$365,F200,FORMULACIÓN!$S$12:$S$261),"")</f>
        <v>0.03</v>
      </c>
      <c r="L200" s="100">
        <f ca="1">IFERROR(Tabla4[[#This Row],[res.pond.meta]]/Tabla4[[#This Row],[pond.]],"")</f>
        <v>0.13846153846153844</v>
      </c>
    </row>
    <row r="201" spans="1:12">
      <c r="A201" t="str">
        <f>LEFT(FORMULACIÓN!F13,100)</f>
        <v xml:space="preserve">Garantizar la Política de Enseñanza aprendizaje y evaluación de Lenguas Extranjeras para que mínimo </v>
      </c>
      <c r="C201" t="str">
        <f>Tabla2[[#This Row],[metas]]</f>
        <v xml:space="preserve">Garantizar la Política de Enseñanza aprendizaje y evaluación de Lenguas Extranjeras para que mínimo </v>
      </c>
      <c r="D201">
        <f>FORMULACIÓN!A13</f>
        <v>2</v>
      </c>
      <c r="E201">
        <f>COUNTIF($C$200:C201,C201)</f>
        <v>1</v>
      </c>
      <c r="F201" t="str">
        <f>'SEGUIMIENTO Y EVALUACIÓN'!AL13&amp;"GOAL"&amp;LEN(FORMULACIÓN!F13)</f>
        <v>L1M1P1GOAL290</v>
      </c>
      <c r="G201" t="str">
        <f t="shared" ref="G201:G264" si="2">LEFT(F201,2)</f>
        <v>L1</v>
      </c>
      <c r="H201" t="str">
        <f t="shared" si="1"/>
        <v>L1 - Formación Académica Integral</v>
      </c>
      <c r="I201" t="str">
        <f>IF(E201=1,INDEX(FORMULACIÓN!$F$12:$F$261,Lists!D201,1),"")</f>
        <v xml:space="preserve">Garantizar la Política de Enseñanza aprendizaje y evaluación de Lenguas Extranjeras para que mínimo 7000 estudiantes logren culminar los cursos de inglés establecidos, asimismo que 300 estudiantes de Licenciatura en Lenguas Extranjeras se formen mediante el Programa de Inmersión en inglés </v>
      </c>
      <c r="J201" s="100">
        <f ca="1">IF(E201=1,SUMIF($F$200:$F$365,F201,'SEGUIMIENTO Y EVALUACIÓN'!$AV$12:$AV$261),"")</f>
        <v>1.2937142857142857E-2</v>
      </c>
      <c r="K201" s="100">
        <f>IF(E201=1,SUMIF($F$200:$F$365,F201,FORMULACIÓN!$S$12:$S$261),"")</f>
        <v>0.06</v>
      </c>
      <c r="L201" s="100">
        <f ca="1">IFERROR(Tabla4[[#This Row],[res.pond.meta]]/Tabla4[[#This Row],[pond.]],"")</f>
        <v>0.21561904761904763</v>
      </c>
    </row>
    <row r="202" spans="1:12">
      <c r="A202" t="str">
        <f>LEFT(FORMULACIÓN!F14,100)</f>
        <v xml:space="preserve">Garantizar la Política de Enseñanza aprendizaje y evaluación de Lenguas Extranjeras para que mínimo </v>
      </c>
      <c r="C202" t="str">
        <f>Tabla2[[#This Row],[metas]]</f>
        <v xml:space="preserve">Garantizar la Política de Enseñanza aprendizaje y evaluación de Lenguas Extranjeras para que mínimo </v>
      </c>
      <c r="D202">
        <f>FORMULACIÓN!A14</f>
        <v>3</v>
      </c>
      <c r="E202">
        <f>COUNTIF($C$200:C202,C202)</f>
        <v>2</v>
      </c>
      <c r="F202" t="str">
        <f>'SEGUIMIENTO Y EVALUACIÓN'!AL14&amp;"GOAL"&amp;LEN(FORMULACIÓN!F14)</f>
        <v>L1M1P1GOAL290</v>
      </c>
      <c r="G202" t="str">
        <f t="shared" si="2"/>
        <v>L1</v>
      </c>
      <c r="H202" t="str">
        <f t="shared" si="1"/>
        <v>L1 - Formación Académica Integral</v>
      </c>
      <c r="I202" t="str">
        <f>IF(E202=1,INDEX(FORMULACIÓN!$F$12:$F$261,Lists!D202,1),"")</f>
        <v/>
      </c>
      <c r="J202" s="100" t="str">
        <f>IF(E202=1,SUMIF($F$200:$F$365,F202,'SEGUIMIENTO Y EVALUACIÓN'!$AV$12:$AV$261),"")</f>
        <v/>
      </c>
      <c r="K202" s="100" t="str">
        <f>IF(E202=1,SUMIF($F$200:$F$365,F202,FORMULACIÓN!$S$12:$S$261),"")</f>
        <v/>
      </c>
      <c r="L202" s="100" t="str">
        <f>IFERROR(Tabla4[[#This Row],[res.pond.meta]]/Tabla4[[#This Row],[pond.]],"")</f>
        <v/>
      </c>
    </row>
    <row r="203" spans="1:12">
      <c r="A203" t="str">
        <f>LEFT(FORMULACIÓN!F15,100)</f>
        <v xml:space="preserve">Propender por la movilidad de al menos 400 estudiantes desde y 
hacia la Universidad del Atlántico </v>
      </c>
      <c r="C203" t="str">
        <f>Tabla2[[#This Row],[metas]]</f>
        <v xml:space="preserve">Propender por la movilidad de al menos 400 estudiantes desde y 
hacia la Universidad del Atlántico </v>
      </c>
      <c r="D203">
        <f>FORMULACIÓN!A15</f>
        <v>4</v>
      </c>
      <c r="E203">
        <f>COUNTIF($C$200:C203,C203)</f>
        <v>1</v>
      </c>
      <c r="F203" t="str">
        <f>'SEGUIMIENTO Y EVALUACIÓN'!AL15&amp;"GOAL"&amp;LEN(FORMULACIÓN!F15)</f>
        <v>L1M1P2GOAL99</v>
      </c>
      <c r="G203" t="str">
        <f t="shared" si="2"/>
        <v>L1</v>
      </c>
      <c r="H203" t="str">
        <f t="shared" si="1"/>
        <v>L1 - Formación Académica Integral</v>
      </c>
      <c r="I203" t="str">
        <f>IF(E203=1,INDEX(FORMULACIÓN!$F$12:$F$261,Lists!D203,1),"")</f>
        <v xml:space="preserve">Propender por la movilidad de al menos 400 estudiantes desde y 
hacia la Universidad del Atlántico </v>
      </c>
      <c r="J203" s="100">
        <f ca="1">IF(E203=1,SUMIF($F$200:$F$365,F203,'SEGUIMIENTO Y EVALUACIÓN'!$AV$12:$AV$261),"")</f>
        <v>7.8E-2</v>
      </c>
      <c r="K203" s="100">
        <f>IF(E203=1,SUMIF($F$200:$F$365,F203,FORMULACIÓN!$S$12:$S$261),"")</f>
        <v>0.08</v>
      </c>
      <c r="L203" s="100">
        <f ca="1">IFERROR(Tabla4[[#This Row],[res.pond.meta]]/Tabla4[[#This Row],[pond.]],"")</f>
        <v>0.97499999999999998</v>
      </c>
    </row>
    <row r="204" spans="1:12">
      <c r="A204" t="str">
        <f>LEFT(FORMULACIÓN!F16,100)</f>
        <v xml:space="preserve">Propender por la movilidad de al menos 400 estudiantes desde y 
hacia la Universidad del Atlántico </v>
      </c>
      <c r="C204" t="str">
        <f>Tabla2[[#This Row],[metas]]</f>
        <v xml:space="preserve">Propender por la movilidad de al menos 400 estudiantes desde y 
hacia la Universidad del Atlántico </v>
      </c>
      <c r="D204">
        <f>FORMULACIÓN!A16</f>
        <v>5</v>
      </c>
      <c r="E204">
        <f>COUNTIF($C$200:C204,C204)</f>
        <v>2</v>
      </c>
      <c r="F204" t="str">
        <f>'SEGUIMIENTO Y EVALUACIÓN'!AL16&amp;"GOAL"&amp;LEN(FORMULACIÓN!F16)</f>
        <v>L1M1P2GOAL99</v>
      </c>
      <c r="G204" t="str">
        <f t="shared" si="2"/>
        <v>L1</v>
      </c>
      <c r="H204" t="str">
        <f t="shared" si="1"/>
        <v>L1 - Formación Académica Integral</v>
      </c>
      <c r="I204" t="str">
        <f>IF(E204=1,INDEX(FORMULACIÓN!$F$12:$F$261,Lists!D204,1),"")</f>
        <v/>
      </c>
      <c r="J204" s="100" t="str">
        <f>IF(E204=1,SUMIF($F$200:$F$365,F204,'SEGUIMIENTO Y EVALUACIÓN'!$AV$12:$AV$261),"")</f>
        <v/>
      </c>
      <c r="K204" s="100" t="str">
        <f>IF(E204=1,SUMIF($F$200:$F$365,F204,FORMULACIÓN!$S$12:$S$261),"")</f>
        <v/>
      </c>
      <c r="L204" s="100" t="str">
        <f>IFERROR(Tabla4[[#This Row],[res.pond.meta]]/Tabla4[[#This Row],[pond.]],"")</f>
        <v/>
      </c>
    </row>
    <row r="205" spans="1:12">
      <c r="A205" t="str">
        <f>LEFT(FORMULACIÓN!F17,100)</f>
        <v xml:space="preserve">Propender por la movilidad de al menos 400 estudiantes desde y 
hacia la Universidad del Atlántico </v>
      </c>
      <c r="C205" t="str">
        <f>Tabla2[[#This Row],[metas]]</f>
        <v xml:space="preserve">Propender por la movilidad de al menos 400 estudiantes desde y 
hacia la Universidad del Atlántico </v>
      </c>
      <c r="D205">
        <f>FORMULACIÓN!A17</f>
        <v>6</v>
      </c>
      <c r="E205">
        <f>COUNTIF($C$200:C205,C205)</f>
        <v>3</v>
      </c>
      <c r="F205" t="str">
        <f>'SEGUIMIENTO Y EVALUACIÓN'!AL17&amp;"GOAL"&amp;LEN(FORMULACIÓN!F17)</f>
        <v>L1M1P2GOAL99</v>
      </c>
      <c r="G205" t="str">
        <f t="shared" si="2"/>
        <v>L1</v>
      </c>
      <c r="H205" t="str">
        <f t="shared" si="1"/>
        <v>L1 - Formación Académica Integral</v>
      </c>
      <c r="I205" t="str">
        <f>IF(E205=1,INDEX(FORMULACIÓN!$F$12:$F$261,Lists!D205,1),"")</f>
        <v/>
      </c>
      <c r="J205" s="100" t="str">
        <f>IF(E205=1,SUMIF($F$200:$F$365,F205,'SEGUIMIENTO Y EVALUACIÓN'!$AV$12:$AV$261),"")</f>
        <v/>
      </c>
      <c r="K205" s="100" t="str">
        <f>IF(E205=1,SUMIF($F$200:$F$365,F205,FORMULACIÓN!$S$12:$S$261),"")</f>
        <v/>
      </c>
      <c r="L205" s="100" t="str">
        <f>IFERROR(Tabla4[[#This Row],[res.pond.meta]]/Tabla4[[#This Row],[pond.]],"")</f>
        <v/>
      </c>
    </row>
    <row r="206" spans="1:12">
      <c r="A206" t="str">
        <f>LEFT(FORMULACIÓN!F18,100)</f>
        <v xml:space="preserve">Propender por la movilidad de al menos 400 estudiantes desde y 
hacia la Universidad del Atlántico </v>
      </c>
      <c r="C206" t="str">
        <f>Tabla2[[#This Row],[metas]]</f>
        <v xml:space="preserve">Propender por la movilidad de al menos 400 estudiantes desde y 
hacia la Universidad del Atlántico </v>
      </c>
      <c r="D206">
        <f>FORMULACIÓN!A18</f>
        <v>7</v>
      </c>
      <c r="E206">
        <f>COUNTIF($C$200:C206,C206)</f>
        <v>4</v>
      </c>
      <c r="F206" t="str">
        <f>'SEGUIMIENTO Y EVALUACIÓN'!AL18&amp;"GOAL"&amp;LEN(FORMULACIÓN!F18)</f>
        <v>L1M1P2GOAL99</v>
      </c>
      <c r="G206" t="str">
        <f t="shared" si="2"/>
        <v>L1</v>
      </c>
      <c r="H206" t="str">
        <f t="shared" si="1"/>
        <v>L1 - Formación Académica Integral</v>
      </c>
      <c r="I206" t="str">
        <f>IF(E206=1,INDEX(FORMULACIÓN!$F$12:$F$261,Lists!D206,1),"")</f>
        <v/>
      </c>
      <c r="J206" s="100" t="str">
        <f>IF(E206=1,SUMIF($F$200:$F$365,F206,'SEGUIMIENTO Y EVALUACIÓN'!$AV$12:$AV$261),"")</f>
        <v/>
      </c>
      <c r="K206" s="100" t="str">
        <f>IF(E206=1,SUMIF($F$200:$F$365,F206,FORMULACIÓN!$S$12:$S$261),"")</f>
        <v/>
      </c>
      <c r="L206" s="100" t="str">
        <f>IFERROR(Tabla4[[#This Row],[res.pond.meta]]/Tabla4[[#This Row],[pond.]],"")</f>
        <v/>
      </c>
    </row>
    <row r="207" spans="1:12">
      <c r="A207" t="str">
        <f>LEFT(FORMULACIÓN!F19,100)</f>
        <v xml:space="preserve">Fortalecer la movilidad docente, desde las funciones sustantivas de docencia, extensión, proyección </v>
      </c>
      <c r="C207" t="str">
        <f>Tabla2[[#This Row],[metas]]</f>
        <v xml:space="preserve">Fortalecer la movilidad docente, desde las funciones sustantivas de docencia, extensión, proyección </v>
      </c>
      <c r="D207">
        <f>FORMULACIÓN!A19</f>
        <v>8</v>
      </c>
      <c r="E207">
        <f>COUNTIF($C$200:C207,C207)</f>
        <v>1</v>
      </c>
      <c r="F207" t="str">
        <f>'SEGUIMIENTO Y EVALUACIÓN'!AL19&amp;"GOAL"&amp;LEN(FORMULACIÓN!F19)</f>
        <v>L1M1P2GOAL234</v>
      </c>
      <c r="G207" t="str">
        <f t="shared" si="2"/>
        <v>L1</v>
      </c>
      <c r="H207" t="str">
        <f t="shared" si="1"/>
        <v>L1 - Formación Académica Integral</v>
      </c>
      <c r="I207" t="str">
        <f>IF(E207=1,INDEX(FORMULACIÓN!$F$12:$F$261,Lists!D207,1),"")</f>
        <v>Fortalecer la movilidad docente, desde las funciones sustantivas de docencia, extensión, proyección social e internacionalización, con un mínimo de 250 registros de movilidad saliente internacional y 200 de movilidad saliente nacional</v>
      </c>
      <c r="J207" s="100">
        <f ca="1">IF(E207=1,SUMIF($F$200:$F$365,F207,'SEGUIMIENTO Y EVALUACIÓN'!$AV$12:$AV$261),"")</f>
        <v>2.928E-2</v>
      </c>
      <c r="K207" s="100">
        <f>IF(E207=1,SUMIF($F$200:$F$365,F207,FORMULACIÓN!$S$12:$S$261),"")</f>
        <v>0.04</v>
      </c>
      <c r="L207" s="100">
        <f ca="1">IFERROR(Tabla4[[#This Row],[res.pond.meta]]/Tabla4[[#This Row],[pond.]],"")</f>
        <v>0.73199999999999998</v>
      </c>
    </row>
    <row r="208" spans="1:12">
      <c r="A208" t="str">
        <f>LEFT(FORMULACIÓN!F20,100)</f>
        <v xml:space="preserve">Fortalecer la movilidad docente, desde las funciones sustantivas de docencia, extensión, proyección </v>
      </c>
      <c r="C208" t="str">
        <f>Tabla2[[#This Row],[metas]]</f>
        <v xml:space="preserve">Fortalecer la movilidad docente, desde las funciones sustantivas de docencia, extensión, proyección </v>
      </c>
      <c r="D208">
        <f>FORMULACIÓN!A20</f>
        <v>9</v>
      </c>
      <c r="E208">
        <f>COUNTIF($C$200:C208,C208)</f>
        <v>2</v>
      </c>
      <c r="F208" t="str">
        <f>'SEGUIMIENTO Y EVALUACIÓN'!AL20&amp;"GOAL"&amp;LEN(FORMULACIÓN!F20)</f>
        <v>L1M1P2GOAL234</v>
      </c>
      <c r="G208" t="str">
        <f t="shared" si="2"/>
        <v>L1</v>
      </c>
      <c r="H208" t="str">
        <f t="shared" si="1"/>
        <v>L1 - Formación Académica Integral</v>
      </c>
      <c r="I208" t="str">
        <f>IF(E208=1,INDEX(FORMULACIÓN!$F$12:$F$261,Lists!D208,1),"")</f>
        <v/>
      </c>
      <c r="J208" s="100" t="str">
        <f>IF(E208=1,SUMIF($F$200:$F$365,F208,'SEGUIMIENTO Y EVALUACIÓN'!$AV$12:$AV$261),"")</f>
        <v/>
      </c>
      <c r="K208" s="100" t="str">
        <f>IF(E208=1,SUMIF($F$200:$F$365,F208,FORMULACIÓN!$S$12:$S$261),"")</f>
        <v/>
      </c>
      <c r="L208" s="100" t="str">
        <f>IFERROR(Tabla4[[#This Row],[res.pond.meta]]/Tabla4[[#This Row],[pond.]],"")</f>
        <v/>
      </c>
    </row>
    <row r="209" spans="1:12">
      <c r="A209" t="str">
        <f>LEFT(FORMULACIÓN!F21,100)</f>
        <v>Fomentar la internacionalización en curricular garantizando el 40% de los programas académicos con c</v>
      </c>
      <c r="C209" t="str">
        <f>Tabla2[[#This Row],[metas]]</f>
        <v>Fomentar la internacionalización en curricular garantizando el 40% de los programas académicos con c</v>
      </c>
      <c r="D209">
        <f>FORMULACIÓN!A21</f>
        <v>10</v>
      </c>
      <c r="E209">
        <f>COUNTIF($C$200:C209,C209)</f>
        <v>1</v>
      </c>
      <c r="F209" t="str">
        <f>'SEGUIMIENTO Y EVALUACIÓN'!AL21&amp;"GOAL"&amp;LEN(FORMULACIÓN!F21)</f>
        <v>L1M1P3GOAL273</v>
      </c>
      <c r="G209" t="str">
        <f t="shared" si="2"/>
        <v>L1</v>
      </c>
      <c r="H209" t="str">
        <f t="shared" si="1"/>
        <v>L1 - Formación Académica Integral</v>
      </c>
      <c r="I209" t="str">
        <f>IF(E209=1,INDEX(FORMULACIÓN!$F$12:$F$261,Lists!D209,1),"")</f>
        <v>Fomentar la internacionalización en curricular garantizando el 40% de los programas académicos con componente internacional. Asimismo, propender para que el 60% de los programas desarrollen actividades con componente internacional desde el aula y de manera extracurricular.</v>
      </c>
      <c r="J209" s="100">
        <f ca="1">IF(E209=1,SUMIF($F$200:$F$365,F209,'SEGUIMIENTO Y EVALUACIÓN'!$AV$12:$AV$261),"")</f>
        <v>1.8014622883530017E-2</v>
      </c>
      <c r="K209" s="100">
        <f>IF(E209=1,SUMIF($F$200:$F$365,F209,FORMULACIÓN!$S$12:$S$261),"")</f>
        <v>0.06</v>
      </c>
      <c r="L209" s="100">
        <f ca="1">IFERROR(Tabla4[[#This Row],[res.pond.meta]]/Tabla4[[#This Row],[pond.]],"")</f>
        <v>0.30024371472550032</v>
      </c>
    </row>
    <row r="210" spans="1:12">
      <c r="A210" t="str">
        <f>LEFT(FORMULACIÓN!F22,100)</f>
        <v>Fomentar la internacionalización en curricular garantizando el 40% de los programas académicos con c</v>
      </c>
      <c r="C210" t="str">
        <f>Tabla2[[#This Row],[metas]]</f>
        <v>Fomentar la internacionalización en curricular garantizando el 40% de los programas académicos con c</v>
      </c>
      <c r="D210">
        <f>FORMULACIÓN!A22</f>
        <v>11</v>
      </c>
      <c r="E210">
        <f>COUNTIF($C$200:C210,C210)</f>
        <v>2</v>
      </c>
      <c r="F210" t="str">
        <f>'SEGUIMIENTO Y EVALUACIÓN'!AL22&amp;"GOAL"&amp;LEN(FORMULACIÓN!F22)</f>
        <v>L1M1P3GOAL273</v>
      </c>
      <c r="G210" t="str">
        <f t="shared" si="2"/>
        <v>L1</v>
      </c>
      <c r="H210" t="str">
        <f t="shared" si="1"/>
        <v>L1 - Formación Académica Integral</v>
      </c>
      <c r="I210" t="str">
        <f>IF(E210=1,INDEX(FORMULACIÓN!$F$12:$F$261,Lists!D210,1),"")</f>
        <v/>
      </c>
      <c r="J210" s="100" t="str">
        <f>IF(E210=1,SUMIF($F$200:$F$365,F210,'SEGUIMIENTO Y EVALUACIÓN'!$AV$12:$AV$261),"")</f>
        <v/>
      </c>
      <c r="K210" s="100" t="str">
        <f>IF(E210=1,SUMIF($F$200:$F$365,F210,FORMULACIÓN!$S$12:$S$261),"")</f>
        <v/>
      </c>
      <c r="L210" s="100" t="str">
        <f>IFERROR(Tabla4[[#This Row],[res.pond.meta]]/Tabla4[[#This Row],[pond.]],"")</f>
        <v/>
      </c>
    </row>
    <row r="211" spans="1:12">
      <c r="A211" t="str">
        <f>LEFT(FORMULACIÓN!F23,100)</f>
        <v>Fomentar la internacionalización en curricular garantizando el 40% de los programas académicos con c</v>
      </c>
      <c r="C211" t="str">
        <f>Tabla2[[#This Row],[metas]]</f>
        <v>Fomentar la internacionalización en curricular garantizando el 40% de los programas académicos con c</v>
      </c>
      <c r="D211">
        <f>FORMULACIÓN!A23</f>
        <v>12</v>
      </c>
      <c r="E211">
        <f>COUNTIF($C$200:C211,C211)</f>
        <v>3</v>
      </c>
      <c r="F211" t="str">
        <f>'SEGUIMIENTO Y EVALUACIÓN'!AL23&amp;"GOAL"&amp;LEN(FORMULACIÓN!F23)</f>
        <v>L1M1P3GOAL273</v>
      </c>
      <c r="G211" t="str">
        <f t="shared" si="2"/>
        <v>L1</v>
      </c>
      <c r="H211" t="str">
        <f t="shared" si="1"/>
        <v>L1 - Formación Académica Integral</v>
      </c>
      <c r="I211" t="str">
        <f>IF(E211=1,INDEX(FORMULACIÓN!$F$12:$F$261,Lists!D211,1),"")</f>
        <v/>
      </c>
      <c r="J211" s="100" t="str">
        <f>IF(E211=1,SUMIF($F$200:$F$365,F211,'SEGUIMIENTO Y EVALUACIÓN'!$AV$12:$AV$261),"")</f>
        <v/>
      </c>
      <c r="K211" s="100" t="str">
        <f>IF(E211=1,SUMIF($F$200:$F$365,F211,FORMULACIÓN!$S$12:$S$261),"")</f>
        <v/>
      </c>
      <c r="L211" s="100" t="str">
        <f>IFERROR(Tabla4[[#This Row],[res.pond.meta]]/Tabla4[[#This Row],[pond.]],"")</f>
        <v/>
      </c>
    </row>
    <row r="212" spans="1:12">
      <c r="A212" t="str">
        <f>LEFT(FORMULACIÓN!F24,100)</f>
        <v>Implementar la Política de uso y apropiación de las TIC en la Universidad del Atlántico</v>
      </c>
      <c r="C212" t="str">
        <f>Tabla2[[#This Row],[metas]]</f>
        <v>Implementar la Política de uso y apropiación de las TIC en la Universidad del Atlántico</v>
      </c>
      <c r="D212">
        <f>FORMULACIÓN!A24</f>
        <v>13</v>
      </c>
      <c r="E212">
        <f>COUNTIF($C$200:C212,C212)</f>
        <v>1</v>
      </c>
      <c r="F212" t="str">
        <f>'SEGUIMIENTO Y EVALUACIÓN'!AL24&amp;"GOAL"&amp;LEN(FORMULACIÓN!F24)</f>
        <v>L1M2P1GOAL87</v>
      </c>
      <c r="G212" t="str">
        <f t="shared" si="2"/>
        <v>L1</v>
      </c>
      <c r="H212" t="str">
        <f t="shared" si="1"/>
        <v>L1 - Formación Académica Integral</v>
      </c>
      <c r="I212" t="str">
        <f>IF(E212=1,INDEX(FORMULACIÓN!$F$12:$F$261,Lists!D212,1),"")</f>
        <v>Implementar la Política de uso y apropiación de las TIC en la Universidad del Atlántico</v>
      </c>
      <c r="J212" s="100">
        <f ca="1">IF(E212=1,SUMIF($F$200:$F$365,F212,'SEGUIMIENTO Y EVALUACIÓN'!$AV$12:$AV$261),"")</f>
        <v>1.6000000000000004E-2</v>
      </c>
      <c r="K212" s="100">
        <f>IF(E212=1,SUMIF($F$200:$F$365,F212,FORMULACIÓN!$S$12:$S$261),"")</f>
        <v>2.5000000000000001E-2</v>
      </c>
      <c r="L212" s="100">
        <f ca="1">IFERROR(Tabla4[[#This Row],[res.pond.meta]]/Tabla4[[#This Row],[pond.]],"")</f>
        <v>0.64000000000000012</v>
      </c>
    </row>
    <row r="213" spans="1:12">
      <c r="A213" t="str">
        <f>LEFT(FORMULACIÓN!F25,100)</f>
        <v xml:space="preserve">Lograr que al menos el 50% de los programas académicos apliquen prácticas de innovación educativa y </v>
      </c>
      <c r="C213" t="str">
        <f>Tabla2[[#This Row],[metas]]</f>
        <v xml:space="preserve">Lograr que al menos el 50% de los programas académicos apliquen prácticas de innovación educativa y </v>
      </c>
      <c r="D213">
        <f>FORMULACIÓN!A25</f>
        <v>14</v>
      </c>
      <c r="E213">
        <f>COUNTIF($C$200:C213,C213)</f>
        <v>1</v>
      </c>
      <c r="F213" t="str">
        <f>'SEGUIMIENTO Y EVALUACIÓN'!AL25&amp;"GOAL"&amp;LEN(FORMULACIÓN!F25)</f>
        <v>L1M2P1GOAL330</v>
      </c>
      <c r="G213" t="str">
        <f t="shared" si="2"/>
        <v>L1</v>
      </c>
      <c r="H213" t="str">
        <f t="shared" si="1"/>
        <v>L1 - Formación Académica Integral</v>
      </c>
      <c r="I213" t="str">
        <f>IF(E213=1,INDEX(FORMULACIÓN!$F$12:$F$261,Lists!D213,1),"")</f>
        <v xml:space="preserve">Lograr que al menos el 50% de los programas académicos apliquen prácticas de innovación educativa y crear al menos 800 recursos digitales para la docencia con impacto positivo en la población.
(Ejemplos: aplica aprendizaje inverso, automatización de las prácticas de laboratorio, simuladores, plataformas, construcción de ebook)  </v>
      </c>
      <c r="J213" s="100">
        <f ca="1">IF(E213=1,SUMIF($F$200:$F$365,F213,'SEGUIMIENTO Y EVALUACIÓN'!$AV$12:$AV$261),"")</f>
        <v>6.8400000000000023E-3</v>
      </c>
      <c r="K213" s="100">
        <f>IF(E213=1,SUMIF($F$200:$F$365,F213,FORMULACIÓN!$S$12:$S$261),"")</f>
        <v>2.5000000000000001E-2</v>
      </c>
      <c r="L213" s="100">
        <f ca="1">IFERROR(Tabla4[[#This Row],[res.pond.meta]]/Tabla4[[#This Row],[pond.]],"")</f>
        <v>0.27360000000000007</v>
      </c>
    </row>
    <row r="214" spans="1:12">
      <c r="A214" t="str">
        <f>LEFT(FORMULACIÓN!F26,100)</f>
        <v xml:space="preserve">Lograr que al menos el 50% de los programas académicos apliquen prácticas de innovación educativa y </v>
      </c>
      <c r="C214" t="str">
        <f>Tabla2[[#This Row],[metas]]</f>
        <v xml:space="preserve">Lograr que al menos el 50% de los programas académicos apliquen prácticas de innovación educativa y </v>
      </c>
      <c r="D214">
        <f>FORMULACIÓN!A26</f>
        <v>15</v>
      </c>
      <c r="E214">
        <f>COUNTIF($C$200:C214,C214)</f>
        <v>2</v>
      </c>
      <c r="F214" t="str">
        <f>'SEGUIMIENTO Y EVALUACIÓN'!AL26&amp;"GOAL"&amp;LEN(FORMULACIÓN!F26)</f>
        <v>L1M2P2GOAL330</v>
      </c>
      <c r="G214" t="str">
        <f t="shared" si="2"/>
        <v>L1</v>
      </c>
      <c r="H214" t="str">
        <f t="shared" si="1"/>
        <v>L1 - Formación Académica Integral</v>
      </c>
      <c r="I214" t="str">
        <f>IF(E214=1,INDEX(FORMULACIÓN!$F$12:$F$261,Lists!D214,1),"")</f>
        <v/>
      </c>
      <c r="J214" s="100" t="str">
        <f>IF(E214=1,SUMIF($F$200:$F$365,F214,'SEGUIMIENTO Y EVALUACIÓN'!$AV$12:$AV$261),"")</f>
        <v/>
      </c>
      <c r="K214" s="100" t="str">
        <f>IF(E214=1,SUMIF($F$200:$F$365,F214,FORMULACIÓN!$S$12:$S$261),"")</f>
        <v/>
      </c>
      <c r="L214" s="100" t="str">
        <f>IFERROR(Tabla4[[#This Row],[res.pond.meta]]/Tabla4[[#This Row],[pond.]],"")</f>
        <v/>
      </c>
    </row>
    <row r="215" spans="1:12">
      <c r="A215" t="str">
        <f>LEFT(FORMULACIÓN!F27,100)</f>
        <v xml:space="preserve">Lograr que al menos el 50% de los programas académicos apliquen prácticas de innovación educativa y </v>
      </c>
      <c r="C215" t="str">
        <f>Tabla2[[#This Row],[metas]]</f>
        <v xml:space="preserve">Lograr que al menos el 50% de los programas académicos apliquen prácticas de innovación educativa y </v>
      </c>
      <c r="D215">
        <f>FORMULACIÓN!A27</f>
        <v>16</v>
      </c>
      <c r="E215">
        <f>COUNTIF($C$200:C215,C215)</f>
        <v>3</v>
      </c>
      <c r="F215" t="str">
        <f>'SEGUIMIENTO Y EVALUACIÓN'!AL27&amp;"GOAL"&amp;LEN(FORMULACIÓN!F27)</f>
        <v>L1M2P2GOAL330</v>
      </c>
      <c r="G215" t="str">
        <f t="shared" si="2"/>
        <v>L1</v>
      </c>
      <c r="H215" t="str">
        <f t="shared" si="1"/>
        <v>L1 - Formación Académica Integral</v>
      </c>
      <c r="I215" t="str">
        <f>IF(E215=1,INDEX(FORMULACIÓN!$F$12:$F$261,Lists!D215,1),"")</f>
        <v/>
      </c>
      <c r="J215" s="100" t="str">
        <f>IF(E215=1,SUMIF($F$200:$F$365,F215,'SEGUIMIENTO Y EVALUACIÓN'!$AV$12:$AV$261),"")</f>
        <v/>
      </c>
      <c r="K215" s="100" t="str">
        <f>IF(E215=1,SUMIF($F$200:$F$365,F215,FORMULACIÓN!$S$12:$S$261),"")</f>
        <v/>
      </c>
      <c r="L215" s="100" t="str">
        <f>IFERROR(Tabla4[[#This Row],[res.pond.meta]]/Tabla4[[#This Row],[pond.]],"")</f>
        <v/>
      </c>
    </row>
    <row r="216" spans="1:12">
      <c r="A216" t="str">
        <f>LEFT(FORMULACIÓN!F28,100)</f>
        <v xml:space="preserve">Incluir mínimo 30 cursos en línea masivos y abiertos MOOC, como electivas de contexto con temáticas </v>
      </c>
      <c r="C216" t="str">
        <f>Tabla2[[#This Row],[metas]]</f>
        <v xml:space="preserve">Incluir mínimo 30 cursos en línea masivos y abiertos MOOC, como electivas de contexto con temáticas </v>
      </c>
      <c r="D216">
        <f>FORMULACIÓN!A28</f>
        <v>17</v>
      </c>
      <c r="E216">
        <f>COUNTIF($C$200:C216,C216)</f>
        <v>1</v>
      </c>
      <c r="F216" t="str">
        <f>'SEGUIMIENTO Y EVALUACIÓN'!AL28&amp;"GOAL"&amp;LEN(FORMULACIÓN!F28)</f>
        <v>L1M2P3GOAL207</v>
      </c>
      <c r="G216" t="str">
        <f t="shared" si="2"/>
        <v>L1</v>
      </c>
      <c r="H216" t="str">
        <f t="shared" si="1"/>
        <v>L1 - Formación Académica Integral</v>
      </c>
      <c r="I216" t="str">
        <f>IF(E216=1,INDEX(FORMULACIÓN!$F$12:$F$261,Lists!D216,1),"")</f>
        <v>Incluir mínimo 30 cursos en línea masivos y abiertos MOOC, como electivas de contexto con temáticas relacionadas con economía de bienestar, valores ético-morales, emprendimiento social y desarrollo endógeno.</v>
      </c>
      <c r="J216" s="100">
        <f ca="1">IF(E216=1,SUMIF($F$200:$F$365,F216,'SEGUIMIENTO Y EVALUACIÓN'!$AV$12:$AV$261),"")</f>
        <v>6.6666666666666662E-3</v>
      </c>
      <c r="K216" s="100">
        <f>IF(E216=1,SUMIF($F$200:$F$365,F216,FORMULACIÓN!$S$12:$S$261),"")</f>
        <v>0.04</v>
      </c>
      <c r="L216" s="100">
        <f ca="1">IFERROR(Tabla4[[#This Row],[res.pond.meta]]/Tabla4[[#This Row],[pond.]],"")</f>
        <v>0.16666666666666666</v>
      </c>
    </row>
    <row r="217" spans="1:12">
      <c r="A217" t="str">
        <f>LEFT(FORMULACIÓN!F29,100)</f>
        <v>Realizar 2 estudios de pertinencia, para fortalecer la oferta académica pertinente en la región, con</v>
      </c>
      <c r="C217" t="str">
        <f>Tabla2[[#This Row],[metas]]</f>
        <v>Realizar 2 estudios de pertinencia, para fortalecer la oferta académica pertinente en la región, con</v>
      </c>
      <c r="D217">
        <f>FORMULACIÓN!A29</f>
        <v>18</v>
      </c>
      <c r="E217">
        <f>COUNTIF($C$200:C217,C217)</f>
        <v>1</v>
      </c>
      <c r="F217" t="str">
        <f>'SEGUIMIENTO Y EVALUACIÓN'!AL29&amp;"GOAL"&amp;LEN(FORMULACIÓN!F29)</f>
        <v>L1M3P1GOAL411</v>
      </c>
      <c r="G217" t="str">
        <f t="shared" si="2"/>
        <v>L1</v>
      </c>
      <c r="H217" t="str">
        <f t="shared" si="1"/>
        <v>L1 - Formación Académica Integral</v>
      </c>
      <c r="I217" t="str">
        <f>IF(E217=1,INDEX(FORMULACIÓN!$F$12:$F$261,Lists!D217,1),"")</f>
        <v>Realizar 2 estudios de pertinencia, para fortalecer la oferta académica pertinente en la región, con 20 programas académicos de pregrado y postgrado, que den respuesta al sector productivo y/u otros actores regionales, incrementando a 1500 los egresados de región y propendiendo que mínimo 350 de ellos desarrollen actividades económicamente productivas, aportando así al desarrollo socioeconómico de la región.</v>
      </c>
      <c r="J217" s="100">
        <f ca="1">IF(E217=1,SUMIF($F$200:$F$365,F217,'SEGUIMIENTO Y EVALUACIÓN'!$AV$12:$AV$261),"")</f>
        <v>4.9796190476190473E-2</v>
      </c>
      <c r="K217" s="100">
        <f>IF(E217=1,SUMIF($F$200:$F$365,F217,FORMULACIÓN!$S$12:$S$261),"")</f>
        <v>0.08</v>
      </c>
      <c r="L217" s="100">
        <f ca="1">IFERROR(Tabla4[[#This Row],[res.pond.meta]]/Tabla4[[#This Row],[pond.]],"")</f>
        <v>0.62245238095238087</v>
      </c>
    </row>
    <row r="218" spans="1:12">
      <c r="A218" t="str">
        <f>LEFT(FORMULACIÓN!F30,100)</f>
        <v>Realizar 2 estudios de pertinencia, para fortalecer la oferta académica pertinente en la región, con</v>
      </c>
      <c r="C218" t="str">
        <f>Tabla2[[#This Row],[metas]]</f>
        <v>Realizar 2 estudios de pertinencia, para fortalecer la oferta académica pertinente en la región, con</v>
      </c>
      <c r="D218">
        <f>FORMULACIÓN!A30</f>
        <v>19</v>
      </c>
      <c r="E218">
        <f>COUNTIF($C$200:C218,C218)</f>
        <v>2</v>
      </c>
      <c r="F218" t="str">
        <f>'SEGUIMIENTO Y EVALUACIÓN'!AL30&amp;"GOAL"&amp;LEN(FORMULACIÓN!F30)</f>
        <v>L1M3P1GOAL411</v>
      </c>
      <c r="G218" t="str">
        <f t="shared" si="2"/>
        <v>L1</v>
      </c>
      <c r="H218" t="str">
        <f t="shared" si="1"/>
        <v>L1 - Formación Académica Integral</v>
      </c>
      <c r="I218" t="str">
        <f>IF(E218=1,INDEX(FORMULACIÓN!$F$12:$F$261,Lists!D218,1),"")</f>
        <v/>
      </c>
      <c r="J218" s="100" t="str">
        <f>IF(E218=1,SUMIF($F$200:$F$365,F218,'SEGUIMIENTO Y EVALUACIÓN'!$AV$12:$AV$261),"")</f>
        <v/>
      </c>
      <c r="K218" s="100" t="str">
        <f>IF(E218=1,SUMIF($F$200:$F$365,F218,FORMULACIÓN!$S$12:$S$261),"")</f>
        <v/>
      </c>
      <c r="L218" s="100" t="str">
        <f>IFERROR(Tabla4[[#This Row],[res.pond.meta]]/Tabla4[[#This Row],[pond.]],"")</f>
        <v/>
      </c>
    </row>
    <row r="219" spans="1:12">
      <c r="A219" t="str">
        <f>LEFT(FORMULACIÓN!F31,100)</f>
        <v>Realizar 2 estudios de pertinencia, para fortalecer la oferta académica pertinente en la región, con</v>
      </c>
      <c r="C219" t="str">
        <f>Tabla2[[#This Row],[metas]]</f>
        <v>Realizar 2 estudios de pertinencia, para fortalecer la oferta académica pertinente en la región, con</v>
      </c>
      <c r="D219">
        <f>FORMULACIÓN!A31</f>
        <v>20</v>
      </c>
      <c r="E219">
        <f>COUNTIF($C$200:C219,C219)</f>
        <v>3</v>
      </c>
      <c r="F219" t="str">
        <f>'SEGUIMIENTO Y EVALUACIÓN'!AL31&amp;"GOAL"&amp;LEN(FORMULACIÓN!F31)</f>
        <v>L1M3P1GOAL411</v>
      </c>
      <c r="G219" t="str">
        <f t="shared" si="2"/>
        <v>L1</v>
      </c>
      <c r="H219" t="str">
        <f t="shared" si="1"/>
        <v>L1 - Formación Académica Integral</v>
      </c>
      <c r="I219" t="str">
        <f>IF(E219=1,INDEX(FORMULACIÓN!$F$12:$F$261,Lists!D219,1),"")</f>
        <v/>
      </c>
      <c r="J219" s="100" t="str">
        <f>IF(E219=1,SUMIF($F$200:$F$365,F219,'SEGUIMIENTO Y EVALUACIÓN'!$AV$12:$AV$261),"")</f>
        <v/>
      </c>
      <c r="K219" s="100" t="str">
        <f>IF(E219=1,SUMIF($F$200:$F$365,F219,FORMULACIÓN!$S$12:$S$261),"")</f>
        <v/>
      </c>
      <c r="L219" s="100" t="str">
        <f>IFERROR(Tabla4[[#This Row],[res.pond.meta]]/Tabla4[[#This Row],[pond.]],"")</f>
        <v/>
      </c>
    </row>
    <row r="220" spans="1:12">
      <c r="A220" t="str">
        <f>LEFT(FORMULACIÓN!F32,100)</f>
        <v>Realizar 2 estudios de pertinencia, para fortalecer la oferta académica pertinente en la región, con</v>
      </c>
      <c r="C220" t="str">
        <f>Tabla2[[#This Row],[metas]]</f>
        <v>Realizar 2 estudios de pertinencia, para fortalecer la oferta académica pertinente en la región, con</v>
      </c>
      <c r="D220">
        <f>FORMULACIÓN!A32</f>
        <v>21</v>
      </c>
      <c r="E220">
        <f>COUNTIF($C$200:C220,C220)</f>
        <v>4</v>
      </c>
      <c r="F220" t="str">
        <f>'SEGUIMIENTO Y EVALUACIÓN'!AL32&amp;"GOAL"&amp;LEN(FORMULACIÓN!F32)</f>
        <v>L1M3P1GOAL411</v>
      </c>
      <c r="G220" t="str">
        <f t="shared" si="2"/>
        <v>L1</v>
      </c>
      <c r="H220" t="str">
        <f t="shared" si="1"/>
        <v>L1 - Formación Académica Integral</v>
      </c>
      <c r="I220" t="str">
        <f>IF(E220=1,INDEX(FORMULACIÓN!$F$12:$F$261,Lists!D220,1),"")</f>
        <v/>
      </c>
      <c r="J220" s="100" t="str">
        <f>IF(E220=1,SUMIF($F$200:$F$365,F220,'SEGUIMIENTO Y EVALUACIÓN'!$AV$12:$AV$261),"")</f>
        <v/>
      </c>
      <c r="K220" s="100" t="str">
        <f>IF(E220=1,SUMIF($F$200:$F$365,F220,FORMULACIÓN!$S$12:$S$261),"")</f>
        <v/>
      </c>
      <c r="L220" s="100" t="str">
        <f>IFERROR(Tabla4[[#This Row],[res.pond.meta]]/Tabla4[[#This Row],[pond.]],"")</f>
        <v/>
      </c>
    </row>
    <row r="221" spans="1:12">
      <c r="A221" t="str">
        <f>LEFT(FORMULACIÓN!F33,100)</f>
        <v>Impulsar el desarrollo regional a través de mínimo 40 convenios y/o venta de servicio,  que propenda</v>
      </c>
      <c r="C221" t="str">
        <f>Tabla2[[#This Row],[metas]]</f>
        <v>Impulsar el desarrollo regional a través de mínimo 40 convenios y/o venta de servicio,  que propenda</v>
      </c>
      <c r="D221">
        <f>FORMULACIÓN!A33</f>
        <v>22</v>
      </c>
      <c r="E221">
        <f>COUNTIF($C$200:C221,C221)</f>
        <v>1</v>
      </c>
      <c r="F221" t="str">
        <f>'SEGUIMIENTO Y EVALUACIÓN'!AL33&amp;"GOAL"&amp;LEN(FORMULACIÓN!F33)</f>
        <v>L1M3P2GOAL263</v>
      </c>
      <c r="G221" t="str">
        <f t="shared" si="2"/>
        <v>L1</v>
      </c>
      <c r="H221" t="str">
        <f t="shared" si="1"/>
        <v>L1 - Formación Académica Integral</v>
      </c>
      <c r="I221" t="str">
        <f>IF(E221=1,INDEX(FORMULACIÓN!$F$12:$F$261,Lists!D221,1),"")</f>
        <v>Impulsar el desarrollo regional a través de mínimo 40 convenios y/o venta de servicio,  que propendan entre otros aspectos a la formación académica en región y al mejoramiento de los resultados de las pruebas Saber 11 de las instituciones educativas de la región.</v>
      </c>
      <c r="J221" s="100">
        <f ca="1">IF(E221=1,SUMIF($F$200:$F$365,F221,'SEGUIMIENTO Y EVALUACIÓN'!$AV$12:$AV$261),"")</f>
        <v>0.04</v>
      </c>
      <c r="K221" s="100">
        <f>IF(E221=1,SUMIF($F$200:$F$365,F221,FORMULACIÓN!$S$12:$S$261),"")</f>
        <v>0.04</v>
      </c>
      <c r="L221" s="100">
        <f ca="1">IFERROR(Tabla4[[#This Row],[res.pond.meta]]/Tabla4[[#This Row],[pond.]],"")</f>
        <v>1</v>
      </c>
    </row>
    <row r="222" spans="1:12">
      <c r="A222" t="str">
        <f>LEFT(FORMULACIÓN!F34,100)</f>
        <v>Impulsar el desarrollo regional a través de mínimo 40 convenios y/o venta de servicio,  que propenda</v>
      </c>
      <c r="C222" t="str">
        <f>Tabla2[[#This Row],[metas]]</f>
        <v>Impulsar el desarrollo regional a través de mínimo 40 convenios y/o venta de servicio,  que propenda</v>
      </c>
      <c r="D222">
        <f>FORMULACIÓN!A34</f>
        <v>23</v>
      </c>
      <c r="E222">
        <f>COUNTIF($C$200:C222,C222)</f>
        <v>2</v>
      </c>
      <c r="F222" t="str">
        <f>'SEGUIMIENTO Y EVALUACIÓN'!AL34&amp;"GOAL"&amp;LEN(FORMULACIÓN!F34)</f>
        <v>L1M3P3GOAL263</v>
      </c>
      <c r="G222" t="str">
        <f t="shared" si="2"/>
        <v>L1</v>
      </c>
      <c r="H222" t="str">
        <f t="shared" si="1"/>
        <v>L1 - Formación Académica Integral</v>
      </c>
      <c r="I222" t="str">
        <f>IF(E222=1,INDEX(FORMULACIÓN!$F$12:$F$261,Lists!D222,1),"")</f>
        <v/>
      </c>
      <c r="J222" s="100" t="str">
        <f>IF(E222=1,SUMIF($F$200:$F$365,F222,'SEGUIMIENTO Y EVALUACIÓN'!$AV$12:$AV$261),"")</f>
        <v/>
      </c>
      <c r="K222" s="100" t="str">
        <f>IF(E222=1,SUMIF($F$200:$F$365,F222,FORMULACIÓN!$S$12:$S$261),"")</f>
        <v/>
      </c>
      <c r="L222" s="100" t="str">
        <f>IFERROR(Tabla4[[#This Row],[res.pond.meta]]/Tabla4[[#This Row],[pond.]],"")</f>
        <v/>
      </c>
    </row>
    <row r="223" spans="1:12">
      <c r="A223" t="str">
        <f>LEFT(FORMULACIÓN!F35,100)</f>
        <v>Diseñar, aprobar e implementar la Política de Educación inclusiva e intercultural.</v>
      </c>
      <c r="C223" t="str">
        <f>Tabla2[[#This Row],[metas]]</f>
        <v>Diseñar, aprobar e implementar la Política de Educación inclusiva e intercultural.</v>
      </c>
      <c r="D223">
        <f>FORMULACIÓN!A35</f>
        <v>24</v>
      </c>
      <c r="E223">
        <f>COUNTIF($C$200:C223,C223)</f>
        <v>1</v>
      </c>
      <c r="F223" t="str">
        <f>'SEGUIMIENTO Y EVALUACIÓN'!AL35&amp;"GOAL"&amp;LEN(FORMULACIÓN!F35)</f>
        <v>L1M4P1GOAL82</v>
      </c>
      <c r="G223" t="str">
        <f t="shared" si="2"/>
        <v>L1</v>
      </c>
      <c r="H223" t="str">
        <f t="shared" si="1"/>
        <v>L1 - Formación Académica Integral</v>
      </c>
      <c r="I223" t="str">
        <f>IF(E223=1,INDEX(FORMULACIÓN!$F$12:$F$261,Lists!D223,1),"")</f>
        <v>Diseñar, aprobar e implementar la Política de Educación inclusiva e intercultural.</v>
      </c>
      <c r="J223" s="100">
        <f ca="1">IF(E223=1,SUMIF($F$200:$F$365,F223,'SEGUIMIENTO Y EVALUACIÓN'!$AV$12:$AV$261),"")</f>
        <v>0</v>
      </c>
      <c r="K223" s="100">
        <f>IF(E223=1,SUMIF($F$200:$F$365,F223,FORMULACIÓN!$S$12:$S$261),"")</f>
        <v>1.4999999999999999E-2</v>
      </c>
      <c r="L223" s="100">
        <f ca="1">IFERROR(Tabla4[[#This Row],[res.pond.meta]]/Tabla4[[#This Row],[pond.]],"")</f>
        <v>0</v>
      </c>
    </row>
    <row r="224" spans="1:12">
      <c r="A224" t="str">
        <f>LEFT(FORMULACIÓN!F36,100)</f>
        <v>Creación y operacionalización del Comité de Planeación Lingüística en lenguas nativas.</v>
      </c>
      <c r="C224" t="str">
        <f>Tabla2[[#This Row],[metas]]</f>
        <v>Creación y operacionalización del Comité de Planeación Lingüística en lenguas nativas.</v>
      </c>
      <c r="D224">
        <f>FORMULACIÓN!A36</f>
        <v>25</v>
      </c>
      <c r="E224">
        <f>COUNTIF($C$200:C224,C224)</f>
        <v>1</v>
      </c>
      <c r="F224" t="str">
        <f>'SEGUIMIENTO Y EVALUACIÓN'!AL36&amp;"GOAL"&amp;LEN(FORMULACIÓN!F36)</f>
        <v>L1M4P1GOAL86</v>
      </c>
      <c r="G224" t="str">
        <f t="shared" si="2"/>
        <v>L1</v>
      </c>
      <c r="H224" t="str">
        <f t="shared" si="1"/>
        <v>L1 - Formación Académica Integral</v>
      </c>
      <c r="I224" t="str">
        <f>IF(E224=1,INDEX(FORMULACIÓN!$F$12:$F$261,Lists!D224,1),"")</f>
        <v>Creación y operacionalización del Comité de Planeación Lingüística en lenguas nativas.</v>
      </c>
      <c r="J224" s="100">
        <f ca="1">IF(E224=1,SUMIF($F$200:$F$365,F224,'SEGUIMIENTO Y EVALUACIÓN'!$AV$12:$AV$261),"")</f>
        <v>1.4999999999999999E-2</v>
      </c>
      <c r="K224" s="100">
        <f>IF(E224=1,SUMIF($F$200:$F$365,F224,FORMULACIÓN!$S$12:$S$261),"")</f>
        <v>1.4999999999999999E-2</v>
      </c>
      <c r="L224" s="100">
        <f ca="1">IFERROR(Tabla4[[#This Row],[res.pond.meta]]/Tabla4[[#This Row],[pond.]],"")</f>
        <v>1</v>
      </c>
    </row>
    <row r="225" spans="1:12">
      <c r="A225" t="str">
        <f>LEFT(FORMULACIÓN!F37,100)</f>
        <v>Lograr 10 convenios con las Secretarías de Educación y/u organizaciones públicas o privadas de la re</v>
      </c>
      <c r="C225" t="str">
        <f>Tabla2[[#This Row],[metas]]</f>
        <v>Lograr 10 convenios con las Secretarías de Educación y/u organizaciones públicas o privadas de la re</v>
      </c>
      <c r="D225">
        <f>FORMULACIÓN!A37</f>
        <v>26</v>
      </c>
      <c r="E225">
        <f>COUNTIF($C$200:C225,C225)</f>
        <v>1</v>
      </c>
      <c r="F225" t="str">
        <f>'SEGUIMIENTO Y EVALUACIÓN'!AL37&amp;"GOAL"&amp;LEN(FORMULACIÓN!F37)</f>
        <v>L1M4P2GOAL211</v>
      </c>
      <c r="G225" t="str">
        <f t="shared" si="2"/>
        <v>L1</v>
      </c>
      <c r="H225" t="str">
        <f t="shared" si="1"/>
        <v>L1 - Formación Académica Integral</v>
      </c>
      <c r="I225" t="str">
        <f>IF(E225=1,INDEX(FORMULACIÓN!$F$12:$F$261,Lists!D225,1),"")</f>
        <v>Lograr 10 convenios con las Secretarías de Educación y/u organizaciones públicas o privadas de la región para beneficiar a la población diversa de la educación media y fomentar el acceso a la educación superior.</v>
      </c>
      <c r="J225" s="100">
        <f ca="1">IF(E225=1,SUMIF($F$200:$F$365,F225,'SEGUIMIENTO Y EVALUACIÓN'!$AV$12:$AV$261),"")</f>
        <v>1.2E-2</v>
      </c>
      <c r="K225" s="100">
        <f>IF(E225=1,SUMIF($F$200:$F$365,F225,FORMULACIÓN!$S$12:$S$261),"")</f>
        <v>0.03</v>
      </c>
      <c r="L225" s="100">
        <f ca="1">IFERROR(Tabla4[[#This Row],[res.pond.meta]]/Tabla4[[#This Row],[pond.]],"")</f>
        <v>0.4</v>
      </c>
    </row>
    <row r="226" spans="1:12">
      <c r="A226" t="str">
        <f>LEFT(FORMULACIÓN!F38,100)</f>
        <v>Implementar un centro de documentación de materiales educativos accesibles para la población diversa</v>
      </c>
      <c r="C226" t="str">
        <f>Tabla2[[#This Row],[metas]]</f>
        <v>Implementar un centro de documentación de materiales educativos accesibles para la población diversa</v>
      </c>
      <c r="D226">
        <f>FORMULACIÓN!A38</f>
        <v>27</v>
      </c>
      <c r="E226">
        <f>COUNTIF($C$200:C226,C226)</f>
        <v>1</v>
      </c>
      <c r="F226" t="str">
        <f>'SEGUIMIENTO Y EVALUACIÓN'!AL38&amp;"GOAL"&amp;LEN(FORMULACIÓN!F38)</f>
        <v>L1M4P3GOAL157</v>
      </c>
      <c r="G226" t="str">
        <f t="shared" si="2"/>
        <v>L1</v>
      </c>
      <c r="H226" t="str">
        <f t="shared" si="1"/>
        <v>L1 - Formación Académica Integral</v>
      </c>
      <c r="I226" t="str">
        <f>IF(E226=1,INDEX(FORMULACIÓN!$F$12:$F$261,Lists!D226,1),"")</f>
        <v>Implementar un centro de documentación de materiales educativos accesibles para la población diversa con 2000 productos catalogados por área de conocimiento.</v>
      </c>
      <c r="J226" s="100">
        <f ca="1">IF(E226=1,SUMIF($F$200:$F$365,F226,'SEGUIMIENTO Y EVALUACIÓN'!$AV$12:$AV$261),"")</f>
        <v>9.3750000000000014E-3</v>
      </c>
      <c r="K226" s="100">
        <f>IF(E226=1,SUMIF($F$200:$F$365,F226,FORMULACIÓN!$S$12:$S$261),"")</f>
        <v>0.05</v>
      </c>
      <c r="L226" s="100">
        <f ca="1">IFERROR(Tabla4[[#This Row],[res.pond.meta]]/Tabla4[[#This Row],[pond.]],"")</f>
        <v>0.18750000000000003</v>
      </c>
    </row>
    <row r="227" spans="1:12">
      <c r="A227" t="str">
        <f>LEFT(FORMULACIÓN!F39,100)</f>
        <v>Implementar un centro de documentación de materiales educativos accesibles para la población diversa</v>
      </c>
      <c r="C227" t="str">
        <f>Tabla2[[#This Row],[metas]]</f>
        <v>Implementar un centro de documentación de materiales educativos accesibles para la población diversa</v>
      </c>
      <c r="D227">
        <f>FORMULACIÓN!A39</f>
        <v>28</v>
      </c>
      <c r="E227">
        <f>COUNTIF($C$200:C227,C227)</f>
        <v>2</v>
      </c>
      <c r="F227" t="str">
        <f>'SEGUIMIENTO Y EVALUACIÓN'!AL39&amp;"GOAL"&amp;LEN(FORMULACIÓN!F39)</f>
        <v>L1M4P3GOAL157</v>
      </c>
      <c r="G227" t="str">
        <f t="shared" si="2"/>
        <v>L1</v>
      </c>
      <c r="H227" t="str">
        <f t="shared" si="1"/>
        <v>L1 - Formación Académica Integral</v>
      </c>
      <c r="I227" t="str">
        <f>IF(E227=1,INDEX(FORMULACIÓN!$F$12:$F$261,Lists!D227,1),"")</f>
        <v/>
      </c>
      <c r="J227" s="100" t="str">
        <f>IF(E227=1,SUMIF($F$200:$F$365,F227,'SEGUIMIENTO Y EVALUACIÓN'!$AV$12:$AV$261),"")</f>
        <v/>
      </c>
      <c r="K227" s="100" t="str">
        <f>IF(E227=1,SUMIF($F$200:$F$365,F227,FORMULACIÓN!$S$12:$S$261),"")</f>
        <v/>
      </c>
      <c r="L227" s="100" t="str">
        <f>IFERROR(Tabla4[[#This Row],[res.pond.meta]]/Tabla4[[#This Row],[pond.]],"")</f>
        <v/>
      </c>
    </row>
    <row r="228" spans="1:12">
      <c r="A228" t="str">
        <f>LEFT(FORMULACIÓN!F40,100)</f>
        <v>Lograr el 100% de los programas académicos resignificados con base en la Política de Educación inclu</v>
      </c>
      <c r="C228" t="str">
        <f>Tabla2[[#This Row],[metas]]</f>
        <v>Lograr el 100% de los programas académicos resignificados con base en la Política de Educación inclu</v>
      </c>
      <c r="D228">
        <f>FORMULACIÓN!A40</f>
        <v>29</v>
      </c>
      <c r="E228">
        <f>COUNTIF($C$200:C228,C228)</f>
        <v>1</v>
      </c>
      <c r="F228" t="str">
        <f>'SEGUIMIENTO Y EVALUACIÓN'!AL40&amp;"GOAL"&amp;LEN(FORMULACIÓN!F40)</f>
        <v>L1M4P4GOAL122</v>
      </c>
      <c r="G228" t="str">
        <f t="shared" si="2"/>
        <v>L1</v>
      </c>
      <c r="H228" t="str">
        <f t="shared" si="1"/>
        <v>L1 - Formación Académica Integral</v>
      </c>
      <c r="I228" t="str">
        <f>IF(E228=1,INDEX(FORMULACIÓN!$F$12:$F$261,Lists!D228,1),"")</f>
        <v xml:space="preserve">Lograr el 100% de los programas académicos resignificados con base en la Política de Educación inclusiva e intercultural. </v>
      </c>
      <c r="J228" s="100">
        <f ca="1">IF(E228=1,SUMIF($F$200:$F$365,F228,'SEGUIMIENTO Y EVALUACIÓN'!$AV$12:$AV$261),"")</f>
        <v>2.0000000000000001E-4</v>
      </c>
      <c r="K228" s="100">
        <f>IF(E228=1,SUMIF($F$200:$F$365,F228,FORMULACIÓN!$S$12:$S$261),"")</f>
        <v>0.01</v>
      </c>
      <c r="L228" s="100">
        <f ca="1">IFERROR(Tabla4[[#This Row],[res.pond.meta]]/Tabla4[[#This Row],[pond.]],"")</f>
        <v>0.02</v>
      </c>
    </row>
    <row r="229" spans="1:12">
      <c r="A229" t="str">
        <f>LEFT(FORMULACIÓN!F41,100)</f>
        <v>Diseñar e implementar un programa de capacitación en lenguas indígenas y/o lengua de señas colombian</v>
      </c>
      <c r="C229" t="str">
        <f>Tabla2[[#This Row],[metas]]</f>
        <v>Diseñar e implementar un programa de capacitación en lenguas indígenas y/o lengua de señas colombian</v>
      </c>
      <c r="D229">
        <f>FORMULACIÓN!A41</f>
        <v>30</v>
      </c>
      <c r="E229">
        <f>COUNTIF($C$200:C229,C229)</f>
        <v>1</v>
      </c>
      <c r="F229" t="str">
        <f>'SEGUIMIENTO Y EVALUACIÓN'!AL41&amp;"GOAL"&amp;LEN(FORMULACIÓN!F41)</f>
        <v>L1M4P4GOAL102</v>
      </c>
      <c r="G229" t="str">
        <f t="shared" si="2"/>
        <v>L1</v>
      </c>
      <c r="H229" t="str">
        <f t="shared" si="1"/>
        <v>L1 - Formación Académica Integral</v>
      </c>
      <c r="I229" t="str">
        <f>IF(E229=1,INDEX(FORMULACIÓN!$F$12:$F$261,Lists!D229,1),"")</f>
        <v>Diseñar e implementar un programa de capacitación en lenguas indígenas y/o lengua de señas colombiana.</v>
      </c>
      <c r="J229" s="100">
        <f ca="1">IF(E229=1,SUMIF($F$200:$F$365,F229,'SEGUIMIENTO Y EVALUACIÓN'!$AV$12:$AV$261),"")</f>
        <v>0</v>
      </c>
      <c r="K229" s="100">
        <f>IF(E229=1,SUMIF($F$200:$F$365,F229,FORMULACIÓN!$S$12:$S$261),"")</f>
        <v>0.01</v>
      </c>
      <c r="L229" s="100">
        <f ca="1">IFERROR(Tabla4[[#This Row],[res.pond.meta]]/Tabla4[[#This Row],[pond.]],"")</f>
        <v>0</v>
      </c>
    </row>
    <row r="230" spans="1:12">
      <c r="A230" t="str">
        <f>LEFT(FORMULACIÓN!F42,100)</f>
        <v>Diseñar e implementar el Sistema Interno Integrado para la excelencia institucional.</v>
      </c>
      <c r="C230" t="str">
        <f>Tabla2[[#This Row],[metas]]</f>
        <v>Diseñar e implementar el Sistema Interno Integrado para la excelencia institucional.</v>
      </c>
      <c r="D230">
        <f>FORMULACIÓN!A42</f>
        <v>31</v>
      </c>
      <c r="E230">
        <f>COUNTIF($C$200:C230,C230)</f>
        <v>1</v>
      </c>
      <c r="F230" t="str">
        <f>'SEGUIMIENTO Y EVALUACIÓN'!AL42&amp;"GOAL"&amp;LEN(FORMULACIÓN!F42)</f>
        <v>L1M5P1GOAL84</v>
      </c>
      <c r="G230" t="str">
        <f t="shared" si="2"/>
        <v>L1</v>
      </c>
      <c r="H230" t="str">
        <f t="shared" si="1"/>
        <v>L1 - Formación Académica Integral</v>
      </c>
      <c r="I230" t="str">
        <f>IF(E230=1,INDEX(FORMULACIÓN!$F$12:$F$261,Lists!D230,1),"")</f>
        <v>Diseñar e implementar el Sistema Interno Integrado para la excelencia institucional.</v>
      </c>
      <c r="J230" s="100">
        <f ca="1">IF(E230=1,SUMIF($F$200:$F$365,F230,'SEGUIMIENTO Y EVALUACIÓN'!$AV$12:$AV$261),"")</f>
        <v>2.6600000000000002E-2</v>
      </c>
      <c r="K230" s="100">
        <f>IF(E230=1,SUMIF($F$200:$F$365,F230,FORMULACIÓN!$S$12:$S$261),"")</f>
        <v>0.06</v>
      </c>
      <c r="L230" s="100">
        <f ca="1">IFERROR(Tabla4[[#This Row],[res.pond.meta]]/Tabla4[[#This Row],[pond.]],"")</f>
        <v>0.44333333333333341</v>
      </c>
    </row>
    <row r="231" spans="1:12">
      <c r="A231" t="str">
        <f>LEFT(FORMULACIÓN!F43,100)</f>
        <v>Diseñar e implementar el Sistema Interno Integrado para la excelencia institucional.</v>
      </c>
      <c r="C231" t="str">
        <f>Tabla2[[#This Row],[metas]]</f>
        <v>Diseñar e implementar el Sistema Interno Integrado para la excelencia institucional.</v>
      </c>
      <c r="D231">
        <f>FORMULACIÓN!A43</f>
        <v>32</v>
      </c>
      <c r="E231">
        <f>COUNTIF($C$200:C231,C231)</f>
        <v>2</v>
      </c>
      <c r="F231" t="str">
        <f>'SEGUIMIENTO Y EVALUACIÓN'!AL43&amp;"GOAL"&amp;LEN(FORMULACIÓN!F43)</f>
        <v>L1M5P1GOAL84</v>
      </c>
      <c r="G231" t="str">
        <f t="shared" si="2"/>
        <v>L1</v>
      </c>
      <c r="H231" t="str">
        <f t="shared" si="1"/>
        <v>L1 - Formación Académica Integral</v>
      </c>
      <c r="I231" t="str">
        <f>IF(E231=1,INDEX(FORMULACIÓN!$F$12:$F$261,Lists!D231,1),"")</f>
        <v/>
      </c>
      <c r="J231" s="100" t="str">
        <f>IF(E231=1,SUMIF($F$200:$F$365,F231,'SEGUIMIENTO Y EVALUACIÓN'!$AV$12:$AV$261),"")</f>
        <v/>
      </c>
      <c r="K231" s="100" t="str">
        <f>IF(E231=1,SUMIF($F$200:$F$365,F231,FORMULACIÓN!$S$12:$S$261),"")</f>
        <v/>
      </c>
      <c r="L231" s="100" t="str">
        <f>IFERROR(Tabla4[[#This Row],[res.pond.meta]]/Tabla4[[#This Row],[pond.]],"")</f>
        <v/>
      </c>
    </row>
    <row r="232" spans="1:12">
      <c r="A232" t="str">
        <f>LEFT(FORMULACIÓN!F44,100)</f>
        <v>Diseñar e implementar el Sistema Interno Integrado para la excelencia institucional.</v>
      </c>
      <c r="C232" t="str">
        <f>Tabla2[[#This Row],[metas]]</f>
        <v>Diseñar e implementar el Sistema Interno Integrado para la excelencia institucional.</v>
      </c>
      <c r="D232">
        <f>FORMULACIÓN!A44</f>
        <v>33</v>
      </c>
      <c r="E232">
        <f>COUNTIF($C$200:C232,C232)</f>
        <v>3</v>
      </c>
      <c r="F232" t="str">
        <f>'SEGUIMIENTO Y EVALUACIÓN'!AL44&amp;"GOAL"&amp;LEN(FORMULACIÓN!F44)</f>
        <v>L1M5P1GOAL84</v>
      </c>
      <c r="G232" t="str">
        <f t="shared" si="2"/>
        <v>L1</v>
      </c>
      <c r="H232" t="str">
        <f t="shared" ref="H232:H263" si="3">IFERROR(INDEX(lin,VLOOKUP(G232,$E$191:$F$195,2,FALSE),1),"")</f>
        <v>L1 - Formación Académica Integral</v>
      </c>
      <c r="I232" t="str">
        <f>IF(E232=1,INDEX(FORMULACIÓN!$F$12:$F$261,Lists!D232,1),"")</f>
        <v/>
      </c>
      <c r="J232" s="100" t="str">
        <f>IF(E232=1,SUMIF($F$200:$F$365,F232,'SEGUIMIENTO Y EVALUACIÓN'!$AV$12:$AV$261),"")</f>
        <v/>
      </c>
      <c r="K232" s="100" t="str">
        <f>IF(E232=1,SUMIF($F$200:$F$365,F232,FORMULACIÓN!$S$12:$S$261),"")</f>
        <v/>
      </c>
      <c r="L232" s="100" t="str">
        <f>IFERROR(Tabla4[[#This Row],[res.pond.meta]]/Tabla4[[#This Row],[pond.]],"")</f>
        <v/>
      </c>
    </row>
    <row r="233" spans="1:12">
      <c r="A233" t="str">
        <f>LEFT(FORMULACIÓN!F45,100)</f>
        <v>Lograr el reconocimiento nacional e internacional de los procesos misionales y de apoyo a la gestión</v>
      </c>
      <c r="C233" t="str">
        <f>Tabla2[[#This Row],[metas]]</f>
        <v>Lograr el reconocimiento nacional e internacional de los procesos misionales y de apoyo a la gestión</v>
      </c>
      <c r="D233">
        <f>FORMULACIÓN!A45</f>
        <v>34</v>
      </c>
      <c r="E233">
        <f>COUNTIF($C$200:C233,C233)</f>
        <v>1</v>
      </c>
      <c r="F233" t="str">
        <f>'SEGUIMIENTO Y EVALUACIÓN'!AL45&amp;"GOAL"&amp;LEN(FORMULACIÓN!F45)</f>
        <v>L1M5P1GOAL252</v>
      </c>
      <c r="G233" t="str">
        <f t="shared" si="2"/>
        <v>L1</v>
      </c>
      <c r="H233" t="str">
        <f t="shared" si="3"/>
        <v>L1 - Formación Académica Integral</v>
      </c>
      <c r="I233" t="str">
        <f>IF(E233=1,INDEX(FORMULACIÓN!$F$12:$F$261,Lists!D233,1),"")</f>
        <v>Lograr el reconocimiento nacional e internacional de los procesos misionales y de apoyo a la gestión, con el sostenimiento de la acreditación institucional, el 70% de programas académicos acreditados a nivel nacional y al menos 5 a nivel internacional.</v>
      </c>
      <c r="J233" s="100">
        <f ca="1">IF(E233=1,SUMIF($F$200:$F$365,F233,'SEGUIMIENTO Y EVALUACIÓN'!$AV$12:$AV$261),"")</f>
        <v>3.211428571428572E-2</v>
      </c>
      <c r="K233" s="100">
        <f>IF(E233=1,SUMIF($F$200:$F$365,F233,FORMULACIÓN!$S$12:$S$261),"")</f>
        <v>0.06</v>
      </c>
      <c r="L233" s="100">
        <f ca="1">IFERROR(Tabla4[[#This Row],[res.pond.meta]]/Tabla4[[#This Row],[pond.]],"")</f>
        <v>0.5352380952380954</v>
      </c>
    </row>
    <row r="234" spans="1:12">
      <c r="A234" t="str">
        <f>LEFT(FORMULACIÓN!F46,100)</f>
        <v>Lograr el reconocimiento nacional e internacional de los procesos misionales y de apoyo a la gestión</v>
      </c>
      <c r="C234" t="str">
        <f>Tabla2[[#This Row],[metas]]</f>
        <v>Lograr el reconocimiento nacional e internacional de los procesos misionales y de apoyo a la gestión</v>
      </c>
      <c r="D234">
        <f>FORMULACIÓN!A46</f>
        <v>35</v>
      </c>
      <c r="E234">
        <f>COUNTIF($C$200:C234,C234)</f>
        <v>2</v>
      </c>
      <c r="F234" t="str">
        <f>'SEGUIMIENTO Y EVALUACIÓN'!AL46&amp;"GOAL"&amp;LEN(FORMULACIÓN!F46)</f>
        <v>L1M5P1GOAL252</v>
      </c>
      <c r="G234" t="str">
        <f t="shared" si="2"/>
        <v>L1</v>
      </c>
      <c r="H234" t="str">
        <f t="shared" si="3"/>
        <v>L1 - Formación Académica Integral</v>
      </c>
      <c r="I234" t="str">
        <f>IF(E234=1,INDEX(FORMULACIÓN!$F$12:$F$261,Lists!D234,1),"")</f>
        <v/>
      </c>
      <c r="J234" s="100" t="str">
        <f>IF(E234=1,SUMIF($F$200:$F$365,F234,'SEGUIMIENTO Y EVALUACIÓN'!$AV$12:$AV$261),"")</f>
        <v/>
      </c>
      <c r="K234" s="100" t="str">
        <f>IF(E234=1,SUMIF($F$200:$F$365,F234,FORMULACIÓN!$S$12:$S$261),"")</f>
        <v/>
      </c>
      <c r="L234" s="100" t="str">
        <f>IFERROR(Tabla4[[#This Row],[res.pond.meta]]/Tabla4[[#This Row],[pond.]],"")</f>
        <v/>
      </c>
    </row>
    <row r="235" spans="1:12">
      <c r="A235" t="str">
        <f>LEFT(FORMULACIÓN!F47,100)</f>
        <v>Lograr el reconocimiento nacional e internacional de los procesos misionales y de apoyo a la gestión</v>
      </c>
      <c r="C235" t="str">
        <f>Tabla2[[#This Row],[metas]]</f>
        <v>Lograr el reconocimiento nacional e internacional de los procesos misionales y de apoyo a la gestión</v>
      </c>
      <c r="D235">
        <f>FORMULACIÓN!A47</f>
        <v>36</v>
      </c>
      <c r="E235">
        <f>COUNTIF($C$200:C235,C235)</f>
        <v>3</v>
      </c>
      <c r="F235" t="str">
        <f>'SEGUIMIENTO Y EVALUACIÓN'!AL47&amp;"GOAL"&amp;LEN(FORMULACIÓN!F47)</f>
        <v>L1M5P1GOAL252</v>
      </c>
      <c r="G235" t="str">
        <f t="shared" si="2"/>
        <v>L1</v>
      </c>
      <c r="H235" t="str">
        <f t="shared" si="3"/>
        <v>L1 - Formación Académica Integral</v>
      </c>
      <c r="I235" t="str">
        <f>IF(E235=1,INDEX(FORMULACIÓN!$F$12:$F$261,Lists!D235,1),"")</f>
        <v/>
      </c>
      <c r="J235" s="100" t="str">
        <f>IF(E235=1,SUMIF($F$200:$F$365,F235,'SEGUIMIENTO Y EVALUACIÓN'!$AV$12:$AV$261),"")</f>
        <v/>
      </c>
      <c r="K235" s="100" t="str">
        <f>IF(E235=1,SUMIF($F$200:$F$365,F235,FORMULACIÓN!$S$12:$S$261),"")</f>
        <v/>
      </c>
      <c r="L235" s="100" t="str">
        <f>IFERROR(Tabla4[[#This Row],[res.pond.meta]]/Tabla4[[#This Row],[pond.]],"")</f>
        <v/>
      </c>
    </row>
    <row r="236" spans="1:12">
      <c r="A236" t="str">
        <f>LEFT(FORMULACIÓN!F48,100)</f>
        <v>Fortalecer la oferta académica pertinente con 55 programas de pregrado, 25 especializaciones, 30 mae</v>
      </c>
      <c r="C236" t="str">
        <f>Tabla2[[#This Row],[metas]]</f>
        <v>Fortalecer la oferta académica pertinente con 55 programas de pregrado, 25 especializaciones, 30 mae</v>
      </c>
      <c r="D236">
        <f>FORMULACIÓN!A48</f>
        <v>37</v>
      </c>
      <c r="E236">
        <f>COUNTIF($C$200:C236,C236)</f>
        <v>1</v>
      </c>
      <c r="F236" t="str">
        <f>'SEGUIMIENTO Y EVALUACIÓN'!AL48&amp;"GOAL"&amp;LEN(FORMULACIÓN!F48)</f>
        <v>L1M5P2GOAL173</v>
      </c>
      <c r="G236" t="str">
        <f t="shared" si="2"/>
        <v>L1</v>
      </c>
      <c r="H236" t="str">
        <f t="shared" si="3"/>
        <v>L1 - Formación Académica Integral</v>
      </c>
      <c r="I236" t="str">
        <f>IF(E236=1,INDEX(FORMULACIÓN!$F$12:$F$261,Lists!D236,1),"")</f>
        <v>Fortalecer la oferta académica pertinente con 55 programas de pregrado, 25 especializaciones, 30 maestrías, 10 doctorados, de los cuales 15 tengan modalidad virtual o mixta.</v>
      </c>
      <c r="J236" s="100">
        <f ca="1">IF(E236=1,SUMIF($F$200:$F$365,F236,'SEGUIMIENTO Y EVALUACIÓN'!$AV$12:$AV$261),"")</f>
        <v>3.0539393939393939E-2</v>
      </c>
      <c r="K236" s="100">
        <f>IF(E236=1,SUMIF($F$200:$F$365,F236,FORMULACIÓN!$S$12:$S$261),"")</f>
        <v>0.05</v>
      </c>
      <c r="L236" s="100">
        <f ca="1">IFERROR(Tabla4[[#This Row],[res.pond.meta]]/Tabla4[[#This Row],[pond.]],"")</f>
        <v>0.61078787878787877</v>
      </c>
    </row>
    <row r="237" spans="1:12">
      <c r="A237" t="str">
        <f>LEFT(FORMULACIÓN!F49,100)</f>
        <v>Fortalecer la oferta académica pertinente con 55 programas de pregrado, 25 especializaciones, 30 mae</v>
      </c>
      <c r="C237" t="str">
        <f>Tabla2[[#This Row],[metas]]</f>
        <v>Fortalecer la oferta académica pertinente con 55 programas de pregrado, 25 especializaciones, 30 mae</v>
      </c>
      <c r="D237">
        <f>FORMULACIÓN!A49</f>
        <v>38</v>
      </c>
      <c r="E237">
        <f>COUNTIF($C$200:C237,C237)</f>
        <v>2</v>
      </c>
      <c r="F237" t="str">
        <f>'SEGUIMIENTO Y EVALUACIÓN'!AL49&amp;"GOAL"&amp;LEN(FORMULACIÓN!F49)</f>
        <v>L1M5P2GOAL173</v>
      </c>
      <c r="G237" t="str">
        <f t="shared" si="2"/>
        <v>L1</v>
      </c>
      <c r="H237" t="str">
        <f t="shared" si="3"/>
        <v>L1 - Formación Académica Integral</v>
      </c>
      <c r="I237" t="str">
        <f>IF(E237=1,INDEX(FORMULACIÓN!$F$12:$F$261,Lists!D237,1),"")</f>
        <v/>
      </c>
      <c r="J237" s="100" t="str">
        <f>IF(E237=1,SUMIF($F$200:$F$365,F237,'SEGUIMIENTO Y EVALUACIÓN'!$AV$12:$AV$261),"")</f>
        <v/>
      </c>
      <c r="K237" s="100" t="str">
        <f>IF(E237=1,SUMIF($F$200:$F$365,F237,FORMULACIÓN!$S$12:$S$261),"")</f>
        <v/>
      </c>
      <c r="L237" s="100" t="str">
        <f>IFERROR(Tabla4[[#This Row],[res.pond.meta]]/Tabla4[[#This Row],[pond.]],"")</f>
        <v/>
      </c>
    </row>
    <row r="238" spans="1:12">
      <c r="A238" t="str">
        <f>LEFT(FORMULACIÓN!F50,100)</f>
        <v>Fortalecer la oferta académica pertinente con 55 programas de pregrado, 25 especializaciones, 30 mae</v>
      </c>
      <c r="C238" t="str">
        <f>Tabla2[[#This Row],[metas]]</f>
        <v>Fortalecer la oferta académica pertinente con 55 programas de pregrado, 25 especializaciones, 30 mae</v>
      </c>
      <c r="D238">
        <f>FORMULACIÓN!A50</f>
        <v>39</v>
      </c>
      <c r="E238">
        <f>COUNTIF($C$200:C238,C238)</f>
        <v>3</v>
      </c>
      <c r="F238" t="str">
        <f>'SEGUIMIENTO Y EVALUACIÓN'!AL50&amp;"GOAL"&amp;LEN(FORMULACIÓN!F50)</f>
        <v>L1M5P2GOAL173</v>
      </c>
      <c r="G238" t="str">
        <f t="shared" si="2"/>
        <v>L1</v>
      </c>
      <c r="H238" t="str">
        <f t="shared" si="3"/>
        <v>L1 - Formación Académica Integral</v>
      </c>
      <c r="I238" t="str">
        <f>IF(E238=1,INDEX(FORMULACIÓN!$F$12:$F$261,Lists!D238,1),"")</f>
        <v/>
      </c>
      <c r="J238" s="100" t="str">
        <f>IF(E238=1,SUMIF($F$200:$F$365,F238,'SEGUIMIENTO Y EVALUACIÓN'!$AV$12:$AV$261),"")</f>
        <v/>
      </c>
      <c r="K238" s="100" t="str">
        <f>IF(E238=1,SUMIF($F$200:$F$365,F238,FORMULACIÓN!$S$12:$S$261),"")</f>
        <v/>
      </c>
      <c r="L238" s="100" t="str">
        <f>IFERROR(Tabla4[[#This Row],[res.pond.meta]]/Tabla4[[#This Row],[pond.]],"")</f>
        <v/>
      </c>
    </row>
    <row r="239" spans="1:12">
      <c r="A239" t="str">
        <f>LEFT(FORMULACIÓN!F51,100)</f>
        <v>Fortalecer la oferta académica pertinente con 55 programas de pregrado, 25 especializaciones, 30 mae</v>
      </c>
      <c r="C239" t="str">
        <f>Tabla2[[#This Row],[metas]]</f>
        <v>Fortalecer la oferta académica pertinente con 55 programas de pregrado, 25 especializaciones, 30 mae</v>
      </c>
      <c r="D239">
        <f>FORMULACIÓN!A51</f>
        <v>40</v>
      </c>
      <c r="E239">
        <f>COUNTIF($C$200:C239,C239)</f>
        <v>4</v>
      </c>
      <c r="F239" t="str">
        <f>'SEGUIMIENTO Y EVALUACIÓN'!AL51&amp;"GOAL"&amp;LEN(FORMULACIÓN!F51)</f>
        <v>L1M5P2GOAL173</v>
      </c>
      <c r="G239" t="str">
        <f t="shared" si="2"/>
        <v>L1</v>
      </c>
      <c r="H239" t="str">
        <f t="shared" si="3"/>
        <v>L1 - Formación Académica Integral</v>
      </c>
      <c r="I239" t="str">
        <f>IF(E239=1,INDEX(FORMULACIÓN!$F$12:$F$261,Lists!D239,1),"")</f>
        <v/>
      </c>
      <c r="J239" s="100" t="str">
        <f>IF(E239=1,SUMIF($F$200:$F$365,F239,'SEGUIMIENTO Y EVALUACIÓN'!$AV$12:$AV$261),"")</f>
        <v/>
      </c>
      <c r="K239" s="100" t="str">
        <f>IF(E239=1,SUMIF($F$200:$F$365,F239,FORMULACIÓN!$S$12:$S$261),"")</f>
        <v/>
      </c>
      <c r="L239" s="100" t="str">
        <f>IFERROR(Tabla4[[#This Row],[res.pond.meta]]/Tabla4[[#This Row],[pond.]],"")</f>
        <v/>
      </c>
    </row>
    <row r="240" spans="1:12">
      <c r="A240" t="str">
        <f>LEFT(FORMULACIÓN!F52,100)</f>
        <v>Fortalecer la oferta académica pertinente con 55 programas de pregrado, 25 especializaciones, 30 mae</v>
      </c>
      <c r="C240" t="str">
        <f>Tabla2[[#This Row],[metas]]</f>
        <v>Fortalecer la oferta académica pertinente con 55 programas de pregrado, 25 especializaciones, 30 mae</v>
      </c>
      <c r="D240">
        <f>FORMULACIÓN!A52</f>
        <v>41</v>
      </c>
      <c r="E240">
        <f>COUNTIF($C$200:C240,C240)</f>
        <v>5</v>
      </c>
      <c r="F240" t="str">
        <f>'SEGUIMIENTO Y EVALUACIÓN'!AL52&amp;"GOAL"&amp;LEN(FORMULACIÓN!F52)</f>
        <v>L1M5P2GOAL173</v>
      </c>
      <c r="G240" t="str">
        <f t="shared" si="2"/>
        <v>L1</v>
      </c>
      <c r="H240" t="str">
        <f t="shared" si="3"/>
        <v>L1 - Formación Académica Integral</v>
      </c>
      <c r="I240" t="str">
        <f>IF(E240=1,INDEX(FORMULACIÓN!$F$12:$F$261,Lists!D240,1),"")</f>
        <v/>
      </c>
      <c r="J240" s="100" t="str">
        <f>IF(E240=1,SUMIF($F$200:$F$365,F240,'SEGUIMIENTO Y EVALUACIÓN'!$AV$12:$AV$261),"")</f>
        <v/>
      </c>
      <c r="K240" s="100" t="str">
        <f>IF(E240=1,SUMIF($F$200:$F$365,F240,FORMULACIÓN!$S$12:$S$261),"")</f>
        <v/>
      </c>
      <c r="L240" s="100" t="str">
        <f>IFERROR(Tabla4[[#This Row],[res.pond.meta]]/Tabla4[[#This Row],[pond.]],"")</f>
        <v/>
      </c>
    </row>
    <row r="241" spans="1:12">
      <c r="A241" t="str">
        <f>LEFT(FORMULACIÓN!F53,100)</f>
        <v xml:space="preserve">Gestionar la creación del Comité de Pertinencia Académica, que engrane la gestión de las Facultades </v>
      </c>
      <c r="C241" t="str">
        <f>Tabla2[[#This Row],[metas]]</f>
        <v xml:space="preserve">Gestionar la creación del Comité de Pertinencia Académica, que engrane la gestión de las Facultades </v>
      </c>
      <c r="D241">
        <f>FORMULACIÓN!A53</f>
        <v>42</v>
      </c>
      <c r="E241">
        <f>COUNTIF($C$200:C241,C241)</f>
        <v>1</v>
      </c>
      <c r="F241" t="str">
        <f>'SEGUIMIENTO Y EVALUACIÓN'!AL53&amp;"GOAL"&amp;LEN(FORMULACIÓN!F53)</f>
        <v>L1M5P2GOAL351</v>
      </c>
      <c r="G241" t="str">
        <f t="shared" si="2"/>
        <v>L1</v>
      </c>
      <c r="H241" t="str">
        <f t="shared" si="3"/>
        <v>L1 - Formación Académica Integral</v>
      </c>
      <c r="I241" t="str">
        <f>IF(E241=1,INDEX(FORMULACIÓN!$F$12:$F$261,Lists!D241,1),"")</f>
        <v>Gestionar la creación del Comité de Pertinencia Académica, que engrane la gestión de las Facultades con el Observatorio Regional de Mercado de Trabajo ORMET, la Vicerrectoría de Docencia, el Depto. de Extensión y Proyección Social, la Oficina de Egresados, la Oficina de Planeación, entre otras, para el análisis de apertura de nueva oferta académica.</v>
      </c>
      <c r="J241" s="100">
        <f ca="1">IF(E241=1,SUMIF($F$200:$F$365,F241,'SEGUIMIENTO Y EVALUACIÓN'!$AV$12:$AV$261),"")</f>
        <v>0.01</v>
      </c>
      <c r="K241" s="100">
        <f>IF(E241=1,SUMIF($F$200:$F$365,F241,FORMULACIÓN!$S$12:$S$261),"")</f>
        <v>0.01</v>
      </c>
      <c r="L241" s="100">
        <f ca="1">IFERROR(Tabla4[[#This Row],[res.pond.meta]]/Tabla4[[#This Row],[pond.]],"")</f>
        <v>1</v>
      </c>
    </row>
    <row r="242" spans="1:12">
      <c r="A242" t="str">
        <f>LEFT(FORMULACIÓN!F54,100)</f>
        <v>Diseñar e implementar los Lineamientos curriculares asociados a la modernización curricular frente a</v>
      </c>
      <c r="C242" t="str">
        <f>Tabla2[[#This Row],[metas]]</f>
        <v>Diseñar e implementar los Lineamientos curriculares asociados a la modernización curricular frente a</v>
      </c>
      <c r="D242">
        <f>FORMULACIÓN!A54</f>
        <v>43</v>
      </c>
      <c r="E242">
        <f>COUNTIF($C$200:C242,C242)</f>
        <v>1</v>
      </c>
      <c r="F242" t="str">
        <f>'SEGUIMIENTO Y EVALUACIÓN'!AL54&amp;"GOAL"&amp;LEN(FORMULACIÓN!F54)</f>
        <v>L1M5P3GOAL162</v>
      </c>
      <c r="G242" t="str">
        <f t="shared" si="2"/>
        <v>L1</v>
      </c>
      <c r="H242" t="str">
        <f t="shared" si="3"/>
        <v>L1 - Formación Académica Integral</v>
      </c>
      <c r="I242" t="str">
        <f>IF(E242=1,INDEX(FORMULACIÓN!$F$12:$F$261,Lists!D242,1),"")</f>
        <v>Diseñar e implementar los Lineamientos curriculares asociados a la modernización curricular frente al Enfoque Pedagógico Emergente, Integrador e Interdisciplinar.</v>
      </c>
      <c r="J242" s="100">
        <f ca="1">IF(E242=1,SUMIF($F$200:$F$365,F242,'SEGUIMIENTO Y EVALUACIÓN'!$AV$12:$AV$261),"")</f>
        <v>0</v>
      </c>
      <c r="K242" s="100">
        <f>IF(E242=1,SUMIF($F$200:$F$365,F242,FORMULACIÓN!$S$12:$S$261),"")</f>
        <v>7.6923076923076927E-3</v>
      </c>
      <c r="L242" s="100">
        <f ca="1">IFERROR(Tabla4[[#This Row],[res.pond.meta]]/Tabla4[[#This Row],[pond.]],"")</f>
        <v>0</v>
      </c>
    </row>
    <row r="243" spans="1:12">
      <c r="A243" t="str">
        <f>LEFT(FORMULACIÓN!F55,100)</f>
        <v>Diseñar e implementar los Lineamientos curriculares asociados a la modernización curricular frente a</v>
      </c>
      <c r="C243" t="str">
        <f>Tabla2[[#This Row],[metas]]</f>
        <v>Diseñar e implementar los Lineamientos curriculares asociados a la modernización curricular frente a</v>
      </c>
      <c r="D243">
        <f>FORMULACIÓN!A55</f>
        <v>44</v>
      </c>
      <c r="E243">
        <f>COUNTIF($C$200:C243,C243)</f>
        <v>2</v>
      </c>
      <c r="F243" t="str">
        <f>'SEGUIMIENTO Y EVALUACIÓN'!AL55&amp;"GOAL"&amp;LEN(FORMULACIÓN!F55)</f>
        <v>L1M5P3GOAL162</v>
      </c>
      <c r="G243" t="str">
        <f t="shared" si="2"/>
        <v>L1</v>
      </c>
      <c r="H243" t="str">
        <f t="shared" si="3"/>
        <v>L1 - Formación Académica Integral</v>
      </c>
      <c r="I243" t="str">
        <f>IF(E243=1,INDEX(FORMULACIÓN!$F$12:$F$261,Lists!D243,1),"")</f>
        <v/>
      </c>
      <c r="J243" s="100" t="str">
        <f>IF(E243=1,SUMIF($F$200:$F$365,F243,'SEGUIMIENTO Y EVALUACIÓN'!$AV$12:$AV$261),"")</f>
        <v/>
      </c>
      <c r="K243" s="100" t="str">
        <f>IF(E243=1,SUMIF($F$200:$F$365,F243,FORMULACIÓN!$S$12:$S$261),"")</f>
        <v/>
      </c>
      <c r="L243" s="100" t="str">
        <f>IFERROR(Tabla4[[#This Row],[res.pond.meta]]/Tabla4[[#This Row],[pond.]],"")</f>
        <v/>
      </c>
    </row>
    <row r="244" spans="1:12">
      <c r="A244" t="str">
        <f>LEFT(FORMULACIÓN!F56,100)</f>
        <v xml:space="preserve">Formación profesional con enfoque hacia la responsabilidad social universitaria (RSU) en el 100% de </v>
      </c>
      <c r="C244" t="str">
        <f>Tabla2[[#This Row],[metas]]</f>
        <v xml:space="preserve">Formación profesional con enfoque hacia la responsabilidad social universitaria (RSU) en el 100% de </v>
      </c>
      <c r="D244">
        <f>FORMULACIÓN!A56</f>
        <v>45</v>
      </c>
      <c r="E244">
        <f>COUNTIF($C$200:C244,C244)</f>
        <v>1</v>
      </c>
      <c r="F244" t="str">
        <f>'SEGUIMIENTO Y EVALUACIÓN'!AL56&amp;"GOAL"&amp;LEN(FORMULACIÓN!F56)</f>
        <v>L1M5P3GOAL125</v>
      </c>
      <c r="G244" t="str">
        <f t="shared" si="2"/>
        <v>L1</v>
      </c>
      <c r="H244" t="str">
        <f t="shared" si="3"/>
        <v>L1 - Formación Académica Integral</v>
      </c>
      <c r="I244" t="str">
        <f>IF(E244=1,INDEX(FORMULACIÓN!$F$12:$F$261,Lists!D244,1),"")</f>
        <v>Formación profesional con enfoque hacia la responsabilidad social universitaria (RSU) en el 100% de los programas académicos.</v>
      </c>
      <c r="J244" s="100">
        <f ca="1">IF(E244=1,SUMIF($F$200:$F$365,F244,'SEGUIMIENTO Y EVALUACIÓN'!$AV$12:$AV$261),"")</f>
        <v>4.230769230769231E-4</v>
      </c>
      <c r="K244" s="100">
        <f>IF(E244=1,SUMIF($F$200:$F$365,F244,FORMULACIÓN!$S$12:$S$261),"")</f>
        <v>7.6923076923076927E-3</v>
      </c>
      <c r="L244" s="100">
        <f ca="1">IFERROR(Tabla4[[#This Row],[res.pond.meta]]/Tabla4[[#This Row],[pond.]],"")</f>
        <v>5.5E-2</v>
      </c>
    </row>
    <row r="245" spans="1:12">
      <c r="A245" t="str">
        <f>LEFT(FORMULACIÓN!F57,100)</f>
        <v xml:space="preserve">Formación profesional con enfoque hacia la responsabilidad social universitaria (RSU) en el 100% de </v>
      </c>
      <c r="C245" t="str">
        <f>Tabla2[[#This Row],[metas]]</f>
        <v xml:space="preserve">Formación profesional con enfoque hacia la responsabilidad social universitaria (RSU) en el 100% de </v>
      </c>
      <c r="D245">
        <f>FORMULACIÓN!A57</f>
        <v>46</v>
      </c>
      <c r="E245">
        <f>COUNTIF($C$200:C245,C245)</f>
        <v>2</v>
      </c>
      <c r="F245" t="str">
        <f>'SEGUIMIENTO Y EVALUACIÓN'!AL57&amp;"GOAL"&amp;LEN(FORMULACIÓN!F57)</f>
        <v>L1M5P3GOAL125</v>
      </c>
      <c r="G245" t="str">
        <f t="shared" si="2"/>
        <v>L1</v>
      </c>
      <c r="H245" t="str">
        <f t="shared" si="3"/>
        <v>L1 - Formación Académica Integral</v>
      </c>
      <c r="I245" t="str">
        <f>IF(E245=1,INDEX(FORMULACIÓN!$F$12:$F$261,Lists!D245,1),"")</f>
        <v/>
      </c>
      <c r="J245" s="100" t="str">
        <f>IF(E245=1,SUMIF($F$200:$F$365,F245,'SEGUIMIENTO Y EVALUACIÓN'!$AV$12:$AV$261),"")</f>
        <v/>
      </c>
      <c r="K245" s="100" t="str">
        <f>IF(E245=1,SUMIF($F$200:$F$365,F245,FORMULACIÓN!$S$12:$S$261),"")</f>
        <v/>
      </c>
      <c r="L245" s="100" t="str">
        <f>IFERROR(Tabla4[[#This Row],[res.pond.meta]]/Tabla4[[#This Row],[pond.]],"")</f>
        <v/>
      </c>
    </row>
    <row r="246" spans="1:12">
      <c r="A246" t="str">
        <f>LEFT(FORMULACIÓN!F58,100)</f>
        <v xml:space="preserve">Creación de un Centro de apoyo y gestión a la enseñanza aprendizaje. </v>
      </c>
      <c r="C246" t="str">
        <f>Tabla2[[#This Row],[metas]]</f>
        <v xml:space="preserve">Creación de un Centro de apoyo y gestión a la enseñanza aprendizaje. </v>
      </c>
      <c r="D246">
        <f>FORMULACIÓN!A58</f>
        <v>47</v>
      </c>
      <c r="E246">
        <f>COUNTIF($C$200:C246,C246)</f>
        <v>1</v>
      </c>
      <c r="F246" t="str">
        <f>'SEGUIMIENTO Y EVALUACIÓN'!AL58&amp;"GOAL"&amp;LEN(FORMULACIÓN!F58)</f>
        <v>L1M5P3GOAL69</v>
      </c>
      <c r="G246" t="str">
        <f t="shared" si="2"/>
        <v>L1</v>
      </c>
      <c r="H246" t="str">
        <f t="shared" si="3"/>
        <v>L1 - Formación Académica Integral</v>
      </c>
      <c r="I246" t="str">
        <f>IF(E246=1,INDEX(FORMULACIÓN!$F$12:$F$261,Lists!D246,1),"")</f>
        <v xml:space="preserve">Creación de un Centro de apoyo y gestión a la enseñanza aprendizaje. </v>
      </c>
      <c r="J246" s="100">
        <f ca="1">IF(E246=1,SUMIF($F$200:$F$365,F246,'SEGUIMIENTO Y EVALUACIÓN'!$AV$12:$AV$261),"")</f>
        <v>0</v>
      </c>
      <c r="K246" s="100">
        <f>IF(E246=1,SUMIF($F$200:$F$365,F246,FORMULACIÓN!$S$12:$S$261),"")</f>
        <v>3.8461538461538464E-3</v>
      </c>
      <c r="L246" s="100">
        <f ca="1">IFERROR(Tabla4[[#This Row],[res.pond.meta]]/Tabla4[[#This Row],[pond.]],"")</f>
        <v>0</v>
      </c>
    </row>
    <row r="247" spans="1:12">
      <c r="A247" t="str">
        <f>LEFT(FORMULACIÓN!F59,100)</f>
        <v>Incrementar en un 20% los niveles de desempeño globales en Pruebas Saber Pro de los programas académ</v>
      </c>
      <c r="C247" t="str">
        <f>Tabla2[[#This Row],[metas]]</f>
        <v>Incrementar en un 20% los niveles de desempeño globales en Pruebas Saber Pro de los programas académ</v>
      </c>
      <c r="D247">
        <f>FORMULACIÓN!A59</f>
        <v>48</v>
      </c>
      <c r="E247">
        <f>COUNTIF($C$200:C247,C247)</f>
        <v>1</v>
      </c>
      <c r="F247" t="str">
        <f>'SEGUIMIENTO Y EVALUACIÓN'!AL59&amp;"GOAL"&amp;LEN(FORMULACIÓN!F59)</f>
        <v>L1M5P3GOAL150</v>
      </c>
      <c r="G247" t="str">
        <f t="shared" si="2"/>
        <v>L1</v>
      </c>
      <c r="H247" t="str">
        <f t="shared" si="3"/>
        <v>L1 - Formación Académica Integral</v>
      </c>
      <c r="I247" t="str">
        <f>IF(E247=1,INDEX(FORMULACIÓN!$F$12:$F$261,Lists!D247,1),"")</f>
        <v xml:space="preserve">Incrementar en un 20% los niveles de desempeño globales en Pruebas Saber Pro de los programas académicos y 50 puntos en el puntaje de la institución. </v>
      </c>
      <c r="J247" s="100">
        <f ca="1">IF(E247=1,SUMIF($F$200:$F$365,F247,'SEGUIMIENTO Y EVALUACIÓN'!$AV$12:$AV$261),"")</f>
        <v>6.2095392231530846E-3</v>
      </c>
      <c r="K247" s="100">
        <f>IF(E247=1,SUMIF($F$200:$F$365,F247,FORMULACIÓN!$S$12:$S$261),"")</f>
        <v>7.6923076923076927E-3</v>
      </c>
      <c r="L247" s="100">
        <f ca="1">IFERROR(Tabla4[[#This Row],[res.pond.meta]]/Tabla4[[#This Row],[pond.]],"")</f>
        <v>0.8072400990099009</v>
      </c>
    </row>
    <row r="248" spans="1:12">
      <c r="A248" t="str">
        <f>LEFT(FORMULACIÓN!F60,100)</f>
        <v>Incrementar en un 20% los niveles de desempeño globales en Pruebas Saber Pro de los programas académ</v>
      </c>
      <c r="C248" t="str">
        <f>Tabla2[[#This Row],[metas]]</f>
        <v>Incrementar en un 20% los niveles de desempeño globales en Pruebas Saber Pro de los programas académ</v>
      </c>
      <c r="D248">
        <f>FORMULACIÓN!A60</f>
        <v>49</v>
      </c>
      <c r="E248">
        <f>COUNTIF($C$200:C248,C248)</f>
        <v>2</v>
      </c>
      <c r="F248" t="str">
        <f>'SEGUIMIENTO Y EVALUACIÓN'!AL60&amp;"GOAL"&amp;LEN(FORMULACIÓN!F60)</f>
        <v>L1M5P3GOAL150</v>
      </c>
      <c r="G248" t="str">
        <f t="shared" si="2"/>
        <v>L1</v>
      </c>
      <c r="H248" t="str">
        <f t="shared" si="3"/>
        <v>L1 - Formación Académica Integral</v>
      </c>
      <c r="I248" t="str">
        <f>IF(E248=1,INDEX(FORMULACIÓN!$F$12:$F$261,Lists!D248,1),"")</f>
        <v/>
      </c>
      <c r="J248" s="100" t="str">
        <f>IF(E248=1,SUMIF($F$200:$F$365,F248,'SEGUIMIENTO Y EVALUACIÓN'!$AV$12:$AV$261),"")</f>
        <v/>
      </c>
      <c r="K248" s="100" t="str">
        <f>IF(E248=1,SUMIF($F$200:$F$365,F248,FORMULACIÓN!$S$12:$S$261),"")</f>
        <v/>
      </c>
      <c r="L248" s="100" t="str">
        <f>IFERROR(Tabla4[[#This Row],[res.pond.meta]]/Tabla4[[#This Row],[pond.]],"")</f>
        <v/>
      </c>
    </row>
    <row r="249" spans="1:12">
      <c r="A249" t="str">
        <f>LEFT(FORMULACIÓN!F61,100)</f>
        <v>Diseñar e implementar el sistema de evaluación académica integral aplicable a docentes, estudiantes,</v>
      </c>
      <c r="C249" t="str">
        <f>Tabla2[[#This Row],[metas]]</f>
        <v>Diseñar e implementar el sistema de evaluación académica integral aplicable a docentes, estudiantes,</v>
      </c>
      <c r="D249">
        <f>FORMULACIÓN!A61</f>
        <v>50</v>
      </c>
      <c r="E249">
        <f>COUNTIF($C$200:C249,C249)</f>
        <v>1</v>
      </c>
      <c r="F249" t="str">
        <f>'SEGUIMIENTO Y EVALUACIÓN'!AL61&amp;"GOAL"&amp;LEN(FORMULACIÓN!F61)</f>
        <v>L1M5P3GOAL169</v>
      </c>
      <c r="G249" t="str">
        <f t="shared" si="2"/>
        <v>L1</v>
      </c>
      <c r="H249" t="str">
        <f t="shared" si="3"/>
        <v>L1 - Formación Académica Integral</v>
      </c>
      <c r="I249" t="str">
        <f>IF(E249=1,INDEX(FORMULACIÓN!$F$12:$F$261,Lists!D249,1),"")</f>
        <v>Diseñar e implementar el sistema de evaluación académica integral aplicable a docentes, estudiantes, y planes de estudio, para garantizar los resultados del aprendizaje.</v>
      </c>
      <c r="J249" s="100">
        <f ca="1">IF(E249=1,SUMIF($F$200:$F$365,F249,'SEGUIMIENTO Y EVALUACIÓN'!$AV$12:$AV$261),"")</f>
        <v>0</v>
      </c>
      <c r="K249" s="100">
        <f>IF(E249=1,SUMIF($F$200:$F$365,F249,FORMULACIÓN!$S$12:$S$261),"")</f>
        <v>7.6923076923076927E-3</v>
      </c>
      <c r="L249" s="100">
        <f ca="1">IFERROR(Tabla4[[#This Row],[res.pond.meta]]/Tabla4[[#This Row],[pond.]],"")</f>
        <v>0</v>
      </c>
    </row>
    <row r="250" spans="1:12">
      <c r="A250" t="str">
        <f>LEFT(FORMULACIÓN!F62,100)</f>
        <v>Diseñar e implementar el sistema de evaluación académica integral aplicable a docentes, estudiantes,</v>
      </c>
      <c r="C250" t="str">
        <f>Tabla2[[#This Row],[metas]]</f>
        <v>Diseñar e implementar el sistema de evaluación académica integral aplicable a docentes, estudiantes,</v>
      </c>
      <c r="D250">
        <f>FORMULACIÓN!A62</f>
        <v>51</v>
      </c>
      <c r="E250">
        <f>COUNTIF($C$200:C250,C250)</f>
        <v>2</v>
      </c>
      <c r="F250" t="str">
        <f>'SEGUIMIENTO Y EVALUACIÓN'!AL62&amp;"GOAL"&amp;LEN(FORMULACIÓN!F62)</f>
        <v>L1M5P3GOAL169</v>
      </c>
      <c r="G250" t="str">
        <f t="shared" si="2"/>
        <v>L1</v>
      </c>
      <c r="H250" t="str">
        <f t="shared" si="3"/>
        <v>L1 - Formación Académica Integral</v>
      </c>
      <c r="I250" t="str">
        <f>IF(E250=1,INDEX(FORMULACIÓN!$F$12:$F$261,Lists!D250,1),"")</f>
        <v/>
      </c>
      <c r="J250" s="100" t="str">
        <f>IF(E250=1,SUMIF($F$200:$F$365,F250,'SEGUIMIENTO Y EVALUACIÓN'!$AV$12:$AV$261),"")</f>
        <v/>
      </c>
      <c r="K250" s="100" t="str">
        <f>IF(E250=1,SUMIF($F$200:$F$365,F250,FORMULACIÓN!$S$12:$S$261),"")</f>
        <v/>
      </c>
      <c r="L250" s="100" t="str">
        <f>IFERROR(Tabla4[[#This Row],[res.pond.meta]]/Tabla4[[#This Row],[pond.]],"")</f>
        <v/>
      </c>
    </row>
    <row r="251" spans="1:12">
      <c r="A251" t="str">
        <f>LEFT(FORMULACIÓN!F63,100)</f>
        <v xml:space="preserve">Implementar al menos un 70% de las estrategias académico administrativas dirigidas a la permanencia </v>
      </c>
      <c r="C251" t="str">
        <f>Tabla2[[#This Row],[metas]]</f>
        <v xml:space="preserve">Implementar al menos un 70% de las estrategias académico administrativas dirigidas a la permanencia </v>
      </c>
      <c r="D251">
        <f>FORMULACIÓN!A63</f>
        <v>52</v>
      </c>
      <c r="E251">
        <f>COUNTIF($C$200:C251,C251)</f>
        <v>1</v>
      </c>
      <c r="F251" t="str">
        <f>'SEGUIMIENTO Y EVALUACIÓN'!AL63&amp;"GOAL"&amp;LEN(FORMULACIÓN!F63)</f>
        <v>L1M5P3GOAL163</v>
      </c>
      <c r="G251" t="str">
        <f t="shared" si="2"/>
        <v>L1</v>
      </c>
      <c r="H251" t="str">
        <f t="shared" si="3"/>
        <v>L1 - Formación Académica Integral</v>
      </c>
      <c r="I251" t="str">
        <f>IF(E251=1,INDEX(FORMULACIÓN!$F$12:$F$261,Lists!D251,1),"")</f>
        <v xml:space="preserve">Implementar al menos un 70% de las estrategias académico administrativas dirigidas a la permanencia para alcanzar un 60% en la tasa graduación de los estudiantes. </v>
      </c>
      <c r="J251" s="100">
        <f ca="1">IF(E251=1,SUMIF($F$200:$F$365,F251,'SEGUIMIENTO Y EVALUACIÓN'!$AV$12:$AV$261),"")</f>
        <v>4.5769230769230774E-3</v>
      </c>
      <c r="K251" s="100">
        <f>IF(E251=1,SUMIF($F$200:$F$365,F251,FORMULACIÓN!$S$12:$S$261),"")</f>
        <v>1.5384615384615385E-2</v>
      </c>
      <c r="L251" s="100">
        <f ca="1">IFERROR(Tabla4[[#This Row],[res.pond.meta]]/Tabla4[[#This Row],[pond.]],"")</f>
        <v>0.29749999999999999</v>
      </c>
    </row>
    <row r="252" spans="1:12">
      <c r="A252" t="str">
        <f>LEFT(FORMULACIÓN!F64,100)</f>
        <v xml:space="preserve">Implementar al menos un 70% de las estrategias académico administrativas dirigidas a la permanencia </v>
      </c>
      <c r="C252" t="str">
        <f>Tabla2[[#This Row],[metas]]</f>
        <v xml:space="preserve">Implementar al menos un 70% de las estrategias académico administrativas dirigidas a la permanencia </v>
      </c>
      <c r="D252">
        <f>FORMULACIÓN!A64</f>
        <v>53</v>
      </c>
      <c r="E252">
        <f>COUNTIF($C$200:C252,C252)</f>
        <v>2</v>
      </c>
      <c r="F252" t="str">
        <f>'SEGUIMIENTO Y EVALUACIÓN'!AL64&amp;"GOAL"&amp;LEN(FORMULACIÓN!F64)</f>
        <v>L1M5P3GOAL163</v>
      </c>
      <c r="G252" t="str">
        <f t="shared" si="2"/>
        <v>L1</v>
      </c>
      <c r="H252" t="str">
        <f t="shared" si="3"/>
        <v>L1 - Formación Académica Integral</v>
      </c>
      <c r="I252" t="str">
        <f>IF(E252=1,INDEX(FORMULACIÓN!$F$12:$F$261,Lists!D252,1),"")</f>
        <v/>
      </c>
      <c r="J252" s="100" t="str">
        <f>IF(E252=1,SUMIF($F$200:$F$365,F252,'SEGUIMIENTO Y EVALUACIÓN'!$AV$12:$AV$261),"")</f>
        <v/>
      </c>
      <c r="K252" s="100" t="str">
        <f>IF(E252=1,SUMIF($F$200:$F$365,F252,FORMULACIÓN!$S$12:$S$261),"")</f>
        <v/>
      </c>
      <c r="L252" s="100" t="str">
        <f>IFERROR(Tabla4[[#This Row],[res.pond.meta]]/Tabla4[[#This Row],[pond.]],"")</f>
        <v/>
      </c>
    </row>
    <row r="253" spans="1:12">
      <c r="A253" t="str">
        <f>LEFT(FORMULACIÓN!F65,100)</f>
        <v xml:space="preserve">Implementar al menos un 70% de las estrategias académico administrativas dirigidas a la permanencia </v>
      </c>
      <c r="C253" t="str">
        <f>Tabla2[[#This Row],[metas]]</f>
        <v xml:space="preserve">Implementar al menos un 70% de las estrategias académico administrativas dirigidas a la permanencia </v>
      </c>
      <c r="D253">
        <f>FORMULACIÓN!A65</f>
        <v>54</v>
      </c>
      <c r="E253">
        <f>COUNTIF($C$200:C253,C253)</f>
        <v>3</v>
      </c>
      <c r="F253" t="str">
        <f>'SEGUIMIENTO Y EVALUACIÓN'!AL65&amp;"GOAL"&amp;LEN(FORMULACIÓN!F65)</f>
        <v>L1M5P3GOAL163</v>
      </c>
      <c r="G253" t="str">
        <f t="shared" si="2"/>
        <v>L1</v>
      </c>
      <c r="H253" t="str">
        <f t="shared" si="3"/>
        <v>L1 - Formación Académica Integral</v>
      </c>
      <c r="I253" t="str">
        <f>IF(E253=1,INDEX(FORMULACIÓN!$F$12:$F$261,Lists!D253,1),"")</f>
        <v/>
      </c>
      <c r="J253" s="100" t="str">
        <f>IF(E253=1,SUMIF($F$200:$F$365,F253,'SEGUIMIENTO Y EVALUACIÓN'!$AV$12:$AV$261),"")</f>
        <v/>
      </c>
      <c r="K253" s="100" t="str">
        <f>IF(E253=1,SUMIF($F$200:$F$365,F253,FORMULACIÓN!$S$12:$S$261),"")</f>
        <v/>
      </c>
      <c r="L253" s="100" t="str">
        <f>IFERROR(Tabla4[[#This Row],[res.pond.meta]]/Tabla4[[#This Row],[pond.]],"")</f>
        <v/>
      </c>
    </row>
    <row r="254" spans="1:12">
      <c r="A254" t="str">
        <f>LEFT(FORMULACIÓN!F66,100)</f>
        <v xml:space="preserve">Implementar al menos un 70% de las estrategias académico administrativas dirigidas a la permanencia </v>
      </c>
      <c r="C254" t="str">
        <f>Tabla2[[#This Row],[metas]]</f>
        <v xml:space="preserve">Implementar al menos un 70% de las estrategias académico administrativas dirigidas a la permanencia </v>
      </c>
      <c r="D254">
        <f>FORMULACIÓN!A66</f>
        <v>55</v>
      </c>
      <c r="E254">
        <f>COUNTIF($C$200:C254,C254)</f>
        <v>4</v>
      </c>
      <c r="F254" t="str">
        <f>'SEGUIMIENTO Y EVALUACIÓN'!AL66&amp;"GOAL"&amp;LEN(FORMULACIÓN!F66)</f>
        <v>L1M5P3GOAL163</v>
      </c>
      <c r="G254" t="str">
        <f t="shared" si="2"/>
        <v>L1</v>
      </c>
      <c r="H254" t="str">
        <f t="shared" si="3"/>
        <v>L1 - Formación Académica Integral</v>
      </c>
      <c r="I254" t="str">
        <f>IF(E254=1,INDEX(FORMULACIÓN!$F$12:$F$261,Lists!D254,1),"")</f>
        <v/>
      </c>
      <c r="J254" s="100" t="str">
        <f>IF(E254=1,SUMIF($F$200:$F$365,F254,'SEGUIMIENTO Y EVALUACIÓN'!$AV$12:$AV$261),"")</f>
        <v/>
      </c>
      <c r="K254" s="100" t="str">
        <f>IF(E254=1,SUMIF($F$200:$F$365,F254,FORMULACIÓN!$S$12:$S$261),"")</f>
        <v/>
      </c>
      <c r="L254" s="100" t="str">
        <f>IFERROR(Tabla4[[#This Row],[res.pond.meta]]/Tabla4[[#This Row],[pond.]],"")</f>
        <v/>
      </c>
    </row>
    <row r="255" spans="1:12">
      <c r="A255" t="str">
        <f>LEFT(FORMULACIÓN!F67,100)</f>
        <v>Diseñar la política de meritocracia para acceder a la carrera profesoral y realizar al menos 3 concu</v>
      </c>
      <c r="C255" t="str">
        <f>Tabla2[[#This Row],[metas]]</f>
        <v>Diseñar la política de meritocracia para acceder a la carrera profesoral y realizar al menos 3 concu</v>
      </c>
      <c r="D255">
        <f>FORMULACIÓN!A67</f>
        <v>56</v>
      </c>
      <c r="E255">
        <f>COUNTIF($C$200:C255,C255)</f>
        <v>1</v>
      </c>
      <c r="F255" t="str">
        <f>'SEGUIMIENTO Y EVALUACIÓN'!AL67&amp;"GOAL"&amp;LEN(FORMULACIÓN!F67)</f>
        <v>L1M5P4GOAL161</v>
      </c>
      <c r="G255" t="str">
        <f t="shared" si="2"/>
        <v>L1</v>
      </c>
      <c r="H255" t="str">
        <f t="shared" si="3"/>
        <v>L1 - Formación Académica Integral</v>
      </c>
      <c r="I255" t="str">
        <f>IF(E255=1,INDEX(FORMULACIÓN!$F$12:$F$261,Lists!D255,1),"")</f>
        <v>Diseñar la política de meritocracia para acceder a la carrera profesoral y realizar al menos 3 concursos públicos de mérito con resultados de 80% de efectividad.</v>
      </c>
      <c r="J255" s="100">
        <f ca="1">IF(E255=1,SUMIF($F$200:$F$365,F255,'SEGUIMIENTO Y EVALUACIÓN'!$AV$12:$AV$261),"")</f>
        <v>0</v>
      </c>
      <c r="K255" s="100">
        <f>IF(E255=1,SUMIF($F$200:$F$365,F255,FORMULACIÓN!$S$12:$S$261),"")</f>
        <v>2.5714285714285717E-2</v>
      </c>
      <c r="L255" s="100">
        <f ca="1">IFERROR(Tabla4[[#This Row],[res.pond.meta]]/Tabla4[[#This Row],[pond.]],"")</f>
        <v>0</v>
      </c>
    </row>
    <row r="256" spans="1:12">
      <c r="A256" t="str">
        <f>LEFT(FORMULACIÓN!F68,100)</f>
        <v>Diseñar la política de meritocracia para acceder a la carrera profesoral y realizar al menos 3 concu</v>
      </c>
      <c r="C256" t="str">
        <f>Tabla2[[#This Row],[metas]]</f>
        <v>Diseñar la política de meritocracia para acceder a la carrera profesoral y realizar al menos 3 concu</v>
      </c>
      <c r="D256">
        <f>FORMULACIÓN!A68</f>
        <v>57</v>
      </c>
      <c r="E256">
        <f>COUNTIF($C$200:C256,C256)</f>
        <v>2</v>
      </c>
      <c r="F256" t="str">
        <f>'SEGUIMIENTO Y EVALUACIÓN'!AL68&amp;"GOAL"&amp;LEN(FORMULACIÓN!F68)</f>
        <v>L1M5P4GOAL161</v>
      </c>
      <c r="G256" t="str">
        <f t="shared" si="2"/>
        <v>L1</v>
      </c>
      <c r="H256" t="str">
        <f t="shared" si="3"/>
        <v>L1 - Formación Académica Integral</v>
      </c>
      <c r="I256" t="str">
        <f>IF(E256=1,INDEX(FORMULACIÓN!$F$12:$F$261,Lists!D256,1),"")</f>
        <v/>
      </c>
      <c r="J256" s="100" t="str">
        <f>IF(E256=1,SUMIF($F$200:$F$365,F256,'SEGUIMIENTO Y EVALUACIÓN'!$AV$12:$AV$261),"")</f>
        <v/>
      </c>
      <c r="K256" s="100" t="str">
        <f>IF(E256=1,SUMIF($F$200:$F$365,F256,FORMULACIÓN!$S$12:$S$261),"")</f>
        <v/>
      </c>
      <c r="L256" s="100" t="str">
        <f>IFERROR(Tabla4[[#This Row],[res.pond.meta]]/Tabla4[[#This Row],[pond.]],"")</f>
        <v/>
      </c>
    </row>
    <row r="257" spans="1:12">
      <c r="A257" t="str">
        <f>LEFT(FORMULACIÓN!F69,100)</f>
        <v>Diseñar la política de meritocracia para acceder a la carrera profesoral y realizar al menos 3 concu</v>
      </c>
      <c r="C257" t="str">
        <f>Tabla2[[#This Row],[metas]]</f>
        <v>Diseñar la política de meritocracia para acceder a la carrera profesoral y realizar al menos 3 concu</v>
      </c>
      <c r="D257">
        <f>FORMULACIÓN!A69</f>
        <v>58</v>
      </c>
      <c r="E257">
        <f>COUNTIF($C$200:C257,C257)</f>
        <v>3</v>
      </c>
      <c r="F257" t="str">
        <f>'SEGUIMIENTO Y EVALUACIÓN'!AL69&amp;"GOAL"&amp;LEN(FORMULACIÓN!F69)</f>
        <v>L1M5P4GOAL161</v>
      </c>
      <c r="G257" t="str">
        <f t="shared" si="2"/>
        <v>L1</v>
      </c>
      <c r="H257" t="str">
        <f t="shared" si="3"/>
        <v>L1 - Formación Académica Integral</v>
      </c>
      <c r="I257" t="str">
        <f>IF(E257=1,INDEX(FORMULACIÓN!$F$12:$F$261,Lists!D257,1),"")</f>
        <v/>
      </c>
      <c r="J257" s="100" t="str">
        <f>IF(E257=1,SUMIF($F$200:$F$365,F257,'SEGUIMIENTO Y EVALUACIÓN'!$AV$12:$AV$261),"")</f>
        <v/>
      </c>
      <c r="K257" s="100" t="str">
        <f>IF(E257=1,SUMIF($F$200:$F$365,F257,FORMULACIÓN!$S$12:$S$261),"")</f>
        <v/>
      </c>
      <c r="L257" s="100" t="str">
        <f>IFERROR(Tabla4[[#This Row],[res.pond.meta]]/Tabla4[[#This Row],[pond.]],"")</f>
        <v/>
      </c>
    </row>
    <row r="258" spans="1:12">
      <c r="A258" t="str">
        <f>LEFT(FORMULACIÓN!F70,100)</f>
        <v>Alcanzar el 60% de nivel de formación doctoral y un 40% de maestría de la planta docente (carrera pr</v>
      </c>
      <c r="C258" t="str">
        <f>Tabla2[[#This Row],[metas]]</f>
        <v>Alcanzar el 60% de nivel de formación doctoral y un 40% de maestría de la planta docente (carrera pr</v>
      </c>
      <c r="D258">
        <f>FORMULACIÓN!A70</f>
        <v>59</v>
      </c>
      <c r="E258">
        <f>COUNTIF($C$200:C258,C258)</f>
        <v>1</v>
      </c>
      <c r="F258" t="str">
        <f>'SEGUIMIENTO Y EVALUACIÓN'!AL70&amp;"GOAL"&amp;LEN(FORMULACIÓN!F70)</f>
        <v>L1M5P4GOAL110</v>
      </c>
      <c r="G258" t="str">
        <f t="shared" si="2"/>
        <v>L1</v>
      </c>
      <c r="H258" t="str">
        <f t="shared" si="3"/>
        <v>L1 - Formación Académica Integral</v>
      </c>
      <c r="I258" t="str">
        <f>IF(E258=1,INDEX(FORMULACIÓN!$F$12:$F$261,Lists!D258,1),"")</f>
        <v>Alcanzar el 60% de nivel de formación doctoral y un 40% de maestría de la planta docente (carrera profesoral).</v>
      </c>
      <c r="J258" s="100">
        <f ca="1">IF(E258=1,SUMIF($F$200:$F$365,F258,'SEGUIMIENTO Y EVALUACIÓN'!$AV$12:$AV$261),"")</f>
        <v>8.5714285714285719E-3</v>
      </c>
      <c r="K258" s="100">
        <f>IF(E258=1,SUMIF($F$200:$F$365,F258,FORMULACIÓN!$S$12:$S$261),"")</f>
        <v>1.7142857142857144E-2</v>
      </c>
      <c r="L258" s="100">
        <f ca="1">IFERROR(Tabla4[[#This Row],[res.pond.meta]]/Tabla4[[#This Row],[pond.]],"")</f>
        <v>0.5</v>
      </c>
    </row>
    <row r="259" spans="1:12">
      <c r="A259" t="str">
        <f>LEFT(FORMULACIÓN!F71,100)</f>
        <v>Alcanzar el 60% de nivel de formación doctoral y un 40% de maestría de la planta docente (carrera pr</v>
      </c>
      <c r="C259" t="str">
        <f>Tabla2[[#This Row],[metas]]</f>
        <v>Alcanzar el 60% de nivel de formación doctoral y un 40% de maestría de la planta docente (carrera pr</v>
      </c>
      <c r="D259">
        <f>FORMULACIÓN!A71</f>
        <v>60</v>
      </c>
      <c r="E259">
        <f>COUNTIF($C$200:C259,C259)</f>
        <v>2</v>
      </c>
      <c r="F259" t="str">
        <f>'SEGUIMIENTO Y EVALUACIÓN'!AL71&amp;"GOAL"&amp;LEN(FORMULACIÓN!F71)</f>
        <v>L1M5P4GOAL110</v>
      </c>
      <c r="G259" t="str">
        <f t="shared" si="2"/>
        <v>L1</v>
      </c>
      <c r="H259" t="str">
        <f t="shared" si="3"/>
        <v>L1 - Formación Académica Integral</v>
      </c>
      <c r="I259" t="str">
        <f>IF(E259=1,INDEX(FORMULACIÓN!$F$12:$F$261,Lists!D259,1),"")</f>
        <v/>
      </c>
      <c r="J259" s="100" t="str">
        <f>IF(E259=1,SUMIF($F$200:$F$365,F259,'SEGUIMIENTO Y EVALUACIÓN'!$AV$12:$AV$261),"")</f>
        <v/>
      </c>
      <c r="K259" s="100" t="str">
        <f>IF(E259=1,SUMIF($F$200:$F$365,F259,FORMULACIÓN!$S$12:$S$261),"")</f>
        <v/>
      </c>
      <c r="L259" s="100" t="str">
        <f>IFERROR(Tabla4[[#This Row],[res.pond.meta]]/Tabla4[[#This Row],[pond.]],"")</f>
        <v/>
      </c>
    </row>
    <row r="260" spans="1:12">
      <c r="A260" t="str">
        <f>LEFT(FORMULACIÓN!F72,100)</f>
        <v xml:space="preserve">Diseño de la política docente de formación avanzada, científica y de relevo generacional.  </v>
      </c>
      <c r="C260" t="str">
        <f>Tabla2[[#This Row],[metas]]</f>
        <v xml:space="preserve">Diseño de la política docente de formación avanzada, científica y de relevo generacional.  </v>
      </c>
      <c r="D260">
        <f>FORMULACIÓN!A72</f>
        <v>61</v>
      </c>
      <c r="E260">
        <f>COUNTIF($C$200:C260,C260)</f>
        <v>1</v>
      </c>
      <c r="F260" t="str">
        <f>'SEGUIMIENTO Y EVALUACIÓN'!AL72&amp;"GOAL"&amp;LEN(FORMULACIÓN!F72)</f>
        <v>L1M5P4GOAL91</v>
      </c>
      <c r="G260" t="str">
        <f t="shared" si="2"/>
        <v>L1</v>
      </c>
      <c r="H260" t="str">
        <f t="shared" si="3"/>
        <v>L1 - Formación Académica Integral</v>
      </c>
      <c r="I260" t="str">
        <f>IF(E260=1,INDEX(FORMULACIÓN!$F$12:$F$261,Lists!D260,1),"")</f>
        <v xml:space="preserve">Diseño de la política docente de formación avanzada, científica y de relevo generacional.  </v>
      </c>
      <c r="J260" s="100">
        <f ca="1">IF(E260=1,SUMIF($F$200:$F$365,F260,'SEGUIMIENTO Y EVALUACIÓN'!$AV$12:$AV$261),"")</f>
        <v>0</v>
      </c>
      <c r="K260" s="100">
        <f>IF(E260=1,SUMIF($F$200:$F$365,F260,FORMULACIÓN!$S$12:$S$261),"")</f>
        <v>1.7142857142857144E-2</v>
      </c>
      <c r="L260" s="100">
        <f ca="1">IFERROR(Tabla4[[#This Row],[res.pond.meta]]/Tabla4[[#This Row],[pond.]],"")</f>
        <v>0</v>
      </c>
    </row>
    <row r="261" spans="1:12">
      <c r="A261" t="str">
        <f>LEFT(FORMULACIÓN!F73,100)</f>
        <v xml:space="preserve">Diseño de la política docente de formación avanzada, científica y de relevo generacional.  </v>
      </c>
      <c r="C261" t="str">
        <f>Tabla2[[#This Row],[metas]]</f>
        <v xml:space="preserve">Diseño de la política docente de formación avanzada, científica y de relevo generacional.  </v>
      </c>
      <c r="D261">
        <f>FORMULACIÓN!A73</f>
        <v>62</v>
      </c>
      <c r="E261">
        <f>COUNTIF($C$200:C261,C261)</f>
        <v>2</v>
      </c>
      <c r="F261" t="str">
        <f>'SEGUIMIENTO Y EVALUACIÓN'!AL73&amp;"GOAL"&amp;LEN(FORMULACIÓN!F73)</f>
        <v>L1M5P4GOAL91</v>
      </c>
      <c r="G261" t="str">
        <f t="shared" si="2"/>
        <v>L1</v>
      </c>
      <c r="H261" t="str">
        <f t="shared" si="3"/>
        <v>L1 - Formación Académica Integral</v>
      </c>
      <c r="I261" t="str">
        <f>IF(E261=1,INDEX(FORMULACIÓN!$F$12:$F$261,Lists!D261,1),"")</f>
        <v/>
      </c>
      <c r="J261" s="100" t="str">
        <f>IF(E261=1,SUMIF($F$200:$F$365,F261,'SEGUIMIENTO Y EVALUACIÓN'!$AV$12:$AV$261),"")</f>
        <v/>
      </c>
      <c r="K261" s="100" t="str">
        <f>IF(E261=1,SUMIF($F$200:$F$365,F261,FORMULACIÓN!$S$12:$S$261),"")</f>
        <v/>
      </c>
      <c r="L261" s="100" t="str">
        <f>IFERROR(Tabla4[[#This Row],[res.pond.meta]]/Tabla4[[#This Row],[pond.]],"")</f>
        <v/>
      </c>
    </row>
    <row r="262" spans="1:12">
      <c r="A262" t="str">
        <f>LEFT(FORMULACIÓN!F74,100)</f>
        <v>Fortalecer y visibilizar el impacto de la creación e investigación para las industrias creativas y c</v>
      </c>
      <c r="C262" t="str">
        <f>Tabla2[[#This Row],[metas]]</f>
        <v>Fortalecer y visibilizar el impacto de la creación e investigación para las industrias creativas y c</v>
      </c>
      <c r="D262">
        <f>FORMULACIÓN!A74</f>
        <v>63</v>
      </c>
      <c r="E262">
        <f>COUNTIF($C$200:C262,C262)</f>
        <v>1</v>
      </c>
      <c r="F262" t="str">
        <f>'SEGUIMIENTO Y EVALUACIÓN'!AL74&amp;"GOAL"&amp;LEN(FORMULACIÓN!F74)</f>
        <v>L2M1P1GOAL363</v>
      </c>
      <c r="G262" t="str">
        <f t="shared" si="2"/>
        <v>L2</v>
      </c>
      <c r="H262" t="str">
        <f t="shared" si="3"/>
        <v>L2 - Investigación y Redes de conocimiento para el desarrollo de la sociedad</v>
      </c>
      <c r="I262" t="str">
        <f>IF(E262=1,INDEX(FORMULACIÓN!$F$12:$F$261,Lists!D262,1),"")</f>
        <v xml:space="preserve">Fortalecer y visibilizar el impacto de la creación e investigación para las industrias creativas y culturales con miras a disminuir la brecha en la generación de conocimiento en el sector de las artes y el patrimonio cultural, con 28 proyectos que aprobados en convocatorias internas y/o externas, asimismo categorizar 3 grupo en A1, 2 grupos en A, 3 grupos en B </v>
      </c>
      <c r="J262" s="100">
        <f ca="1">IF(E262=1,SUMIF($F$200:$F$365,F262,'SEGUIMIENTO Y EVALUACIÓN'!$AV$12:$AV$261),"")</f>
        <v>0.125</v>
      </c>
      <c r="K262" s="100">
        <f>IF(E262=1,SUMIF($F$200:$F$365,F262,FORMULACIÓN!$S$12:$S$261),"")</f>
        <v>0.15000000000000002</v>
      </c>
      <c r="L262" s="100">
        <f ca="1">IFERROR(Tabla4[[#This Row],[res.pond.meta]]/Tabla4[[#This Row],[pond.]],"")</f>
        <v>0.83333333333333326</v>
      </c>
    </row>
    <row r="263" spans="1:12">
      <c r="A263" t="str">
        <f>LEFT(FORMULACIÓN!F75,100)</f>
        <v>Fortalecer y visibilizar el impacto de la creación e investigación para las industrias creativas y c</v>
      </c>
      <c r="C263" t="str">
        <f>Tabla2[[#This Row],[metas]]</f>
        <v>Fortalecer y visibilizar el impacto de la creación e investigación para las industrias creativas y c</v>
      </c>
      <c r="D263">
        <f>FORMULACIÓN!A75</f>
        <v>64</v>
      </c>
      <c r="E263">
        <f>COUNTIF($C$200:C263,C263)</f>
        <v>2</v>
      </c>
      <c r="F263" t="str">
        <f>'SEGUIMIENTO Y EVALUACIÓN'!AL75&amp;"GOAL"&amp;LEN(FORMULACIÓN!F75)</f>
        <v>L2M1P1GOAL363</v>
      </c>
      <c r="G263" t="str">
        <f t="shared" si="2"/>
        <v>L2</v>
      </c>
      <c r="H263" t="str">
        <f t="shared" si="3"/>
        <v>L2 - Investigación y Redes de conocimiento para el desarrollo de la sociedad</v>
      </c>
      <c r="I263" t="str">
        <f>IF(E263=1,INDEX(FORMULACIÓN!$F$12:$F$261,Lists!D263,1),"")</f>
        <v/>
      </c>
      <c r="J263" s="100" t="str">
        <f>IF(E263=1,SUMIF($F$200:$F$365,F263,'SEGUIMIENTO Y EVALUACIÓN'!$AV$12:$AV$261),"")</f>
        <v/>
      </c>
      <c r="K263" s="100" t="str">
        <f>IF(E263=1,SUMIF($F$200:$F$365,F263,FORMULACIÓN!$S$12:$S$261),"")</f>
        <v/>
      </c>
      <c r="L263" s="100" t="str">
        <f>IFERROR(Tabla4[[#This Row],[res.pond.meta]]/Tabla4[[#This Row],[pond.]],"")</f>
        <v/>
      </c>
    </row>
    <row r="264" spans="1:12">
      <c r="A264" t="str">
        <f>LEFT(FORMULACIÓN!F76,100)</f>
        <v>Fortalecer y visibilizar el impacto de la creación e investigación para las industrias creativas y c</v>
      </c>
      <c r="C264" t="str">
        <f>Tabla2[[#This Row],[metas]]</f>
        <v>Fortalecer y visibilizar el impacto de la creación e investigación para las industrias creativas y c</v>
      </c>
      <c r="D264">
        <f>FORMULACIÓN!A76</f>
        <v>65</v>
      </c>
      <c r="E264">
        <f>COUNTIF($C$200:C264,C264)</f>
        <v>3</v>
      </c>
      <c r="F264" t="str">
        <f>'SEGUIMIENTO Y EVALUACIÓN'!AL76&amp;"GOAL"&amp;LEN(FORMULACIÓN!F76)</f>
        <v>L2M1P1GOAL363</v>
      </c>
      <c r="G264" t="str">
        <f t="shared" si="2"/>
        <v>L2</v>
      </c>
      <c r="H264" t="str">
        <f t="shared" ref="H264:H295" si="4">IFERROR(INDEX(lin,VLOOKUP(G264,$E$191:$F$195,2,FALSE),1),"")</f>
        <v>L2 - Investigación y Redes de conocimiento para el desarrollo de la sociedad</v>
      </c>
      <c r="I264" t="str">
        <f>IF(E264=1,INDEX(FORMULACIÓN!$F$12:$F$261,Lists!D264,1),"")</f>
        <v/>
      </c>
      <c r="J264" s="100" t="str">
        <f>IF(E264=1,SUMIF($F$200:$F$365,F264,'SEGUIMIENTO Y EVALUACIÓN'!$AV$12:$AV$261),"")</f>
        <v/>
      </c>
      <c r="K264" s="100" t="str">
        <f>IF(E264=1,SUMIF($F$200:$F$365,F264,FORMULACIÓN!$S$12:$S$261),"")</f>
        <v/>
      </c>
      <c r="L264" s="100" t="str">
        <f>IFERROR(Tabla4[[#This Row],[res.pond.meta]]/Tabla4[[#This Row],[pond.]],"")</f>
        <v/>
      </c>
    </row>
    <row r="265" spans="1:12">
      <c r="A265" t="str">
        <f>LEFT(FORMULACIÓN!F77,100)</f>
        <v>Consolidar e implementar el laboratorio de investigación creación para las áreas artísticas logrando</v>
      </c>
      <c r="C265" t="str">
        <f>Tabla2[[#This Row],[metas]]</f>
        <v>Consolidar e implementar el laboratorio de investigación creación para las áreas artísticas logrando</v>
      </c>
      <c r="D265">
        <f>FORMULACIÓN!A77</f>
        <v>66</v>
      </c>
      <c r="E265">
        <f>COUNTIF($C$200:C265,C265)</f>
        <v>1</v>
      </c>
      <c r="F265" t="str">
        <f>'SEGUIMIENTO Y EVALUACIÓN'!AL77&amp;"GOAL"&amp;LEN(FORMULACIÓN!F77)</f>
        <v>L2M1P2GOAL170</v>
      </c>
      <c r="G265" t="str">
        <f t="shared" ref="G265:G328" si="5">LEFT(F265,2)</f>
        <v>L2</v>
      </c>
      <c r="H265" t="str">
        <f t="shared" si="4"/>
        <v>L2 - Investigación y Redes de conocimiento para el desarrollo de la sociedad</v>
      </c>
      <c r="I265" t="str">
        <f>IF(E265=1,INDEX(FORMULACIÓN!$F$12:$F$261,Lists!D265,1),"")</f>
        <v>Consolidar e implementar el laboratorio de investigación creación para las áreas artísticas logrando 10 convenios interinstitucionales y 20 productos articulados en redes</v>
      </c>
      <c r="J265" s="100">
        <f ca="1">IF(E265=1,SUMIF($F$200:$F$365,F265,'SEGUIMIENTO Y EVALUACIÓN'!$AV$12:$AV$261),"")</f>
        <v>7.1250000000000008E-2</v>
      </c>
      <c r="K265" s="100">
        <f>IF(E265=1,SUMIF($F$200:$F$365,F265,FORMULACIÓN!$S$12:$S$261),"")</f>
        <v>0.15</v>
      </c>
      <c r="L265" s="100">
        <f ca="1">IFERROR(Tabla4[[#This Row],[res.pond.meta]]/Tabla4[[#This Row],[pond.]],"")</f>
        <v>0.47500000000000009</v>
      </c>
    </row>
    <row r="266" spans="1:12">
      <c r="A266" t="str">
        <f>LEFT(FORMULACIÓN!F78,100)</f>
        <v>Consolidar e implementar el laboratorio de investigación creación para las áreas artísticas logrando</v>
      </c>
      <c r="C266" t="str">
        <f>Tabla2[[#This Row],[metas]]</f>
        <v>Consolidar e implementar el laboratorio de investigación creación para las áreas artísticas logrando</v>
      </c>
      <c r="D266">
        <f>FORMULACIÓN!A78</f>
        <v>67</v>
      </c>
      <c r="E266">
        <f>COUNTIF($C$200:C266,C266)</f>
        <v>2</v>
      </c>
      <c r="F266" t="str">
        <f>'SEGUIMIENTO Y EVALUACIÓN'!AL78&amp;"GOAL"&amp;LEN(FORMULACIÓN!F78)</f>
        <v>L2M1P2GOAL170</v>
      </c>
      <c r="G266" t="str">
        <f t="shared" si="5"/>
        <v>L2</v>
      </c>
      <c r="H266" t="str">
        <f t="shared" si="4"/>
        <v>L2 - Investigación y Redes de conocimiento para el desarrollo de la sociedad</v>
      </c>
      <c r="I266" t="str">
        <f>IF(E266=1,INDEX(FORMULACIÓN!$F$12:$F$261,Lists!D266,1),"")</f>
        <v/>
      </c>
      <c r="J266" s="100" t="str">
        <f>IF(E266=1,SUMIF($F$200:$F$365,F266,'SEGUIMIENTO Y EVALUACIÓN'!$AV$12:$AV$261),"")</f>
        <v/>
      </c>
      <c r="K266" s="100" t="str">
        <f>IF(E266=1,SUMIF($F$200:$F$365,F266,FORMULACIÓN!$S$12:$S$261),"")</f>
        <v/>
      </c>
      <c r="L266" s="100" t="str">
        <f>IFERROR(Tabla4[[#This Row],[res.pond.meta]]/Tabla4[[#This Row],[pond.]],"")</f>
        <v/>
      </c>
    </row>
    <row r="267" spans="1:12">
      <c r="A267" t="str">
        <f>LEFT(FORMULACIÓN!F79,100)</f>
        <v>Incrementar, apropiar y divulgar la generación de nuevo conocimiento de calidad e impacto con 500 pu</v>
      </c>
      <c r="C267" t="str">
        <f>Tabla2[[#This Row],[metas]]</f>
        <v>Incrementar, apropiar y divulgar la generación de nuevo conocimiento de calidad e impacto con 500 pu</v>
      </c>
      <c r="D267">
        <f>FORMULACIÓN!A79</f>
        <v>68</v>
      </c>
      <c r="E267">
        <f>COUNTIF($C$200:C267,C267)</f>
        <v>1</v>
      </c>
      <c r="F267" t="str">
        <f>'SEGUIMIENTO Y EVALUACIÓN'!AL79&amp;"GOAL"&amp;LEN(FORMULACIÓN!F79)</f>
        <v>L2M2P1GOAL294</v>
      </c>
      <c r="G267" t="str">
        <f t="shared" si="5"/>
        <v>L2</v>
      </c>
      <c r="H267" t="str">
        <f t="shared" si="4"/>
        <v>L2 - Investigación y Redes de conocimiento para el desarrollo de la sociedad</v>
      </c>
      <c r="I267" t="str">
        <f>IF(E267=1,INDEX(FORMULACIÓN!$F$12:$F$261,Lists!D267,1),"")</f>
        <v>Incrementar, apropiar y divulgar la generación de nuevo conocimiento de calidad e impacto con 500 publicaciones indexadas en Publindex, 1400 en Wos y/o Scopus, 100 libros publicados, 7 revistas científicas con sello editorial Uniatlántico, y al menos 170 proyectos financiados por convocatorias</v>
      </c>
      <c r="J267" s="100">
        <f ca="1">IF(E267=1,SUMIF($F$200:$F$365,F267,'SEGUIMIENTO Y EVALUACIÓN'!$AV$12:$AV$261),"")</f>
        <v>5.114571428571428E-2</v>
      </c>
      <c r="K267" s="100">
        <f>IF(E267=1,SUMIF($F$200:$F$365,F267,FORMULACIÓN!$S$12:$S$261),"")</f>
        <v>0.15</v>
      </c>
      <c r="L267" s="100">
        <f ca="1">IFERROR(Tabla4[[#This Row],[res.pond.meta]]/Tabla4[[#This Row],[pond.]],"")</f>
        <v>0.34097142857142854</v>
      </c>
    </row>
    <row r="268" spans="1:12">
      <c r="A268" t="str">
        <f>LEFT(FORMULACIÓN!F80,100)</f>
        <v>Incrementar, apropiar y divulgar la generación de nuevo conocimiento de calidad e impacto con 500 pu</v>
      </c>
      <c r="C268" t="str">
        <f>Tabla2[[#This Row],[metas]]</f>
        <v>Incrementar, apropiar y divulgar la generación de nuevo conocimiento de calidad e impacto con 500 pu</v>
      </c>
      <c r="D268">
        <f>FORMULACIÓN!A80</f>
        <v>69</v>
      </c>
      <c r="E268">
        <f>COUNTIF($C$200:C268,C268)</f>
        <v>2</v>
      </c>
      <c r="F268" t="str">
        <f>'SEGUIMIENTO Y EVALUACIÓN'!AL80&amp;"GOAL"&amp;LEN(FORMULACIÓN!F80)</f>
        <v>L2M2P1GOAL294</v>
      </c>
      <c r="G268" t="str">
        <f t="shared" si="5"/>
        <v>L2</v>
      </c>
      <c r="H268" t="str">
        <f t="shared" si="4"/>
        <v>L2 - Investigación y Redes de conocimiento para el desarrollo de la sociedad</v>
      </c>
      <c r="I268" t="str">
        <f>IF(E268=1,INDEX(FORMULACIÓN!$F$12:$F$261,Lists!D268,1),"")</f>
        <v/>
      </c>
      <c r="J268" s="100" t="str">
        <f>IF(E268=1,SUMIF($F$200:$F$365,F268,'SEGUIMIENTO Y EVALUACIÓN'!$AV$12:$AV$261),"")</f>
        <v/>
      </c>
      <c r="K268" s="100" t="str">
        <f>IF(E268=1,SUMIF($F$200:$F$365,F268,FORMULACIÓN!$S$12:$S$261),"")</f>
        <v/>
      </c>
      <c r="L268" s="100" t="str">
        <f>IFERROR(Tabla4[[#This Row],[res.pond.meta]]/Tabla4[[#This Row],[pond.]],"")</f>
        <v/>
      </c>
    </row>
    <row r="269" spans="1:12">
      <c r="A269" t="str">
        <f>LEFT(FORMULACIÓN!F81,100)</f>
        <v>Incrementar, apropiar y divulgar la generación de nuevo conocimiento de calidad e impacto con 500 pu</v>
      </c>
      <c r="C269" t="str">
        <f>Tabla2[[#This Row],[metas]]</f>
        <v>Incrementar, apropiar y divulgar la generación de nuevo conocimiento de calidad e impacto con 500 pu</v>
      </c>
      <c r="D269">
        <f>FORMULACIÓN!A81</f>
        <v>70</v>
      </c>
      <c r="E269">
        <f>COUNTIF($C$200:C269,C269)</f>
        <v>3</v>
      </c>
      <c r="F269" t="str">
        <f>'SEGUIMIENTO Y EVALUACIÓN'!AL81&amp;"GOAL"&amp;LEN(FORMULACIÓN!F81)</f>
        <v>L2M2P1GOAL294</v>
      </c>
      <c r="G269" t="str">
        <f t="shared" si="5"/>
        <v>L2</v>
      </c>
      <c r="H269" t="str">
        <f t="shared" si="4"/>
        <v>L2 - Investigación y Redes de conocimiento para el desarrollo de la sociedad</v>
      </c>
      <c r="I269" t="str">
        <f>IF(E269=1,INDEX(FORMULACIÓN!$F$12:$F$261,Lists!D269,1),"")</f>
        <v/>
      </c>
      <c r="J269" s="100" t="str">
        <f>IF(E269=1,SUMIF($F$200:$F$365,F269,'SEGUIMIENTO Y EVALUACIÓN'!$AV$12:$AV$261),"")</f>
        <v/>
      </c>
      <c r="K269" s="100" t="str">
        <f>IF(E269=1,SUMIF($F$200:$F$365,F269,FORMULACIÓN!$S$12:$S$261),"")</f>
        <v/>
      </c>
      <c r="L269" s="100" t="str">
        <f>IFERROR(Tabla4[[#This Row],[res.pond.meta]]/Tabla4[[#This Row],[pond.]],"")</f>
        <v/>
      </c>
    </row>
    <row r="270" spans="1:12">
      <c r="A270" t="str">
        <f>LEFT(FORMULACIÓN!F82,100)</f>
        <v>Incrementar, apropiar y divulgar la generación de nuevo conocimiento de calidad e impacto con 500 pu</v>
      </c>
      <c r="C270" t="str">
        <f>Tabla2[[#This Row],[metas]]</f>
        <v>Incrementar, apropiar y divulgar la generación de nuevo conocimiento de calidad e impacto con 500 pu</v>
      </c>
      <c r="D270">
        <f>FORMULACIÓN!A82</f>
        <v>71</v>
      </c>
      <c r="E270">
        <f>COUNTIF($C$200:C270,C270)</f>
        <v>4</v>
      </c>
      <c r="F270" t="str">
        <f>'SEGUIMIENTO Y EVALUACIÓN'!AL82&amp;"GOAL"&amp;LEN(FORMULACIÓN!F82)</f>
        <v>L2M2P1GOAL294</v>
      </c>
      <c r="G270" t="str">
        <f t="shared" si="5"/>
        <v>L2</v>
      </c>
      <c r="H270" t="str">
        <f t="shared" si="4"/>
        <v>L2 - Investigación y Redes de conocimiento para el desarrollo de la sociedad</v>
      </c>
      <c r="I270" t="str">
        <f>IF(E270=1,INDEX(FORMULACIÓN!$F$12:$F$261,Lists!D270,1),"")</f>
        <v/>
      </c>
      <c r="J270" s="100" t="str">
        <f>IF(E270=1,SUMIF($F$200:$F$365,F270,'SEGUIMIENTO Y EVALUACIÓN'!$AV$12:$AV$261),"")</f>
        <v/>
      </c>
      <c r="K270" s="100" t="str">
        <f>IF(E270=1,SUMIF($F$200:$F$365,F270,FORMULACIÓN!$S$12:$S$261),"")</f>
        <v/>
      </c>
      <c r="L270" s="100" t="str">
        <f>IFERROR(Tabla4[[#This Row],[res.pond.meta]]/Tabla4[[#This Row],[pond.]],"")</f>
        <v/>
      </c>
    </row>
    <row r="271" spans="1:12">
      <c r="A271" t="str">
        <f>LEFT(FORMULACIÓN!F83,100)</f>
        <v>Incrementar, apropiar y divulgar la generación de nuevo conocimiento de calidad e impacto con 500 pu</v>
      </c>
      <c r="C271" t="str">
        <f>Tabla2[[#This Row],[metas]]</f>
        <v>Incrementar, apropiar y divulgar la generación de nuevo conocimiento de calidad e impacto con 500 pu</v>
      </c>
      <c r="D271">
        <f>FORMULACIÓN!A83</f>
        <v>72</v>
      </c>
      <c r="E271">
        <f>COUNTIF($C$200:C271,C271)</f>
        <v>5</v>
      </c>
      <c r="F271" t="str">
        <f>'SEGUIMIENTO Y EVALUACIÓN'!AL83&amp;"GOAL"&amp;LEN(FORMULACIÓN!F83)</f>
        <v>L2M2P1GOAL294</v>
      </c>
      <c r="G271" t="str">
        <f t="shared" si="5"/>
        <v>L2</v>
      </c>
      <c r="H271" t="str">
        <f t="shared" si="4"/>
        <v>L2 - Investigación y Redes de conocimiento para el desarrollo de la sociedad</v>
      </c>
      <c r="I271" t="str">
        <f>IF(E271=1,INDEX(FORMULACIÓN!$F$12:$F$261,Lists!D271,1),"")</f>
        <v/>
      </c>
      <c r="J271" s="100" t="str">
        <f>IF(E271=1,SUMIF($F$200:$F$365,F271,'SEGUIMIENTO Y EVALUACIÓN'!$AV$12:$AV$261),"")</f>
        <v/>
      </c>
      <c r="K271" s="100" t="str">
        <f>IF(E271=1,SUMIF($F$200:$F$365,F271,FORMULACIÓN!$S$12:$S$261),"")</f>
        <v/>
      </c>
      <c r="L271" s="100" t="str">
        <f>IFERROR(Tabla4[[#This Row],[res.pond.meta]]/Tabla4[[#This Row],[pond.]],"")</f>
        <v/>
      </c>
    </row>
    <row r="272" spans="1:12">
      <c r="A272" t="str">
        <f>LEFT(FORMULACIÓN!F84,100)</f>
        <v xml:space="preserve">Fortalecer la articulación con redes académicas y científicas para la investigación y la producción </v>
      </c>
      <c r="C272" t="str">
        <f>Tabla2[[#This Row],[metas]]</f>
        <v xml:space="preserve">Fortalecer la articulación con redes académicas y científicas para la investigación y la producción </v>
      </c>
      <c r="D272">
        <f>FORMULACIÓN!A84</f>
        <v>73</v>
      </c>
      <c r="E272">
        <f>COUNTIF($C$200:C272,C272)</f>
        <v>1</v>
      </c>
      <c r="F272" t="str">
        <f>'SEGUIMIENTO Y EVALUACIÓN'!AL84&amp;"GOAL"&amp;LEN(FORMULACIÓN!F84)</f>
        <v>L2M2P1GOAL320</v>
      </c>
      <c r="G272" t="str">
        <f t="shared" si="5"/>
        <v>L2</v>
      </c>
      <c r="H272" t="str">
        <f t="shared" si="4"/>
        <v>L2 - Investigación y Redes de conocimiento para el desarrollo de la sociedad</v>
      </c>
      <c r="I272" t="str">
        <f>IF(E272=1,INDEX(FORMULACIÓN!$F$12:$F$261,Lists!D272,1),"")</f>
        <v>Fortalecer la articulación con redes académicas y científicas para la investigación y la producción académica, impulsando la movilidad saliente internacional con 350 docentes y la nacional con 300 docentes, asimismo la movilidad de estudiantes vinculados a semilleros en 250 a nivel nacional y 100 a nivel internacional.</v>
      </c>
      <c r="J272" s="100">
        <f ca="1">IF(E272=1,SUMIF($F$200:$F$365,F272,'SEGUIMIENTO Y EVALUACIÓN'!$AV$12:$AV$261),"")</f>
        <v>5.04E-2</v>
      </c>
      <c r="K272" s="100">
        <f>IF(E272=1,SUMIF($F$200:$F$365,F272,FORMULACIÓN!$S$12:$S$261),"")</f>
        <v>0.06</v>
      </c>
      <c r="L272" s="100">
        <f ca="1">IFERROR(Tabla4[[#This Row],[res.pond.meta]]/Tabla4[[#This Row],[pond.]],"")</f>
        <v>0.84000000000000008</v>
      </c>
    </row>
    <row r="273" spans="1:12">
      <c r="A273" t="str">
        <f>LEFT(FORMULACIÓN!F85,100)</f>
        <v xml:space="preserve">Fortalecer la articulación con redes académicas y científicas para la investigación y la producción </v>
      </c>
      <c r="C273" t="str">
        <f>Tabla2[[#This Row],[metas]]</f>
        <v xml:space="preserve">Fortalecer la articulación con redes académicas y científicas para la investigación y la producción </v>
      </c>
      <c r="D273">
        <f>FORMULACIÓN!A85</f>
        <v>74</v>
      </c>
      <c r="E273">
        <f>COUNTIF($C$200:C273,C273)</f>
        <v>2</v>
      </c>
      <c r="F273" t="str">
        <f>'SEGUIMIENTO Y EVALUACIÓN'!AL85&amp;"GOAL"&amp;LEN(FORMULACIÓN!F85)</f>
        <v>L2M2P1GOAL320</v>
      </c>
      <c r="G273" t="str">
        <f t="shared" si="5"/>
        <v>L2</v>
      </c>
      <c r="H273" t="str">
        <f t="shared" si="4"/>
        <v>L2 - Investigación y Redes de conocimiento para el desarrollo de la sociedad</v>
      </c>
      <c r="I273" t="str">
        <f>IF(E273=1,INDEX(FORMULACIÓN!$F$12:$F$261,Lists!D273,1),"")</f>
        <v/>
      </c>
      <c r="J273" s="100" t="str">
        <f>IF(E273=1,SUMIF($F$200:$F$365,F273,'SEGUIMIENTO Y EVALUACIÓN'!$AV$12:$AV$261),"")</f>
        <v/>
      </c>
      <c r="K273" s="100" t="str">
        <f>IF(E273=1,SUMIF($F$200:$F$365,F273,FORMULACIÓN!$S$12:$S$261),"")</f>
        <v/>
      </c>
      <c r="L273" s="100" t="str">
        <f>IFERROR(Tabla4[[#This Row],[res.pond.meta]]/Tabla4[[#This Row],[pond.]],"")</f>
        <v/>
      </c>
    </row>
    <row r="274" spans="1:12">
      <c r="A274" t="str">
        <f>LEFT(FORMULACIÓN!F86,100)</f>
        <v>Categorizar el 70% de los grupos de investigación en A1, A y B al mismo tiempo alcanzar el 50% de lo</v>
      </c>
      <c r="C274" t="str">
        <f>Tabla2[[#This Row],[metas]]</f>
        <v>Categorizar el 70% de los grupos de investigación en A1, A y B al mismo tiempo alcanzar el 50% de lo</v>
      </c>
      <c r="D274">
        <f>FORMULACIÓN!A86</f>
        <v>75</v>
      </c>
      <c r="E274">
        <f>COUNTIF($C$200:C274,C274)</f>
        <v>1</v>
      </c>
      <c r="F274" t="str">
        <f>'SEGUIMIENTO Y EVALUACIÓN'!AL86&amp;"GOAL"&amp;LEN(FORMULACIÓN!F86)</f>
        <v>L2M2P1GOAL155</v>
      </c>
      <c r="G274" t="str">
        <f t="shared" si="5"/>
        <v>L2</v>
      </c>
      <c r="H274" t="str">
        <f t="shared" si="4"/>
        <v>L2 - Investigación y Redes de conocimiento para el desarrollo de la sociedad</v>
      </c>
      <c r="I274" t="str">
        <f>IF(E274=1,INDEX(FORMULACIÓN!$F$12:$F$261,Lists!D274,1),"")</f>
        <v>Categorizar el 70% de los grupos de investigación en A1, A y B al mismo tiempo alcanzar el 50% de los docentes de carrera categorizados como investigadores</v>
      </c>
      <c r="J274" s="100">
        <f ca="1">IF(E274=1,SUMIF($F$200:$F$365,F274,'SEGUIMIENTO Y EVALUACIÓN'!$AV$12:$AV$261),"")</f>
        <v>4.0457142857142858E-2</v>
      </c>
      <c r="K274" s="100">
        <f>IF(E274=1,SUMIF($F$200:$F$365,F274,FORMULACIÓN!$S$12:$S$261),"")</f>
        <v>0.06</v>
      </c>
      <c r="L274" s="100">
        <f ca="1">IFERROR(Tabla4[[#This Row],[res.pond.meta]]/Tabla4[[#This Row],[pond.]],"")</f>
        <v>0.67428571428571438</v>
      </c>
    </row>
    <row r="275" spans="1:12">
      <c r="A275" t="str">
        <f>LEFT(FORMULACIÓN!F87,100)</f>
        <v>Categorizar el 70% de los grupos de investigación en A1, A y B al mismo tiempo alcanzar el 50% de lo</v>
      </c>
      <c r="C275" t="str">
        <f>Tabla2[[#This Row],[metas]]</f>
        <v>Categorizar el 70% de los grupos de investigación en A1, A y B al mismo tiempo alcanzar el 50% de lo</v>
      </c>
      <c r="D275">
        <f>FORMULACIÓN!A87</f>
        <v>76</v>
      </c>
      <c r="E275">
        <f>COUNTIF($C$200:C275,C275)</f>
        <v>2</v>
      </c>
      <c r="F275" t="str">
        <f>'SEGUIMIENTO Y EVALUACIÓN'!AL87&amp;"GOAL"&amp;LEN(FORMULACIÓN!F87)</f>
        <v>L2M2P1GOAL155</v>
      </c>
      <c r="G275" t="str">
        <f t="shared" si="5"/>
        <v>L2</v>
      </c>
      <c r="H275" t="str">
        <f t="shared" si="4"/>
        <v>L2 - Investigación y Redes de conocimiento para el desarrollo de la sociedad</v>
      </c>
      <c r="I275" t="str">
        <f>IF(E275=1,INDEX(FORMULACIÓN!$F$12:$F$261,Lists!D275,1),"")</f>
        <v/>
      </c>
      <c r="J275" s="100" t="str">
        <f>IF(E275=1,SUMIF($F$200:$F$365,F275,'SEGUIMIENTO Y EVALUACIÓN'!$AV$12:$AV$261),"")</f>
        <v/>
      </c>
      <c r="K275" s="100" t="str">
        <f>IF(E275=1,SUMIF($F$200:$F$365,F275,FORMULACIÓN!$S$12:$S$261),"")</f>
        <v/>
      </c>
      <c r="L275" s="100" t="str">
        <f>IFERROR(Tabla4[[#This Row],[res.pond.meta]]/Tabla4[[#This Row],[pond.]],"")</f>
        <v/>
      </c>
    </row>
    <row r="276" spans="1:12">
      <c r="A276" t="str">
        <f>LEFT(FORMULACIÓN!F88,100)</f>
        <v xml:space="preserve">Fortalecer la articulación con redes académicas y científicas para la investigación y la producción </v>
      </c>
      <c r="C276" t="str">
        <f>Tabla2[[#This Row],[metas]]</f>
        <v xml:space="preserve">Fortalecer la articulación con redes académicas y científicas para la investigación y la producción </v>
      </c>
      <c r="D276">
        <f>FORMULACIÓN!A88</f>
        <v>77</v>
      </c>
      <c r="E276">
        <f>COUNTIF($C$200:C276,C276)</f>
        <v>3</v>
      </c>
      <c r="F276" t="str">
        <f>'SEGUIMIENTO Y EVALUACIÓN'!AL88&amp;"GOAL"&amp;LEN(FORMULACIÓN!F88)</f>
        <v>L2M2P2GOAL320</v>
      </c>
      <c r="G276" t="str">
        <f t="shared" si="5"/>
        <v>L2</v>
      </c>
      <c r="H276" t="str">
        <f t="shared" si="4"/>
        <v>L2 - Investigación y Redes de conocimiento para el desarrollo de la sociedad</v>
      </c>
      <c r="I276" t="str">
        <f>IF(E276=1,INDEX(FORMULACIÓN!$F$12:$F$261,Lists!D276,1),"")</f>
        <v/>
      </c>
      <c r="J276" s="100" t="str">
        <f>IF(E276=1,SUMIF($F$200:$F$365,F276,'SEGUIMIENTO Y EVALUACIÓN'!$AV$12:$AV$261),"")</f>
        <v/>
      </c>
      <c r="K276" s="100" t="str">
        <f>IF(E276=1,SUMIF($F$200:$F$365,F276,FORMULACIÓN!$S$12:$S$261),"")</f>
        <v/>
      </c>
      <c r="L276" s="100" t="str">
        <f>IFERROR(Tabla4[[#This Row],[res.pond.meta]]/Tabla4[[#This Row],[pond.]],"")</f>
        <v/>
      </c>
    </row>
    <row r="277" spans="1:12">
      <c r="A277" t="str">
        <f>LEFT(FORMULACIÓN!F89,100)</f>
        <v xml:space="preserve">Fortalecer la articulación con redes académicas y científicas para la investigación y la producción </v>
      </c>
      <c r="C277" t="str">
        <f>Tabla2[[#This Row],[metas]]</f>
        <v xml:space="preserve">Fortalecer la articulación con redes académicas y científicas para la investigación y la producción </v>
      </c>
      <c r="D277">
        <f>FORMULACIÓN!A89</f>
        <v>78</v>
      </c>
      <c r="E277">
        <f>COUNTIF($C$200:C277,C277)</f>
        <v>4</v>
      </c>
      <c r="F277" t="str">
        <f>'SEGUIMIENTO Y EVALUACIÓN'!AL89&amp;"GOAL"&amp;LEN(FORMULACIÓN!F89)</f>
        <v>L2M2P2GOAL320</v>
      </c>
      <c r="G277" t="str">
        <f t="shared" si="5"/>
        <v>L2</v>
      </c>
      <c r="H277" t="str">
        <f t="shared" si="4"/>
        <v>L2 - Investigación y Redes de conocimiento para el desarrollo de la sociedad</v>
      </c>
      <c r="I277" t="str">
        <f>IF(E277=1,INDEX(FORMULACIÓN!$F$12:$F$261,Lists!D277,1),"")</f>
        <v/>
      </c>
      <c r="J277" s="100" t="str">
        <f>IF(E277=1,SUMIF($F$200:$F$365,F277,'SEGUIMIENTO Y EVALUACIÓN'!$AV$12:$AV$261),"")</f>
        <v/>
      </c>
      <c r="K277" s="100" t="str">
        <f>IF(E277=1,SUMIF($F$200:$F$365,F277,FORMULACIÓN!$S$12:$S$261),"")</f>
        <v/>
      </c>
      <c r="L277" s="100" t="str">
        <f>IFERROR(Tabla4[[#This Row],[res.pond.meta]]/Tabla4[[#This Row],[pond.]],"")</f>
        <v/>
      </c>
    </row>
    <row r="278" spans="1:12">
      <c r="A278" t="str">
        <f>LEFT(FORMULACIÓN!F90,100)</f>
        <v>Incrementar, apropiar y divulgar la generación de nuevo conocimiento de calidad e impacto con 500 pu</v>
      </c>
      <c r="C278" t="str">
        <f>Tabla2[[#This Row],[metas]]</f>
        <v>Incrementar, apropiar y divulgar la generación de nuevo conocimiento de calidad e impacto con 500 pu</v>
      </c>
      <c r="D278">
        <f>FORMULACIÓN!A90</f>
        <v>79</v>
      </c>
      <c r="E278">
        <f>COUNTIF($C$200:C278,C278)</f>
        <v>6</v>
      </c>
      <c r="F278" t="str">
        <f>'SEGUIMIENTO Y EVALUACIÓN'!AL90&amp;"GOAL"&amp;LEN(FORMULACIÓN!F90)</f>
        <v>L2M2P3GOAL294</v>
      </c>
      <c r="G278" t="str">
        <f t="shared" si="5"/>
        <v>L2</v>
      </c>
      <c r="H278" t="str">
        <f t="shared" si="4"/>
        <v>L2 - Investigación y Redes de conocimiento para el desarrollo de la sociedad</v>
      </c>
      <c r="I278" t="str">
        <f>IF(E278=1,INDEX(FORMULACIÓN!$F$12:$F$261,Lists!D278,1),"")</f>
        <v/>
      </c>
      <c r="J278" s="100" t="str">
        <f>IF(E278=1,SUMIF($F$200:$F$365,F278,'SEGUIMIENTO Y EVALUACIÓN'!$AV$12:$AV$261),"")</f>
        <v/>
      </c>
      <c r="K278" s="100" t="str">
        <f>IF(E278=1,SUMIF($F$200:$F$365,F278,FORMULACIÓN!$S$12:$S$261),"")</f>
        <v/>
      </c>
      <c r="L278" s="100" t="str">
        <f>IFERROR(Tabla4[[#This Row],[res.pond.meta]]/Tabla4[[#This Row],[pond.]],"")</f>
        <v/>
      </c>
    </row>
    <row r="279" spans="1:12">
      <c r="A279" t="str">
        <f>LEFT(FORMULACIÓN!F91,100)</f>
        <v>Incrementar, apropiar y divulgar la generación de nuevo conocimiento de calidad e impacto con 500 pu</v>
      </c>
      <c r="C279" t="str">
        <f>Tabla2[[#This Row],[metas]]</f>
        <v>Incrementar, apropiar y divulgar la generación de nuevo conocimiento de calidad e impacto con 500 pu</v>
      </c>
      <c r="D279">
        <f>FORMULACIÓN!A91</f>
        <v>80</v>
      </c>
      <c r="E279">
        <f>COUNTIF($C$200:C279,C279)</f>
        <v>7</v>
      </c>
      <c r="F279" t="str">
        <f>'SEGUIMIENTO Y EVALUACIÓN'!AL91&amp;"GOAL"&amp;LEN(FORMULACIÓN!F91)</f>
        <v>L2M2P3GOAL294</v>
      </c>
      <c r="G279" t="str">
        <f t="shared" si="5"/>
        <v>L2</v>
      </c>
      <c r="H279" t="str">
        <f t="shared" si="4"/>
        <v>L2 - Investigación y Redes de conocimiento para el desarrollo de la sociedad</v>
      </c>
      <c r="I279" t="str">
        <f>IF(E279=1,INDEX(FORMULACIÓN!$F$12:$F$261,Lists!D279,1),"")</f>
        <v/>
      </c>
      <c r="J279" s="100" t="str">
        <f>IF(E279=1,SUMIF($F$200:$F$365,F279,'SEGUIMIENTO Y EVALUACIÓN'!$AV$12:$AV$261),"")</f>
        <v/>
      </c>
      <c r="K279" s="100" t="str">
        <f>IF(E279=1,SUMIF($F$200:$F$365,F279,FORMULACIÓN!$S$12:$S$261),"")</f>
        <v/>
      </c>
      <c r="L279" s="100" t="str">
        <f>IFERROR(Tabla4[[#This Row],[res.pond.meta]]/Tabla4[[#This Row],[pond.]],"")</f>
        <v/>
      </c>
    </row>
    <row r="280" spans="1:12">
      <c r="A280" t="str">
        <f>LEFT(FORMULACIÓN!F92,100)</f>
        <v>Potencializar la sostenibilidad investigativa con proyectos viables para el fortalecimiento de las c</v>
      </c>
      <c r="C280" t="str">
        <f>Tabla2[[#This Row],[metas]]</f>
        <v>Potencializar la sostenibilidad investigativa con proyectos viables para el fortalecimiento de las c</v>
      </c>
      <c r="D280">
        <f>FORMULACIÓN!A92</f>
        <v>81</v>
      </c>
      <c r="E280">
        <f>COUNTIF($C$200:C280,C280)</f>
        <v>1</v>
      </c>
      <c r="F280" t="str">
        <f>'SEGUIMIENTO Y EVALUACIÓN'!AL92&amp;"GOAL"&amp;LEN(FORMULACIÓN!F92)</f>
        <v>L2M2P3GOAL197</v>
      </c>
      <c r="G280" t="str">
        <f t="shared" si="5"/>
        <v>L2</v>
      </c>
      <c r="H280" t="str">
        <f t="shared" si="4"/>
        <v>L2 - Investigación y Redes de conocimiento para el desarrollo de la sociedad</v>
      </c>
      <c r="I280" t="str">
        <f>IF(E280=1,INDEX(FORMULACIÓN!$F$12:$F$261,Lists!D280,1),"")</f>
        <v>Potencializar la sostenibilidad investigativa con proyectos viables para el fortalecimiento de las capacidades institucionales, con 2 Spin Off desarrollados desde los laboratorios de investigación.</v>
      </c>
      <c r="J280" s="100">
        <f ca="1">IF(E280=1,SUMIF($F$200:$F$365,F280,'SEGUIMIENTO Y EVALUACIÓN'!$AV$12:$AV$261),"")</f>
        <v>0.01</v>
      </c>
      <c r="K280" s="100">
        <f>IF(E280=1,SUMIF($F$200:$F$365,F280,FORMULACIÓN!$S$12:$S$261),"")</f>
        <v>0.02</v>
      </c>
      <c r="L280" s="100">
        <f ca="1">IFERROR(Tabla4[[#This Row],[res.pond.meta]]/Tabla4[[#This Row],[pond.]],"")</f>
        <v>0.5</v>
      </c>
    </row>
    <row r="281" spans="1:12">
      <c r="A281" t="str">
        <f>LEFT(FORMULACIÓN!F93,100)</f>
        <v>Fomentar el desarrollo de proyectos de base tecnológica y la participación en convocatorias, y así l</v>
      </c>
      <c r="C281" t="str">
        <f>Tabla2[[#This Row],[metas]]</f>
        <v>Fomentar el desarrollo de proyectos de base tecnológica y la participación en convocatorias, y así l</v>
      </c>
      <c r="D281">
        <f>FORMULACIÓN!A93</f>
        <v>82</v>
      </c>
      <c r="E281">
        <f>COUNTIF($C$200:C281,C281)</f>
        <v>1</v>
      </c>
      <c r="F281" t="str">
        <f>'SEGUIMIENTO Y EVALUACIÓN'!AL93&amp;"GOAL"&amp;LEN(FORMULACIÓN!F93)</f>
        <v>L2M3P1GOAL151</v>
      </c>
      <c r="G281" t="str">
        <f t="shared" si="5"/>
        <v>L2</v>
      </c>
      <c r="H281" t="str">
        <f t="shared" si="4"/>
        <v>L2 - Investigación y Redes de conocimiento para el desarrollo de la sociedad</v>
      </c>
      <c r="I281" t="str">
        <f>IF(E281=1,INDEX(FORMULACIÓN!$F$12:$F$261,Lists!D281,1),"")</f>
        <v>Fomentar el desarrollo de proyectos de base tecnológica y la participación en convocatorias, y así lograr ejecutar mínimo 8 proyectos con financiación.</v>
      </c>
      <c r="J281" s="100">
        <f ca="1">IF(E281=1,SUMIF($F$200:$F$365,F281,'SEGUIMIENTO Y EVALUACIÓN'!$AV$12:$AV$261),"")</f>
        <v>8.1250000000000003E-2</v>
      </c>
      <c r="K281" s="100">
        <f>IF(E281=1,SUMIF($F$200:$F$365,F281,FORMULACIÓN!$S$12:$S$261),"")</f>
        <v>0.13</v>
      </c>
      <c r="L281" s="100">
        <f ca="1">IFERROR(Tabla4[[#This Row],[res.pond.meta]]/Tabla4[[#This Row],[pond.]],"")</f>
        <v>0.625</v>
      </c>
    </row>
    <row r="282" spans="1:12">
      <c r="A282" t="str">
        <f>LEFT(FORMULACIÓN!F94,100)</f>
        <v>Operacionalizar el Parque Tecnológico del Caribe PTC e integrar el ecosistema de ciencia, tecnología</v>
      </c>
      <c r="C282" t="str">
        <f>Tabla2[[#This Row],[metas]]</f>
        <v>Operacionalizar el Parque Tecnológico del Caribe PTC e integrar el ecosistema de ciencia, tecnología</v>
      </c>
      <c r="D282">
        <f>FORMULACIÓN!A94</f>
        <v>83</v>
      </c>
      <c r="E282">
        <f>COUNTIF($C$200:C282,C282)</f>
        <v>1</v>
      </c>
      <c r="F282" t="str">
        <f>'SEGUIMIENTO Y EVALUACIÓN'!AL94&amp;"GOAL"&amp;LEN(FORMULACIÓN!F94)</f>
        <v>L2M3P2GOAL524</v>
      </c>
      <c r="G282" t="str">
        <f t="shared" si="5"/>
        <v>L2</v>
      </c>
      <c r="H282" t="str">
        <f t="shared" si="4"/>
        <v>L2 - Investigación y Redes de conocimiento para el desarrollo de la sociedad</v>
      </c>
      <c r="I282" t="str">
        <f>IF(E282=1,INDEX(FORMULACIÓN!$F$12:$F$261,Lists!D282,1),"")</f>
        <v>Operacionalizar el Parque Tecnológico del Caribe PTC e integrar el ecosistema de ciencia, tecnología e innovación del Caribe, vinculando el PTC y el Centro de Investigaciones Científicas y Tecnológicas de la Universidad del Atlántico CICIT, así como otros laboratorios de investigación para impactar a las empresas de base tecnológica a través de servicios de investigación alcanzando 5 proyectos que involucren propiedad industrial, 10 contratos con empresas de base tecnológica, 10 proyectos con financiación internacional</v>
      </c>
      <c r="J282" s="100">
        <f ca="1">IF(E282=1,SUMIF($F$200:$F$365,F282,'SEGUIMIENTO Y EVALUACIÓN'!$AV$12:$AV$261),"")</f>
        <v>8.4000000000000005E-2</v>
      </c>
      <c r="K282" s="100">
        <f>IF(E282=1,SUMIF($F$200:$F$365,F282,FORMULACIÓN!$S$12:$S$261),"")</f>
        <v>0.12</v>
      </c>
      <c r="L282" s="100">
        <f ca="1">IFERROR(Tabla4[[#This Row],[res.pond.meta]]/Tabla4[[#This Row],[pond.]],"")</f>
        <v>0.70000000000000007</v>
      </c>
    </row>
    <row r="283" spans="1:12">
      <c r="A283" t="str">
        <f>LEFT(FORMULACIÓN!F95,100)</f>
        <v>Operacionalizar el Parque Tecnológico del Caribe PTC e integrar el ecosistema de ciencia, tecnología</v>
      </c>
      <c r="C283" t="str">
        <f>Tabla2[[#This Row],[metas]]</f>
        <v>Operacionalizar el Parque Tecnológico del Caribe PTC e integrar el ecosistema de ciencia, tecnología</v>
      </c>
      <c r="D283">
        <f>FORMULACIÓN!A95</f>
        <v>84</v>
      </c>
      <c r="E283">
        <f>COUNTIF($C$200:C283,C283)</f>
        <v>2</v>
      </c>
      <c r="F283" t="str">
        <f>'SEGUIMIENTO Y EVALUACIÓN'!AL95&amp;"GOAL"&amp;LEN(FORMULACIÓN!F95)</f>
        <v>L2M3P2GOAL524</v>
      </c>
      <c r="G283" t="str">
        <f t="shared" si="5"/>
        <v>L2</v>
      </c>
      <c r="H283" t="str">
        <f t="shared" si="4"/>
        <v>L2 - Investigación y Redes de conocimiento para el desarrollo de la sociedad</v>
      </c>
      <c r="I283" t="str">
        <f>IF(E283=1,INDEX(FORMULACIÓN!$F$12:$F$261,Lists!D283,1),"")</f>
        <v/>
      </c>
      <c r="J283" s="100" t="str">
        <f>IF(E283=1,SUMIF($F$200:$F$365,F283,'SEGUIMIENTO Y EVALUACIÓN'!$AV$12:$AV$261),"")</f>
        <v/>
      </c>
      <c r="K283" s="100" t="str">
        <f>IF(E283=1,SUMIF($F$200:$F$365,F283,FORMULACIÓN!$S$12:$S$261),"")</f>
        <v/>
      </c>
      <c r="L283" s="100" t="str">
        <f>IFERROR(Tabla4[[#This Row],[res.pond.meta]]/Tabla4[[#This Row],[pond.]],"")</f>
        <v/>
      </c>
    </row>
    <row r="284" spans="1:12">
      <c r="A284" t="str">
        <f>LEFT(FORMULACIÓN!F96,100)</f>
        <v>Operacionalizar el Parque Tecnológico del Caribe PTC e integrar el ecosistema de ciencia, tecnología</v>
      </c>
      <c r="C284" t="str">
        <f>Tabla2[[#This Row],[metas]]</f>
        <v>Operacionalizar el Parque Tecnológico del Caribe PTC e integrar el ecosistema de ciencia, tecnología</v>
      </c>
      <c r="D284">
        <f>FORMULACIÓN!A96</f>
        <v>85</v>
      </c>
      <c r="E284">
        <f>COUNTIF($C$200:C284,C284)</f>
        <v>3</v>
      </c>
      <c r="F284" t="str">
        <f>'SEGUIMIENTO Y EVALUACIÓN'!AL96&amp;"GOAL"&amp;LEN(FORMULACIÓN!F96)</f>
        <v>L2M3P2GOAL524</v>
      </c>
      <c r="G284" t="str">
        <f t="shared" si="5"/>
        <v>L2</v>
      </c>
      <c r="H284" t="str">
        <f t="shared" si="4"/>
        <v>L2 - Investigación y Redes de conocimiento para el desarrollo de la sociedad</v>
      </c>
      <c r="I284" t="str">
        <f>IF(E284=1,INDEX(FORMULACIÓN!$F$12:$F$261,Lists!D284,1),"")</f>
        <v/>
      </c>
      <c r="J284" s="100" t="str">
        <f>IF(E284=1,SUMIF($F$200:$F$365,F284,'SEGUIMIENTO Y EVALUACIÓN'!$AV$12:$AV$261),"")</f>
        <v/>
      </c>
      <c r="K284" s="100" t="str">
        <f>IF(E284=1,SUMIF($F$200:$F$365,F284,FORMULACIÓN!$S$12:$S$261),"")</f>
        <v/>
      </c>
      <c r="L284" s="100" t="str">
        <f>IFERROR(Tabla4[[#This Row],[res.pond.meta]]/Tabla4[[#This Row],[pond.]],"")</f>
        <v/>
      </c>
    </row>
    <row r="285" spans="1:12">
      <c r="A285" t="str">
        <f>LEFT(FORMULACIÓN!F97,100)</f>
        <v xml:space="preserve">Certificación de 15 laboratorios para prestación de servicios de investigación </v>
      </c>
      <c r="C285" t="str">
        <f>Tabla2[[#This Row],[metas]]</f>
        <v xml:space="preserve">Certificación de 15 laboratorios para prestación de servicios de investigación </v>
      </c>
      <c r="D285">
        <f>FORMULACIÓN!A97</f>
        <v>86</v>
      </c>
      <c r="E285">
        <f>COUNTIF($C$200:C285,C285)</f>
        <v>1</v>
      </c>
      <c r="F285" t="str">
        <f>'SEGUIMIENTO Y EVALUACIÓN'!AL97&amp;"GOAL"&amp;LEN(FORMULACIÓN!F97)</f>
        <v>L2M3P2GOAL79</v>
      </c>
      <c r="G285" t="str">
        <f t="shared" si="5"/>
        <v>L2</v>
      </c>
      <c r="H285" t="str">
        <f t="shared" si="4"/>
        <v>L2 - Investigación y Redes de conocimiento para el desarrollo de la sociedad</v>
      </c>
      <c r="I285" t="str">
        <f>IF(E285=1,INDEX(FORMULACIÓN!$F$12:$F$261,Lists!D285,1),"")</f>
        <v xml:space="preserve">Certificación de 15 laboratorios para prestación de servicios de investigación </v>
      </c>
      <c r="J285" s="100">
        <f ca="1">IF(E285=1,SUMIF($F$200:$F$365,F285,'SEGUIMIENTO Y EVALUACIÓN'!$AV$12:$AV$261),"")</f>
        <v>0</v>
      </c>
      <c r="K285" s="100">
        <f>IF(E285=1,SUMIF($F$200:$F$365,F285,FORMULACIÓN!$S$12:$S$261),"")</f>
        <v>0.04</v>
      </c>
      <c r="L285" s="100">
        <f ca="1">IFERROR(Tabla4[[#This Row],[res.pond.meta]]/Tabla4[[#This Row],[pond.]],"")</f>
        <v>0</v>
      </c>
    </row>
    <row r="286" spans="1:12">
      <c r="A286" t="str">
        <f>LEFT(FORMULACIÓN!F98,100)</f>
        <v>Mejoramiento de la oferta de programas de educación continua, con 1 Centro de Lenguas nativas y extr</v>
      </c>
      <c r="C286" t="str">
        <f>Tabla2[[#This Row],[metas]]</f>
        <v>Mejoramiento de la oferta de programas de educación continua, con 1 Centro de Lenguas nativas y extr</v>
      </c>
      <c r="D286">
        <f>FORMULACIÓN!A98</f>
        <v>87</v>
      </c>
      <c r="E286">
        <f>COUNTIF($C$200:C286,C286)</f>
        <v>1</v>
      </c>
      <c r="F286" t="str">
        <f>'SEGUIMIENTO Y EVALUACIÓN'!AL98&amp;"GOAL"&amp;LEN(FORMULACIÓN!F98)</f>
        <v>L3M1P1GOAL354</v>
      </c>
      <c r="G286" t="str">
        <f t="shared" si="5"/>
        <v>L3</v>
      </c>
      <c r="H286" t="str">
        <f t="shared" si="4"/>
        <v>L3 - Impacto regional, Nacional e Internacional desde la Extensión y proyección social</v>
      </c>
      <c r="I286" t="str">
        <f>IF(E286=1,INDEX(FORMULACIÓN!$F$12:$F$261,Lists!D286,1),"")</f>
        <v>Mejoramiento de la oferta de programas de educación continua, con 1 Centro de Lenguas nativas y extranjeras, 5 ambientes de aprendizaje innovadores implementados, 600 programas presenciales, 10 semipresenciales, 30 en modalidad virtual, 5 con enfoque diferencial, 10 con componente internacional y 20 convenios con  entidades del sector público y privado</v>
      </c>
      <c r="J286" s="100">
        <f ca="1">IF(E286=1,SUMIF($F$200:$F$365,F286,'SEGUIMIENTO Y EVALUACIÓN'!$AV$12:$AV$261),"")</f>
        <v>0.17499999999999999</v>
      </c>
      <c r="K286" s="100">
        <f>IF(E286=1,SUMIF($F$200:$F$365,F286,FORMULACIÓN!$S$12:$S$261),"")</f>
        <v>0.19999999999999998</v>
      </c>
      <c r="L286" s="100">
        <f ca="1">IFERROR(Tabla4[[#This Row],[res.pond.meta]]/Tabla4[[#This Row],[pond.]],"")</f>
        <v>0.875</v>
      </c>
    </row>
    <row r="287" spans="1:12">
      <c r="A287" t="str">
        <f>LEFT(FORMULACIÓN!F99,100)</f>
        <v>Mejoramiento de la oferta de programas de educación continua, con 1 Centro de Lenguas nativas y extr</v>
      </c>
      <c r="C287" t="str">
        <f>Tabla2[[#This Row],[metas]]</f>
        <v>Mejoramiento de la oferta de programas de educación continua, con 1 Centro de Lenguas nativas y extr</v>
      </c>
      <c r="D287">
        <f>FORMULACIÓN!A99</f>
        <v>88</v>
      </c>
      <c r="E287">
        <f>COUNTIF($C$200:C287,C287)</f>
        <v>2</v>
      </c>
      <c r="F287" t="str">
        <f>'SEGUIMIENTO Y EVALUACIÓN'!AL99&amp;"GOAL"&amp;LEN(FORMULACIÓN!F99)</f>
        <v>L3M1P1GOAL354</v>
      </c>
      <c r="G287" t="str">
        <f t="shared" si="5"/>
        <v>L3</v>
      </c>
      <c r="H287" t="str">
        <f t="shared" si="4"/>
        <v>L3 - Impacto regional, Nacional e Internacional desde la Extensión y proyección social</v>
      </c>
      <c r="I287" t="str">
        <f>IF(E287=1,INDEX(FORMULACIÓN!$F$12:$F$261,Lists!D287,1),"")</f>
        <v/>
      </c>
      <c r="J287" s="100" t="str">
        <f>IF(E287=1,SUMIF($F$200:$F$365,F287,'SEGUIMIENTO Y EVALUACIÓN'!$AV$12:$AV$261),"")</f>
        <v/>
      </c>
      <c r="K287" s="100" t="str">
        <f>IF(E287=1,SUMIF($F$200:$F$365,F287,FORMULACIÓN!$S$12:$S$261),"")</f>
        <v/>
      </c>
      <c r="L287" s="100" t="str">
        <f>IFERROR(Tabla4[[#This Row],[res.pond.meta]]/Tabla4[[#This Row],[pond.]],"")</f>
        <v/>
      </c>
    </row>
    <row r="288" spans="1:12">
      <c r="A288" t="str">
        <f>LEFT(FORMULACIÓN!F100,100)</f>
        <v>Mejoramiento de la oferta de programas de educación continua, con 1 Centro de Lenguas nativas y extr</v>
      </c>
      <c r="C288" t="str">
        <f>Tabla2[[#This Row],[metas]]</f>
        <v>Mejoramiento de la oferta de programas de educación continua, con 1 Centro de Lenguas nativas y extr</v>
      </c>
      <c r="D288">
        <f>FORMULACIÓN!A100</f>
        <v>89</v>
      </c>
      <c r="E288">
        <f>COUNTIF($C$200:C288,C288)</f>
        <v>3</v>
      </c>
      <c r="F288" t="str">
        <f>'SEGUIMIENTO Y EVALUACIÓN'!AL100&amp;"GOAL"&amp;LEN(FORMULACIÓN!F100)</f>
        <v>L3M1P1GOAL354</v>
      </c>
      <c r="G288" t="str">
        <f t="shared" si="5"/>
        <v>L3</v>
      </c>
      <c r="H288" t="str">
        <f t="shared" si="4"/>
        <v>L3 - Impacto regional, Nacional e Internacional desde la Extensión y proyección social</v>
      </c>
      <c r="I288" t="str">
        <f>IF(E288=1,INDEX(FORMULACIÓN!$F$12:$F$261,Lists!D288,1),"")</f>
        <v/>
      </c>
      <c r="J288" s="100" t="str">
        <f>IF(E288=1,SUMIF($F$200:$F$365,F288,'SEGUIMIENTO Y EVALUACIÓN'!$AV$12:$AV$261),"")</f>
        <v/>
      </c>
      <c r="K288" s="100" t="str">
        <f>IF(E288=1,SUMIF($F$200:$F$365,F288,FORMULACIÓN!$S$12:$S$261),"")</f>
        <v/>
      </c>
      <c r="L288" s="100" t="str">
        <f>IFERROR(Tabla4[[#This Row],[res.pond.meta]]/Tabla4[[#This Row],[pond.]],"")</f>
        <v/>
      </c>
    </row>
    <row r="289" spans="1:12">
      <c r="A289" t="str">
        <f>LEFT(FORMULACIÓN!F101,100)</f>
        <v>Mejoramiento de la oferta de programas de educación continua, con 1 Centro de Lenguas nativas y extr</v>
      </c>
      <c r="C289" t="str">
        <f>Tabla2[[#This Row],[metas]]</f>
        <v>Mejoramiento de la oferta de programas de educación continua, con 1 Centro de Lenguas nativas y extr</v>
      </c>
      <c r="D289">
        <f>FORMULACIÓN!A101</f>
        <v>90</v>
      </c>
      <c r="E289">
        <f>COUNTIF($C$200:C289,C289)</f>
        <v>4</v>
      </c>
      <c r="F289" t="str">
        <f>'SEGUIMIENTO Y EVALUACIÓN'!AL101&amp;"GOAL"&amp;LEN(FORMULACIÓN!F101)</f>
        <v>L3M1P1GOAL354</v>
      </c>
      <c r="G289" t="str">
        <f t="shared" si="5"/>
        <v>L3</v>
      </c>
      <c r="H289" t="str">
        <f t="shared" si="4"/>
        <v>L3 - Impacto regional, Nacional e Internacional desde la Extensión y proyección social</v>
      </c>
      <c r="I289" t="str">
        <f>IF(E289=1,INDEX(FORMULACIÓN!$F$12:$F$261,Lists!D289,1),"")</f>
        <v/>
      </c>
      <c r="J289" s="100" t="str">
        <f>IF(E289=1,SUMIF($F$200:$F$365,F289,'SEGUIMIENTO Y EVALUACIÓN'!$AV$12:$AV$261),"")</f>
        <v/>
      </c>
      <c r="K289" s="100" t="str">
        <f>IF(E289=1,SUMIF($F$200:$F$365,F289,FORMULACIÓN!$S$12:$S$261),"")</f>
        <v/>
      </c>
      <c r="L289" s="100" t="str">
        <f>IFERROR(Tabla4[[#This Row],[res.pond.meta]]/Tabla4[[#This Row],[pond.]],"")</f>
        <v/>
      </c>
    </row>
    <row r="290" spans="1:12">
      <c r="A290" t="str">
        <f>LEFT(FORMULACIÓN!F102,100)</f>
        <v>Mejoramiento de la oferta de programas de educación continua, con 1 Centro de Lenguas nativas y extr</v>
      </c>
      <c r="C290" t="str">
        <f>Tabla2[[#This Row],[metas]]</f>
        <v>Mejoramiento de la oferta de programas de educación continua, con 1 Centro de Lenguas nativas y extr</v>
      </c>
      <c r="D290">
        <f>FORMULACIÓN!A102</f>
        <v>91</v>
      </c>
      <c r="E290">
        <f>COUNTIF($C$200:C290,C290)</f>
        <v>5</v>
      </c>
      <c r="F290" t="str">
        <f>'SEGUIMIENTO Y EVALUACIÓN'!AL102&amp;"GOAL"&amp;LEN(FORMULACIÓN!F102)</f>
        <v>L3M1P1GOAL354</v>
      </c>
      <c r="G290" t="str">
        <f t="shared" si="5"/>
        <v>L3</v>
      </c>
      <c r="H290" t="str">
        <f t="shared" si="4"/>
        <v>L3 - Impacto regional, Nacional e Internacional desde la Extensión y proyección social</v>
      </c>
      <c r="I290" t="str">
        <f>IF(E290=1,INDEX(FORMULACIÓN!$F$12:$F$261,Lists!D290,1),"")</f>
        <v/>
      </c>
      <c r="J290" s="100" t="str">
        <f>IF(E290=1,SUMIF($F$200:$F$365,F290,'SEGUIMIENTO Y EVALUACIÓN'!$AV$12:$AV$261),"")</f>
        <v/>
      </c>
      <c r="K290" s="100" t="str">
        <f>IF(E290=1,SUMIF($F$200:$F$365,F290,FORMULACIÓN!$S$12:$S$261),"")</f>
        <v/>
      </c>
      <c r="L290" s="100" t="str">
        <f>IFERROR(Tabla4[[#This Row],[res.pond.meta]]/Tabla4[[#This Row],[pond.]],"")</f>
        <v/>
      </c>
    </row>
    <row r="291" spans="1:12">
      <c r="A291" t="str">
        <f>LEFT(FORMULACIÓN!F103,100)</f>
        <v>Mejoramiento de la oferta de programas de educación continua, con 1 Centro de Lenguas nativas y extr</v>
      </c>
      <c r="C291" t="str">
        <f>Tabla2[[#This Row],[metas]]</f>
        <v>Mejoramiento de la oferta de programas de educación continua, con 1 Centro de Lenguas nativas y extr</v>
      </c>
      <c r="D291">
        <f>FORMULACIÓN!A103</f>
        <v>92</v>
      </c>
      <c r="E291">
        <f>COUNTIF($C$200:C291,C291)</f>
        <v>6</v>
      </c>
      <c r="F291" t="str">
        <f>'SEGUIMIENTO Y EVALUACIÓN'!AL103&amp;"GOAL"&amp;LEN(FORMULACIÓN!F103)</f>
        <v>L3M1P1GOAL354</v>
      </c>
      <c r="G291" t="str">
        <f t="shared" si="5"/>
        <v>L3</v>
      </c>
      <c r="H291" t="str">
        <f t="shared" si="4"/>
        <v>L3 - Impacto regional, Nacional e Internacional desde la Extensión y proyección social</v>
      </c>
      <c r="I291" t="str">
        <f>IF(E291=1,INDEX(FORMULACIÓN!$F$12:$F$261,Lists!D291,1),"")</f>
        <v/>
      </c>
      <c r="J291" s="100" t="str">
        <f>IF(E291=1,SUMIF($F$200:$F$365,F291,'SEGUIMIENTO Y EVALUACIÓN'!$AV$12:$AV$261),"")</f>
        <v/>
      </c>
      <c r="K291" s="100" t="str">
        <f>IF(E291=1,SUMIF($F$200:$F$365,F291,FORMULACIÓN!$S$12:$S$261),"")</f>
        <v/>
      </c>
      <c r="L291" s="100" t="str">
        <f>IFERROR(Tabla4[[#This Row],[res.pond.meta]]/Tabla4[[#This Row],[pond.]],"")</f>
        <v/>
      </c>
    </row>
    <row r="292" spans="1:12">
      <c r="A292" t="str">
        <f>LEFT(FORMULACIÓN!F104,100)</f>
        <v>Mejoramiento de la oferta de programas de educación continua, con 1 Centro de Lenguas nativas y extr</v>
      </c>
      <c r="C292" t="str">
        <f>Tabla2[[#This Row],[metas]]</f>
        <v>Mejoramiento de la oferta de programas de educación continua, con 1 Centro de Lenguas nativas y extr</v>
      </c>
      <c r="D292">
        <f>FORMULACIÓN!A104</f>
        <v>93</v>
      </c>
      <c r="E292">
        <f>COUNTIF($C$200:C292,C292)</f>
        <v>7</v>
      </c>
      <c r="F292" t="str">
        <f>'SEGUIMIENTO Y EVALUACIÓN'!AL104&amp;"GOAL"&amp;LEN(FORMULACIÓN!F104)</f>
        <v>L3M1P1GOAL354</v>
      </c>
      <c r="G292" t="str">
        <f t="shared" si="5"/>
        <v>L3</v>
      </c>
      <c r="H292" t="str">
        <f t="shared" si="4"/>
        <v>L3 - Impacto regional, Nacional e Internacional desde la Extensión y proyección social</v>
      </c>
      <c r="I292" t="str">
        <f>IF(E292=1,INDEX(FORMULACIÓN!$F$12:$F$261,Lists!D292,1),"")</f>
        <v/>
      </c>
      <c r="J292" s="100" t="str">
        <f>IF(E292=1,SUMIF($F$200:$F$365,F292,'SEGUIMIENTO Y EVALUACIÓN'!$AV$12:$AV$261),"")</f>
        <v/>
      </c>
      <c r="K292" s="100" t="str">
        <f>IF(E292=1,SUMIF($F$200:$F$365,F292,FORMULACIÓN!$S$12:$S$261),"")</f>
        <v/>
      </c>
      <c r="L292" s="100" t="str">
        <f>IFERROR(Tabla4[[#This Row],[res.pond.meta]]/Tabla4[[#This Row],[pond.]],"")</f>
        <v/>
      </c>
    </row>
    <row r="293" spans="1:12">
      <c r="A293" t="str">
        <f>LEFT(FORMULACIÓN!F105,100)</f>
        <v>Mejoramiento de la oferta de programas de educación continua, con 1 Centro de Lenguas nativas y extr</v>
      </c>
      <c r="C293" t="str">
        <f>Tabla2[[#This Row],[metas]]</f>
        <v>Mejoramiento de la oferta de programas de educación continua, con 1 Centro de Lenguas nativas y extr</v>
      </c>
      <c r="D293">
        <f>FORMULACIÓN!A105</f>
        <v>94</v>
      </c>
      <c r="E293">
        <f>COUNTIF($C$200:C293,C293)</f>
        <v>8</v>
      </c>
      <c r="F293" t="str">
        <f>'SEGUIMIENTO Y EVALUACIÓN'!AL105&amp;"GOAL"&amp;LEN(FORMULACIÓN!F105)</f>
        <v>L3M1P1GOAL354</v>
      </c>
      <c r="G293" t="str">
        <f t="shared" si="5"/>
        <v>L3</v>
      </c>
      <c r="H293" t="str">
        <f t="shared" si="4"/>
        <v>L3 - Impacto regional, Nacional e Internacional desde la Extensión y proyección social</v>
      </c>
      <c r="I293" t="str">
        <f>IF(E293=1,INDEX(FORMULACIÓN!$F$12:$F$261,Lists!D293,1),"")</f>
        <v/>
      </c>
      <c r="J293" s="100" t="str">
        <f>IF(E293=1,SUMIF($F$200:$F$365,F293,'SEGUIMIENTO Y EVALUACIÓN'!$AV$12:$AV$261),"")</f>
        <v/>
      </c>
      <c r="K293" s="100" t="str">
        <f>IF(E293=1,SUMIF($F$200:$F$365,F293,FORMULACIÓN!$S$12:$S$261),"")</f>
        <v/>
      </c>
      <c r="L293" s="100" t="str">
        <f>IFERROR(Tabla4[[#This Row],[res.pond.meta]]/Tabla4[[#This Row],[pond.]],"")</f>
        <v/>
      </c>
    </row>
    <row r="294" spans="1:12">
      <c r="A294" t="str">
        <f>LEFT(FORMULACIÓN!F106,100)</f>
        <v>Concretar al menos 70 proyectos de extensión y proyección social remunerados con el sector público y</v>
      </c>
      <c r="C294" t="str">
        <f>Tabla2[[#This Row],[metas]]</f>
        <v>Concretar al menos 70 proyectos de extensión y proyección social remunerados con el sector público y</v>
      </c>
      <c r="D294">
        <f>FORMULACIÓN!A106</f>
        <v>95</v>
      </c>
      <c r="E294">
        <f>COUNTIF($C$200:C294,C294)</f>
        <v>1</v>
      </c>
      <c r="F294" t="str">
        <f>'SEGUIMIENTO Y EVALUACIÓN'!AL106&amp;"GOAL"&amp;LEN(FORMULACIÓN!F106)</f>
        <v>L3M2P1GOAL191</v>
      </c>
      <c r="G294" t="str">
        <f t="shared" si="5"/>
        <v>L3</v>
      </c>
      <c r="H294" t="str">
        <f t="shared" si="4"/>
        <v>L3 - Impacto regional, Nacional e Internacional desde la Extensión y proyección social</v>
      </c>
      <c r="I294" t="str">
        <f>IF(E294=1,INDEX(FORMULACIÓN!$F$12:$F$261,Lists!D294,1),"")</f>
        <v>Concretar al menos 70 proyectos de extensión y proyección social remunerados con el sector público y/o privado a través de la gestión de alianzas y convenios a nivel nacional e internacional.</v>
      </c>
      <c r="J294" s="100">
        <f ca="1">IF(E294=1,SUMIF($F$200:$F$365,F294,'SEGUIMIENTO Y EVALUACIÓN'!$AV$12:$AV$261),"")</f>
        <v>7.4999999999999997E-2</v>
      </c>
      <c r="K294" s="100">
        <f>IF(E294=1,SUMIF($F$200:$F$365,F294,FORMULACIÓN!$S$12:$S$261),"")</f>
        <v>7.4999999999999997E-2</v>
      </c>
      <c r="L294" s="100">
        <f ca="1">IFERROR(Tabla4[[#This Row],[res.pond.meta]]/Tabla4[[#This Row],[pond.]],"")</f>
        <v>1</v>
      </c>
    </row>
    <row r="295" spans="1:12">
      <c r="A295" t="str">
        <f>LEFT(FORMULACIÓN!F107,100)</f>
        <v xml:space="preserve">Incrementar en un 20% los ingresos del Centro de Investigaciones Científicas y Tecnológicas (CICIT) </v>
      </c>
      <c r="C295" t="str">
        <f>Tabla2[[#This Row],[metas]]</f>
        <v xml:space="preserve">Incrementar en un 20% los ingresos del Centro de Investigaciones Científicas y Tecnológicas (CICIT) </v>
      </c>
      <c r="D295">
        <f>FORMULACIÓN!A107</f>
        <v>96</v>
      </c>
      <c r="E295">
        <f>COUNTIF($C$200:C295,C295)</f>
        <v>1</v>
      </c>
      <c r="F295" t="str">
        <f>'SEGUIMIENTO Y EVALUACIÓN'!AL107&amp;"GOAL"&amp;LEN(FORMULACIÓN!F107)</f>
        <v>L3M2P1GOAL179</v>
      </c>
      <c r="G295" t="str">
        <f t="shared" si="5"/>
        <v>L3</v>
      </c>
      <c r="H295" t="str">
        <f t="shared" si="4"/>
        <v>L3 - Impacto regional, Nacional e Internacional desde la Extensión y proyección social</v>
      </c>
      <c r="I295" t="str">
        <f>IF(E295=1,INDEX(FORMULACIÓN!$F$12:$F$261,Lists!D295,1),"")</f>
        <v xml:space="preserve">Incrementar en un 20% los ingresos del Centro de Investigaciones Científicas y Tecnológicas (CICIT) y Parque Tecnológico del Caribe (PTC) por servicios científicos y tecnológicos </v>
      </c>
      <c r="J295" s="100">
        <f ca="1">IF(E295=1,SUMIF($F$200:$F$365,F295,'SEGUIMIENTO Y EVALUACIÓN'!$AV$12:$AV$261),"")</f>
        <v>7.4999999999999997E-2</v>
      </c>
      <c r="K295" s="100">
        <f>IF(E295=1,SUMIF($F$200:$F$365,F295,FORMULACIÓN!$S$12:$S$261),"")</f>
        <v>7.4999999999999997E-2</v>
      </c>
      <c r="L295" s="100">
        <f ca="1">IFERROR(Tabla4[[#This Row],[res.pond.meta]]/Tabla4[[#This Row],[pond.]],"")</f>
        <v>1</v>
      </c>
    </row>
    <row r="296" spans="1:12">
      <c r="A296" t="str">
        <f>LEFT(FORMULACIÓN!F108,100)</f>
        <v>Formular e implementar la política de innovación, emprendimiento y transferencia tecnológica y gesti</v>
      </c>
      <c r="C296" t="str">
        <f>Tabla2[[#This Row],[metas]]</f>
        <v>Formular e implementar la política de innovación, emprendimiento y transferencia tecnológica y gesti</v>
      </c>
      <c r="D296">
        <f>FORMULACIÓN!A108</f>
        <v>97</v>
      </c>
      <c r="E296">
        <f>COUNTIF($C$200:C296,C296)</f>
        <v>1</v>
      </c>
      <c r="F296" t="str">
        <f>'SEGUIMIENTO Y EVALUACIÓN'!AL108&amp;"GOAL"&amp;LEN(FORMULACIÓN!F108)</f>
        <v>L3M2P2GOAL216</v>
      </c>
      <c r="G296" t="str">
        <f t="shared" si="5"/>
        <v>L3</v>
      </c>
      <c r="H296" t="str">
        <f t="shared" ref="H296:H327" si="6">IFERROR(INDEX(lin,VLOOKUP(G296,$E$191:$F$195,2,FALSE),1),"")</f>
        <v>L3 - Impacto regional, Nacional e Internacional desde la Extensión y proyección social</v>
      </c>
      <c r="I296" t="str">
        <f>IF(E296=1,INDEX(FORMULACIÓN!$F$12:$F$261,Lists!D296,1),"")</f>
        <v>Formular e implementar la política de innovación, emprendimiento y transferencia tecnológica y gestionar 30 proyectos de innovación a nivel nacional e internacional, y aportar 7 productos de transferencia tecnológica</v>
      </c>
      <c r="J296" s="100">
        <f ca="1">IF(E296=1,SUMIF($F$200:$F$365,F296,'SEGUIMIENTO Y EVALUACIÓN'!$AV$12:$AV$261),"")</f>
        <v>0.05</v>
      </c>
      <c r="K296" s="100">
        <f>IF(E296=1,SUMIF($F$200:$F$365,F296,FORMULACIÓN!$S$12:$S$261),"")</f>
        <v>7.5000000000000011E-2</v>
      </c>
      <c r="L296" s="100">
        <f ca="1">IFERROR(Tabla4[[#This Row],[res.pond.meta]]/Tabla4[[#This Row],[pond.]],"")</f>
        <v>0.66666666666666663</v>
      </c>
    </row>
    <row r="297" spans="1:12">
      <c r="A297" t="str">
        <f>LEFT(FORMULACIÓN!F109,100)</f>
        <v>Formular e implementar la política de innovación, emprendimiento y transferencia tecnológica y gesti</v>
      </c>
      <c r="C297" t="str">
        <f>Tabla2[[#This Row],[metas]]</f>
        <v>Formular e implementar la política de innovación, emprendimiento y transferencia tecnológica y gesti</v>
      </c>
      <c r="D297">
        <f>FORMULACIÓN!A109</f>
        <v>98</v>
      </c>
      <c r="E297">
        <f>COUNTIF($C$200:C297,C297)</f>
        <v>2</v>
      </c>
      <c r="F297" t="str">
        <f>'SEGUIMIENTO Y EVALUACIÓN'!AL109&amp;"GOAL"&amp;LEN(FORMULACIÓN!F109)</f>
        <v>L3M2P2GOAL216</v>
      </c>
      <c r="G297" t="str">
        <f t="shared" si="5"/>
        <v>L3</v>
      </c>
      <c r="H297" t="str">
        <f t="shared" si="6"/>
        <v>L3 - Impacto regional, Nacional e Internacional desde la Extensión y proyección social</v>
      </c>
      <c r="I297" t="str">
        <f>IF(E297=1,INDEX(FORMULACIÓN!$F$12:$F$261,Lists!D297,1),"")</f>
        <v/>
      </c>
      <c r="J297" s="100" t="str">
        <f>IF(E297=1,SUMIF($F$200:$F$365,F297,'SEGUIMIENTO Y EVALUACIÓN'!$AV$12:$AV$261),"")</f>
        <v/>
      </c>
      <c r="K297" s="100" t="str">
        <f>IF(E297=1,SUMIF($F$200:$F$365,F297,FORMULACIÓN!$S$12:$S$261),"")</f>
        <v/>
      </c>
      <c r="L297" s="100" t="str">
        <f>IFERROR(Tabla4[[#This Row],[res.pond.meta]]/Tabla4[[#This Row],[pond.]],"")</f>
        <v/>
      </c>
    </row>
    <row r="298" spans="1:12">
      <c r="A298" t="str">
        <f>LEFT(FORMULACIÓN!F110,100)</f>
        <v>Formular e implementar la política de innovación, emprendimiento y transferencia tecnológica y gesti</v>
      </c>
      <c r="C298" t="str">
        <f>Tabla2[[#This Row],[metas]]</f>
        <v>Formular e implementar la política de innovación, emprendimiento y transferencia tecnológica y gesti</v>
      </c>
      <c r="D298">
        <f>FORMULACIÓN!A110</f>
        <v>99</v>
      </c>
      <c r="E298">
        <f>COUNTIF($C$200:C298,C298)</f>
        <v>3</v>
      </c>
      <c r="F298" t="str">
        <f>'SEGUIMIENTO Y EVALUACIÓN'!AL110&amp;"GOAL"&amp;LEN(FORMULACIÓN!F110)</f>
        <v>L3M2P2GOAL216</v>
      </c>
      <c r="G298" t="str">
        <f t="shared" si="5"/>
        <v>L3</v>
      </c>
      <c r="H298" t="str">
        <f t="shared" si="6"/>
        <v>L3 - Impacto regional, Nacional e Internacional desde la Extensión y proyección social</v>
      </c>
      <c r="I298" t="str">
        <f>IF(E298=1,INDEX(FORMULACIÓN!$F$12:$F$261,Lists!D298,1),"")</f>
        <v/>
      </c>
      <c r="J298" s="100" t="str">
        <f>IF(E298=1,SUMIF($F$200:$F$365,F298,'SEGUIMIENTO Y EVALUACIÓN'!$AV$12:$AV$261),"")</f>
        <v/>
      </c>
      <c r="K298" s="100" t="str">
        <f>IF(E298=1,SUMIF($F$200:$F$365,F298,FORMULACIÓN!$S$12:$S$261),"")</f>
        <v/>
      </c>
      <c r="L298" s="100" t="str">
        <f>IFERROR(Tabla4[[#This Row],[res.pond.meta]]/Tabla4[[#This Row],[pond.]],"")</f>
        <v/>
      </c>
    </row>
    <row r="299" spans="1:12">
      <c r="A299" t="str">
        <f>LEFT(FORMULACIÓN!F111,100)</f>
        <v xml:space="preserve">Crear el Centro de Emprendimiento UA Emprende para garantizar la sostenibilidad de por lo menos  el </v>
      </c>
      <c r="C299" t="str">
        <f>Tabla2[[#This Row],[metas]]</f>
        <v xml:space="preserve">Crear el Centro de Emprendimiento UA Emprende para garantizar la sostenibilidad de por lo menos  el </v>
      </c>
      <c r="D299">
        <f>FORMULACIÓN!A111</f>
        <v>100</v>
      </c>
      <c r="E299">
        <f>COUNTIF($C$200:C299,C299)</f>
        <v>1</v>
      </c>
      <c r="F299" t="str">
        <f>'SEGUIMIENTO Y EVALUACIÓN'!AL111&amp;"GOAL"&amp;LEN(FORMULACIÓN!F111)</f>
        <v>L3M2P2GOAL134</v>
      </c>
      <c r="G299" t="str">
        <f t="shared" si="5"/>
        <v>L3</v>
      </c>
      <c r="H299" t="str">
        <f t="shared" si="6"/>
        <v>L3 - Impacto regional, Nacional e Internacional desde la Extensión y proyección social</v>
      </c>
      <c r="I299" t="str">
        <f>IF(E299=1,INDEX(FORMULACIÓN!$F$12:$F$261,Lists!D299,1),"")</f>
        <v>Crear el Centro de Emprendimiento UA Emprende para garantizar la sostenibilidad de por lo menos  el 3% de proyectos de emprendimiento.</v>
      </c>
      <c r="J299" s="100">
        <f ca="1">IF(E299=1,SUMIF($F$200:$F$365,F299,'SEGUIMIENTO Y EVALUACIÓN'!$AV$12:$AV$261),"")</f>
        <v>0</v>
      </c>
      <c r="K299" s="100">
        <f>IF(E299=1,SUMIF($F$200:$F$365,F299,FORMULACIÓN!$S$12:$S$261),"")</f>
        <v>7.5000000000000011E-2</v>
      </c>
      <c r="L299" s="100">
        <f ca="1">IFERROR(Tabla4[[#This Row],[res.pond.meta]]/Tabla4[[#This Row],[pond.]],"")</f>
        <v>0</v>
      </c>
    </row>
    <row r="300" spans="1:12">
      <c r="A300" t="str">
        <f>LEFT(FORMULACIÓN!F112,100)</f>
        <v xml:space="preserve">Crear el Centro de Emprendimiento UA Emprende para garantizar la sostenibilidad de por lo menos  el </v>
      </c>
      <c r="C300" t="str">
        <f>Tabla2[[#This Row],[metas]]</f>
        <v xml:space="preserve">Crear el Centro de Emprendimiento UA Emprende para garantizar la sostenibilidad de por lo menos  el </v>
      </c>
      <c r="D300">
        <f>FORMULACIÓN!A112</f>
        <v>101</v>
      </c>
      <c r="E300">
        <f>COUNTIF($C$200:C300,C300)</f>
        <v>2</v>
      </c>
      <c r="F300" t="str">
        <f>'SEGUIMIENTO Y EVALUACIÓN'!AL112&amp;"GOAL"&amp;LEN(FORMULACIÓN!F112)</f>
        <v>L3M2P2GOAL134</v>
      </c>
      <c r="G300" t="str">
        <f t="shared" si="5"/>
        <v>L3</v>
      </c>
      <c r="H300" t="str">
        <f t="shared" si="6"/>
        <v>L3 - Impacto regional, Nacional e Internacional desde la Extensión y proyección social</v>
      </c>
      <c r="I300" t="str">
        <f>IF(E300=1,INDEX(FORMULACIÓN!$F$12:$F$261,Lists!D300,1),"")</f>
        <v/>
      </c>
      <c r="J300" s="100" t="str">
        <f>IF(E300=1,SUMIF($F$200:$F$365,F300,'SEGUIMIENTO Y EVALUACIÓN'!$AV$12:$AV$261),"")</f>
        <v/>
      </c>
      <c r="K300" s="100" t="str">
        <f>IF(E300=1,SUMIF($F$200:$F$365,F300,FORMULACIÓN!$S$12:$S$261),"")</f>
        <v/>
      </c>
      <c r="L300" s="100" t="str">
        <f>IFERROR(Tabla4[[#This Row],[res.pond.meta]]/Tabla4[[#This Row],[pond.]],"")</f>
        <v/>
      </c>
    </row>
    <row r="301" spans="1:12">
      <c r="A301" t="str">
        <f>LEFT(FORMULACIÓN!F113,100)</f>
        <v xml:space="preserve">Crear el Centro de Emprendimiento UA Emprende para garantizar la sostenibilidad de por lo menos  el </v>
      </c>
      <c r="C301" t="str">
        <f>Tabla2[[#This Row],[metas]]</f>
        <v xml:space="preserve">Crear el Centro de Emprendimiento UA Emprende para garantizar la sostenibilidad de por lo menos  el </v>
      </c>
      <c r="D301">
        <f>FORMULACIÓN!A113</f>
        <v>102</v>
      </c>
      <c r="E301">
        <f>COUNTIF($C$200:C301,C301)</f>
        <v>3</v>
      </c>
      <c r="F301" t="str">
        <f>'SEGUIMIENTO Y EVALUACIÓN'!AL113&amp;"GOAL"&amp;LEN(FORMULACIÓN!F113)</f>
        <v>L3M2P2GOAL134</v>
      </c>
      <c r="G301" t="str">
        <f t="shared" si="5"/>
        <v>L3</v>
      </c>
      <c r="H301" t="str">
        <f t="shared" si="6"/>
        <v>L3 - Impacto regional, Nacional e Internacional desde la Extensión y proyección social</v>
      </c>
      <c r="I301" t="str">
        <f>IF(E301=1,INDEX(FORMULACIÓN!$F$12:$F$261,Lists!D301,1),"")</f>
        <v/>
      </c>
      <c r="J301" s="100" t="str">
        <f>IF(E301=1,SUMIF($F$200:$F$365,F301,'SEGUIMIENTO Y EVALUACIÓN'!$AV$12:$AV$261),"")</f>
        <v/>
      </c>
      <c r="K301" s="100" t="str">
        <f>IF(E301=1,SUMIF($F$200:$F$365,F301,FORMULACIÓN!$S$12:$S$261),"")</f>
        <v/>
      </c>
      <c r="L301" s="100" t="str">
        <f>IFERROR(Tabla4[[#This Row],[res.pond.meta]]/Tabla4[[#This Row],[pond.]],"")</f>
        <v/>
      </c>
    </row>
    <row r="302" spans="1:12">
      <c r="A302" t="str">
        <f>LEFT(FORMULACIÓN!F114,100)</f>
        <v>Actualizar y fortalecer la Política de Egresados</v>
      </c>
      <c r="C302" t="str">
        <f>Tabla2[[#This Row],[metas]]</f>
        <v>Actualizar y fortalecer la Política de Egresados</v>
      </c>
      <c r="D302">
        <f>FORMULACIÓN!A114</f>
        <v>103</v>
      </c>
      <c r="E302">
        <f>COUNTIF($C$200:C302,C302)</f>
        <v>1</v>
      </c>
      <c r="F302" t="str">
        <f>'SEGUIMIENTO Y EVALUACIÓN'!AL114&amp;"GOAL"&amp;LEN(FORMULACIÓN!F114)</f>
        <v>L3M2P3GOAL48</v>
      </c>
      <c r="G302" t="str">
        <f t="shared" si="5"/>
        <v>L3</v>
      </c>
      <c r="H302" t="str">
        <f t="shared" si="6"/>
        <v>L3 - Impacto regional, Nacional e Internacional desde la Extensión y proyección social</v>
      </c>
      <c r="I302" t="str">
        <f>IF(E302=1,INDEX(FORMULACIÓN!$F$12:$F$261,Lists!D302,1),"")</f>
        <v>Actualizar y fortalecer la Política de Egresados</v>
      </c>
      <c r="J302" s="100">
        <f ca="1">IF(E302=1,SUMIF($F$200:$F$365,F302,'SEGUIMIENTO Y EVALUACIÓN'!$AV$12:$AV$261),"")</f>
        <v>2.5000000000000001E-2</v>
      </c>
      <c r="K302" s="100">
        <f>IF(E302=1,SUMIF($F$200:$F$365,F302,FORMULACIÓN!$S$12:$S$261),"")</f>
        <v>2.5000000000000001E-2</v>
      </c>
      <c r="L302" s="100">
        <f ca="1">IFERROR(Tabla4[[#This Row],[res.pond.meta]]/Tabla4[[#This Row],[pond.]],"")</f>
        <v>1</v>
      </c>
    </row>
    <row r="303" spans="1:12">
      <c r="A303" t="str">
        <f>LEFT(FORMULACIÓN!F115,100)</f>
        <v>Promover el apoyo y la participación de los graduados para ofertar servicios al sector público y pri</v>
      </c>
      <c r="C303" t="str">
        <f>Tabla2[[#This Row],[metas]]</f>
        <v>Promover el apoyo y la participación de los graduados para ofertar servicios al sector público y pri</v>
      </c>
      <c r="D303">
        <f>FORMULACIÓN!A115</f>
        <v>104</v>
      </c>
      <c r="E303">
        <f>COUNTIF($C$200:C303,C303)</f>
        <v>1</v>
      </c>
      <c r="F303" t="str">
        <f>'SEGUIMIENTO Y EVALUACIÓN'!AL115&amp;"GOAL"&amp;LEN(FORMULACIÓN!F115)</f>
        <v>L3M2P3GOAL105</v>
      </c>
      <c r="G303" t="str">
        <f t="shared" si="5"/>
        <v>L3</v>
      </c>
      <c r="H303" t="str">
        <f t="shared" si="6"/>
        <v>L3 - Impacto regional, Nacional e Internacional desde la Extensión y proyección social</v>
      </c>
      <c r="I303" t="str">
        <f>IF(E303=1,INDEX(FORMULACIÓN!$F$12:$F$261,Lists!D303,1),"")</f>
        <v>Promover el apoyo y la participación de los graduados para ofertar servicios al sector público y privado.</v>
      </c>
      <c r="J303" s="100">
        <f ca="1">IF(E303=1,SUMIF($F$200:$F$365,F303,'SEGUIMIENTO Y EVALUACIÓN'!$AV$12:$AV$261),"")</f>
        <v>2.5000000000000001E-2</v>
      </c>
      <c r="K303" s="100">
        <f>IF(E303=1,SUMIF($F$200:$F$365,F303,FORMULACIÓN!$S$12:$S$261),"")</f>
        <v>2.5000000000000001E-2</v>
      </c>
      <c r="L303" s="100">
        <f ca="1">IFERROR(Tabla4[[#This Row],[res.pond.meta]]/Tabla4[[#This Row],[pond.]],"")</f>
        <v>1</v>
      </c>
    </row>
    <row r="304" spans="1:12">
      <c r="A304" t="str">
        <f>LEFT(FORMULACIÓN!F116,100)</f>
        <v>Diseñar y apropiar el Observatorio digital institucional para la gestión de conocimiento y el desarr</v>
      </c>
      <c r="C304" t="str">
        <f>Tabla2[[#This Row],[metas]]</f>
        <v>Diseñar y apropiar el Observatorio digital institucional para la gestión de conocimiento y el desarr</v>
      </c>
      <c r="D304">
        <f>FORMULACIÓN!A116</f>
        <v>105</v>
      </c>
      <c r="E304">
        <f>COUNTIF($C$200:C304,C304)</f>
        <v>1</v>
      </c>
      <c r="F304" t="str">
        <f>'SEGUIMIENTO Y EVALUACIÓN'!AL116&amp;"GOAL"&amp;LEN(FORMULACIÓN!F116)</f>
        <v>L3M2P4GOAL111</v>
      </c>
      <c r="G304" t="str">
        <f t="shared" si="5"/>
        <v>L3</v>
      </c>
      <c r="H304" t="str">
        <f t="shared" si="6"/>
        <v>L3 - Impacto regional, Nacional e Internacional desde la Extensión y proyección social</v>
      </c>
      <c r="I304" t="str">
        <f>IF(E304=1,INDEX(FORMULACIÓN!$F$12:$F$261,Lists!D304,1),"")</f>
        <v>Diseñar y apropiar el Observatorio digital institucional para la gestión de conocimiento y el desarrollo social</v>
      </c>
      <c r="J304" s="100">
        <f ca="1">IF(E304=1,SUMIF($F$200:$F$365,F304,'SEGUIMIENTO Y EVALUACIÓN'!$AV$12:$AV$261),"")</f>
        <v>0</v>
      </c>
      <c r="K304" s="100">
        <f>IF(E304=1,SUMIF($F$200:$F$365,F304,FORMULACIÓN!$S$12:$S$261),"")</f>
        <v>0.05</v>
      </c>
      <c r="L304" s="100">
        <f ca="1">IFERROR(Tabla4[[#This Row],[res.pond.meta]]/Tabla4[[#This Row],[pond.]],"")</f>
        <v>0</v>
      </c>
    </row>
    <row r="305" spans="1:12">
      <c r="A305" t="str">
        <f>LEFT(FORMULACIÓN!F117,100)</f>
        <v>Concretar por lo menos 10  alianzas o convenios activos con entidades gubernamentales, sector privad</v>
      </c>
      <c r="C305" t="str">
        <f>Tabla2[[#This Row],[metas]]</f>
        <v>Concretar por lo menos 10  alianzas o convenios activos con entidades gubernamentales, sector privad</v>
      </c>
      <c r="D305">
        <f>FORMULACIÓN!A117</f>
        <v>106</v>
      </c>
      <c r="E305">
        <f>COUNTIF($C$200:C305,C305)</f>
        <v>1</v>
      </c>
      <c r="F305" t="str">
        <f>'SEGUIMIENTO Y EVALUACIÓN'!AL117&amp;"GOAL"&amp;LEN(FORMULACIÓN!F117)</f>
        <v>L3M3P1GOAL165</v>
      </c>
      <c r="G305" t="str">
        <f t="shared" si="5"/>
        <v>L3</v>
      </c>
      <c r="H305" t="str">
        <f t="shared" si="6"/>
        <v>L3 - Impacto regional, Nacional e Internacional desde la Extensión y proyección social</v>
      </c>
      <c r="I305" t="str">
        <f>IF(E305=1,INDEX(FORMULACIÓN!$F$12:$F$261,Lists!D305,1),"")</f>
        <v>Concretar por lo menos 10  alianzas o convenios activos con entidades gubernamentales, sector privado nacional e internacional para la gestión de acceso a la cultura</v>
      </c>
      <c r="J305" s="100">
        <f ca="1">IF(E305=1,SUMIF($F$200:$F$365,F305,'SEGUIMIENTO Y EVALUACIÓN'!$AV$12:$AV$261),"")</f>
        <v>0.02</v>
      </c>
      <c r="K305" s="100">
        <f>IF(E305=1,SUMIF($F$200:$F$365,F305,FORMULACIÓN!$S$12:$S$261),"")</f>
        <v>0.02</v>
      </c>
      <c r="L305" s="100">
        <f ca="1">IFERROR(Tabla4[[#This Row],[res.pond.meta]]/Tabla4[[#This Row],[pond.]],"")</f>
        <v>1</v>
      </c>
    </row>
    <row r="306" spans="1:12">
      <c r="A306" t="str">
        <f>LEFT(FORMULACIÓN!F118,100)</f>
        <v>Desarrollar mínimo 50 proyectos para el acceso a la cultura</v>
      </c>
      <c r="C306" t="str">
        <f>Tabla2[[#This Row],[metas]]</f>
        <v>Desarrollar mínimo 50 proyectos para el acceso a la cultura</v>
      </c>
      <c r="D306">
        <f>FORMULACIÓN!A118</f>
        <v>107</v>
      </c>
      <c r="E306">
        <f>COUNTIF($C$200:C306,C306)</f>
        <v>1</v>
      </c>
      <c r="F306" t="str">
        <f>'SEGUIMIENTO Y EVALUACIÓN'!AL118&amp;"GOAL"&amp;LEN(FORMULACIÓN!F118)</f>
        <v>L3M3P1GOAL59</v>
      </c>
      <c r="G306" t="str">
        <f t="shared" si="5"/>
        <v>L3</v>
      </c>
      <c r="H306" t="str">
        <f t="shared" si="6"/>
        <v>L3 - Impacto regional, Nacional e Internacional desde la Extensión y proyección social</v>
      </c>
      <c r="I306" t="str">
        <f>IF(E306=1,INDEX(FORMULACIÓN!$F$12:$F$261,Lists!D306,1),"")</f>
        <v>Desarrollar mínimo 50 proyectos para el acceso a la cultura</v>
      </c>
      <c r="J306" s="100">
        <f ca="1">IF(E306=1,SUMIF($F$200:$F$365,F306,'SEGUIMIENTO Y EVALUACIÓN'!$AV$12:$AV$261),"")</f>
        <v>0.01</v>
      </c>
      <c r="K306" s="100">
        <f>IF(E306=1,SUMIF($F$200:$F$365,F306,FORMULACIÓN!$S$12:$S$261),"")</f>
        <v>0.02</v>
      </c>
      <c r="L306" s="100">
        <f ca="1">IFERROR(Tabla4[[#This Row],[res.pond.meta]]/Tabla4[[#This Row],[pond.]],"")</f>
        <v>0.5</v>
      </c>
    </row>
    <row r="307" spans="1:12">
      <c r="A307" t="str">
        <f>LEFT(FORMULACIÓN!F119,100)</f>
        <v>Promover mínimo 3 proyectos y espacios institucionales con enfoque al desarrollo turístico, patrimon</v>
      </c>
      <c r="C307" t="str">
        <f>Tabla2[[#This Row],[metas]]</f>
        <v>Promover mínimo 3 proyectos y espacios institucionales con enfoque al desarrollo turístico, patrimon</v>
      </c>
      <c r="D307">
        <f>FORMULACIÓN!A119</f>
        <v>108</v>
      </c>
      <c r="E307">
        <f>COUNTIF($C$200:C307,C307)</f>
        <v>1</v>
      </c>
      <c r="F307" t="str">
        <f>'SEGUIMIENTO Y EVALUACIÓN'!AL119&amp;"GOAL"&amp;LEN(FORMULACIÓN!F119)</f>
        <v>L3M3P1GOAL190</v>
      </c>
      <c r="G307" t="str">
        <f t="shared" si="5"/>
        <v>L3</v>
      </c>
      <c r="H307" t="str">
        <f t="shared" si="6"/>
        <v>L3 - Impacto regional, Nacional e Internacional desde la Extensión y proyección social</v>
      </c>
      <c r="I307" t="str">
        <f>IF(E307=1,INDEX(FORMULACIÓN!$F$12:$F$261,Lists!D307,1),"")</f>
        <v>Promover mínimo 3 proyectos y espacios institucionales con enfoque al desarrollo turístico, patrimonial y social con la vinculación de los gobiernos departamental, nacional y/o internacional</v>
      </c>
      <c r="J307" s="100">
        <f ca="1">IF(E307=1,SUMIF($F$200:$F$365,F307,'SEGUIMIENTO Y EVALUACIÓN'!$AV$12:$AV$261),"")</f>
        <v>6.6666666666666662E-3</v>
      </c>
      <c r="K307" s="100">
        <f>IF(E307=1,SUMIF($F$200:$F$365,F307,FORMULACIÓN!$S$12:$S$261),"")</f>
        <v>0.02</v>
      </c>
      <c r="L307" s="100">
        <f ca="1">IFERROR(Tabla4[[#This Row],[res.pond.meta]]/Tabla4[[#This Row],[pond.]],"")</f>
        <v>0.33333333333333331</v>
      </c>
    </row>
    <row r="308" spans="1:12">
      <c r="A308" t="str">
        <f>LEFT(FORMULACIÓN!F120,100)</f>
        <v>Visibilizar los resultados de los procesos de investigación creación artística con 15 participacione</v>
      </c>
      <c r="C308" t="str">
        <f>Tabla2[[#This Row],[metas]]</f>
        <v>Visibilizar los resultados de los procesos de investigación creación artística con 15 participacione</v>
      </c>
      <c r="D308">
        <f>FORMULACIÓN!A120</f>
        <v>109</v>
      </c>
      <c r="E308">
        <f>COUNTIF($C$200:C308,C308)</f>
        <v>1</v>
      </c>
      <c r="F308" t="str">
        <f>'SEGUIMIENTO Y EVALUACIÓN'!AL120&amp;"GOAL"&amp;LEN(FORMULACIÓN!F120)</f>
        <v>L3M3P2GOAL135</v>
      </c>
      <c r="G308" t="str">
        <f t="shared" si="5"/>
        <v>L3</v>
      </c>
      <c r="H308" t="str">
        <f t="shared" si="6"/>
        <v>L3 - Impacto regional, Nacional e Internacional desde la Extensión y proyección social</v>
      </c>
      <c r="I308" t="str">
        <f>IF(E308=1,INDEX(FORMULACIÓN!$F$12:$F$261,Lists!D308,1),"")</f>
        <v xml:space="preserve">Visibilizar los resultados de los procesos de investigación creación artística con 15 participaciones en eventos de apropiación social </v>
      </c>
      <c r="J308" s="100">
        <f ca="1">IF(E308=1,SUMIF($F$200:$F$365,F308,'SEGUIMIENTO Y EVALUACIÓN'!$AV$12:$AV$261),"")</f>
        <v>0.03</v>
      </c>
      <c r="K308" s="100">
        <f>IF(E308=1,SUMIF($F$200:$F$365,F308,FORMULACIÓN!$S$12:$S$261),"")</f>
        <v>0.03</v>
      </c>
      <c r="L308" s="100">
        <f ca="1">IFERROR(Tabla4[[#This Row],[res.pond.meta]]/Tabla4[[#This Row],[pond.]],"")</f>
        <v>1</v>
      </c>
    </row>
    <row r="309" spans="1:12">
      <c r="A309" t="str">
        <f>LEFT(FORMULACIÓN!F121,100)</f>
        <v xml:space="preserve">Concretar la ejecución de al menos 20 proyectos de proyección social con mecanismos de financiación </v>
      </c>
      <c r="C309" t="str">
        <f>Tabla2[[#This Row],[metas]]</f>
        <v xml:space="preserve">Concretar la ejecución de al menos 20 proyectos de proyección social con mecanismos de financiación </v>
      </c>
      <c r="D309">
        <f>FORMULACIÓN!A121</f>
        <v>110</v>
      </c>
      <c r="E309">
        <f>COUNTIF($C$200:C309,C309)</f>
        <v>1</v>
      </c>
      <c r="F309" t="str">
        <f>'SEGUIMIENTO Y EVALUACIÓN'!AL121&amp;"GOAL"&amp;LEN(FORMULACIÓN!F121)</f>
        <v>L3M3P3GOAL131</v>
      </c>
      <c r="G309" t="str">
        <f t="shared" si="5"/>
        <v>L3</v>
      </c>
      <c r="H309" t="str">
        <f t="shared" si="6"/>
        <v>L3 - Impacto regional, Nacional e Internacional desde la Extensión y proyección social</v>
      </c>
      <c r="I309" t="str">
        <f>IF(E309=1,INDEX(FORMULACIÓN!$F$12:$F$261,Lists!D309,1),"")</f>
        <v xml:space="preserve">Concretar la ejecución de al menos 20 proyectos de proyección social con mecanismos de financiación externos públicos y/o privados </v>
      </c>
      <c r="J309" s="100">
        <f ca="1">IF(E309=1,SUMIF($F$200:$F$365,F309,'SEGUIMIENTO Y EVALUACIÓN'!$AV$12:$AV$261),"")</f>
        <v>5.0000000000000001E-3</v>
      </c>
      <c r="K309" s="100">
        <f>IF(E309=1,SUMIF($F$200:$F$365,F309,FORMULACIÓN!$S$12:$S$261),"")</f>
        <v>0.02</v>
      </c>
      <c r="L309" s="100">
        <f ca="1">IFERROR(Tabla4[[#This Row],[res.pond.meta]]/Tabla4[[#This Row],[pond.]],"")</f>
        <v>0.25</v>
      </c>
    </row>
    <row r="310" spans="1:12">
      <c r="A310" t="str">
        <f>LEFT(FORMULACIÓN!F122,100)</f>
        <v>Desarrollar por lo menos 10 proyectos de proyección social con intervención a población priorizada</v>
      </c>
      <c r="C310" t="str">
        <f>Tabla2[[#This Row],[metas]]</f>
        <v>Desarrollar por lo menos 10 proyectos de proyección social con intervención a población priorizada</v>
      </c>
      <c r="D310">
        <f>FORMULACIÓN!A122</f>
        <v>111</v>
      </c>
      <c r="E310">
        <f>COUNTIF($C$200:C310,C310)</f>
        <v>1</v>
      </c>
      <c r="F310" t="str">
        <f>'SEGUIMIENTO Y EVALUACIÓN'!AL122&amp;"GOAL"&amp;LEN(FORMULACIÓN!F122)</f>
        <v>L3M3P3GOAL98</v>
      </c>
      <c r="G310" t="str">
        <f t="shared" si="5"/>
        <v>L3</v>
      </c>
      <c r="H310" t="str">
        <f t="shared" si="6"/>
        <v>L3 - Impacto regional, Nacional e Internacional desde la Extensión y proyección social</v>
      </c>
      <c r="I310" t="str">
        <f>IF(E310=1,INDEX(FORMULACIÓN!$F$12:$F$261,Lists!D310,1),"")</f>
        <v>Desarrollar por lo menos 10 proyectos de proyección social con intervención a población priorizada</v>
      </c>
      <c r="J310" s="100">
        <f ca="1">IF(E310=1,SUMIF($F$200:$F$365,F310,'SEGUIMIENTO Y EVALUACIÓN'!$AV$12:$AV$261),"")</f>
        <v>0.02</v>
      </c>
      <c r="K310" s="100">
        <f>IF(E310=1,SUMIF($F$200:$F$365,F310,FORMULACIÓN!$S$12:$S$261),"")</f>
        <v>0.02</v>
      </c>
      <c r="L310" s="100">
        <f ca="1">IFERROR(Tabla4[[#This Row],[res.pond.meta]]/Tabla4[[#This Row],[pond.]],"")</f>
        <v>1</v>
      </c>
    </row>
    <row r="311" spans="1:12">
      <c r="A311" t="str">
        <f>LEFT(FORMULACIÓN!F123,100)</f>
        <v>Promover la apropiación social del conocimiento en articulación con las facultades, mediante la gest</v>
      </c>
      <c r="C311" t="str">
        <f>Tabla2[[#This Row],[metas]]</f>
        <v>Promover la apropiación social del conocimiento en articulación con las facultades, mediante la gest</v>
      </c>
      <c r="D311">
        <f>FORMULACIÓN!A123</f>
        <v>112</v>
      </c>
      <c r="E311">
        <f>COUNTIF($C$200:C311,C311)</f>
        <v>1</v>
      </c>
      <c r="F311" t="str">
        <f>'SEGUIMIENTO Y EVALUACIÓN'!AL123&amp;"GOAL"&amp;LEN(FORMULACIÓN!F123)</f>
        <v>L3M3P3GOAL139</v>
      </c>
      <c r="G311" t="str">
        <f t="shared" si="5"/>
        <v>L3</v>
      </c>
      <c r="H311" t="str">
        <f t="shared" si="6"/>
        <v>L3 - Impacto regional, Nacional e Internacional desde la Extensión y proyección social</v>
      </c>
      <c r="I311" t="str">
        <f>IF(E311=1,INDEX(FORMULACIÓN!$F$12:$F$261,Lists!D311,1),"")</f>
        <v>Promover la apropiación social del conocimiento en articulación con las facultades, mediante la gestión de al menos 800 eventos de difusión</v>
      </c>
      <c r="J311" s="100">
        <f ca="1">IF(E311=1,SUMIF($F$200:$F$365,F311,'SEGUIMIENTO Y EVALUACIÓN'!$AV$12:$AV$261),"")</f>
        <v>1.3325E-2</v>
      </c>
      <c r="K311" s="100">
        <f>IF(E311=1,SUMIF($F$200:$F$365,F311,FORMULACIÓN!$S$12:$S$261),"")</f>
        <v>0.02</v>
      </c>
      <c r="L311" s="100">
        <f ca="1">IFERROR(Tabla4[[#This Row],[res.pond.meta]]/Tabla4[[#This Row],[pond.]],"")</f>
        <v>0.66625000000000001</v>
      </c>
    </row>
    <row r="312" spans="1:12">
      <c r="A312" t="str">
        <f>LEFT(FORMULACIÓN!F124,100)</f>
        <v>Elaborar e implementar en forma sostenible la política institucional de Responsabilidad Social Unive</v>
      </c>
      <c r="C312" t="str">
        <f>Tabla2[[#This Row],[metas]]</f>
        <v>Elaborar e implementar en forma sostenible la política institucional de Responsabilidad Social Unive</v>
      </c>
      <c r="D312">
        <f>FORMULACIÓN!A124</f>
        <v>113</v>
      </c>
      <c r="E312">
        <f>COUNTIF($C$200:C312,C312)</f>
        <v>1</v>
      </c>
      <c r="F312" t="str">
        <f>'SEGUIMIENTO Y EVALUACIÓN'!AL124&amp;"GOAL"&amp;LEN(FORMULACIÓN!F124)</f>
        <v>L3M4P1GOAL170</v>
      </c>
      <c r="G312" t="str">
        <f t="shared" si="5"/>
        <v>L3</v>
      </c>
      <c r="H312" t="str">
        <f t="shared" si="6"/>
        <v>L3 - Impacto regional, Nacional e Internacional desde la Extensión y proyección social</v>
      </c>
      <c r="I312" t="str">
        <f>IF(E312=1,INDEX(FORMULACIÓN!$F$12:$F$261,Lists!D312,1),"")</f>
        <v>Elaborar e implementar en forma sostenible la política institucional de Responsabilidad Social Universitaria RSU y ejecutar por lo menos 50 proyectos del Voluntariado UA.</v>
      </c>
      <c r="J312" s="100">
        <f ca="1">IF(E312=1,SUMIF($F$200:$F$365,F312,'SEGUIMIENTO Y EVALUACIÓN'!$AV$12:$AV$261),"")</f>
        <v>0</v>
      </c>
      <c r="K312" s="100">
        <f>IF(E312=1,SUMIF($F$200:$F$365,F312,FORMULACIÓN!$S$12:$S$261),"")</f>
        <v>0.1</v>
      </c>
      <c r="L312" s="100">
        <f ca="1">IFERROR(Tabla4[[#This Row],[res.pond.meta]]/Tabla4[[#This Row],[pond.]],"")</f>
        <v>0</v>
      </c>
    </row>
    <row r="313" spans="1:12">
      <c r="A313" t="str">
        <f>LEFT(FORMULACIÓN!F125,100)</f>
        <v>Elaborar e implementar en forma sostenible la política institucional de Responsabilidad Social Unive</v>
      </c>
      <c r="C313" t="str">
        <f>Tabla2[[#This Row],[metas]]</f>
        <v>Elaborar e implementar en forma sostenible la política institucional de Responsabilidad Social Unive</v>
      </c>
      <c r="D313">
        <f>FORMULACIÓN!A125</f>
        <v>114</v>
      </c>
      <c r="E313">
        <f>COUNTIF($C$200:C313,C313)</f>
        <v>2</v>
      </c>
      <c r="F313" t="str">
        <f>'SEGUIMIENTO Y EVALUACIÓN'!AL125&amp;"GOAL"&amp;LEN(FORMULACIÓN!F125)</f>
        <v>L3M4P1GOAL170</v>
      </c>
      <c r="G313" t="str">
        <f t="shared" si="5"/>
        <v>L3</v>
      </c>
      <c r="H313" t="str">
        <f t="shared" si="6"/>
        <v>L3 - Impacto regional, Nacional e Internacional desde la Extensión y proyección social</v>
      </c>
      <c r="I313" t="str">
        <f>IF(E313=1,INDEX(FORMULACIÓN!$F$12:$F$261,Lists!D313,1),"")</f>
        <v/>
      </c>
      <c r="J313" s="100" t="str">
        <f>IF(E313=1,SUMIF($F$200:$F$365,F313,'SEGUIMIENTO Y EVALUACIÓN'!$AV$12:$AV$261),"")</f>
        <v/>
      </c>
      <c r="K313" s="100" t="str">
        <f>IF(E313=1,SUMIF($F$200:$F$365,F313,FORMULACIÓN!$S$12:$S$261),"")</f>
        <v/>
      </c>
      <c r="L313" s="100" t="str">
        <f>IFERROR(Tabla4[[#This Row],[res.pond.meta]]/Tabla4[[#This Row],[pond.]],"")</f>
        <v/>
      </c>
    </row>
    <row r="314" spans="1:12">
      <c r="A314" t="str">
        <f>LEFT(FORMULACIÓN!F126,100)</f>
        <v>Elaborar e implementar en forma sostenible la política institucional de Responsabilidad Social Unive</v>
      </c>
      <c r="C314" t="str">
        <f>Tabla2[[#This Row],[metas]]</f>
        <v>Elaborar e implementar en forma sostenible la política institucional de Responsabilidad Social Unive</v>
      </c>
      <c r="D314">
        <f>FORMULACIÓN!A126</f>
        <v>115</v>
      </c>
      <c r="E314">
        <f>COUNTIF($C$200:C314,C314)</f>
        <v>3</v>
      </c>
      <c r="F314" t="str">
        <f>'SEGUIMIENTO Y EVALUACIÓN'!AL126&amp;"GOAL"&amp;LEN(FORMULACIÓN!F126)</f>
        <v>L3M4P2GOAL170</v>
      </c>
      <c r="G314" t="str">
        <f t="shared" si="5"/>
        <v>L3</v>
      </c>
      <c r="H314" t="str">
        <f t="shared" si="6"/>
        <v>L3 - Impacto regional, Nacional e Internacional desde la Extensión y proyección social</v>
      </c>
      <c r="I314" t="str">
        <f>IF(E314=1,INDEX(FORMULACIÓN!$F$12:$F$261,Lists!D314,1),"")</f>
        <v/>
      </c>
      <c r="J314" s="100" t="str">
        <f>IF(E314=1,SUMIF($F$200:$F$365,F314,'SEGUIMIENTO Y EVALUACIÓN'!$AV$12:$AV$261),"")</f>
        <v/>
      </c>
      <c r="K314" s="100" t="str">
        <f>IF(E314=1,SUMIF($F$200:$F$365,F314,FORMULACIÓN!$S$12:$S$261),"")</f>
        <v/>
      </c>
      <c r="L314" s="100" t="str">
        <f>IFERROR(Tabla4[[#This Row],[res.pond.meta]]/Tabla4[[#This Row],[pond.]],"")</f>
        <v/>
      </c>
    </row>
    <row r="315" spans="1:12">
      <c r="A315" t="str">
        <f>LEFT(FORMULACIÓN!F127,100)</f>
        <v>Caracterizar el impacto de por lo menos 50  programas y/o proyectos Responsabilidad Social Universit</v>
      </c>
      <c r="C315" t="str">
        <f>Tabla2[[#This Row],[metas]]</f>
        <v>Caracterizar el impacto de por lo menos 50  programas y/o proyectos Responsabilidad Social Universit</v>
      </c>
      <c r="D315">
        <f>FORMULACIÓN!A127</f>
        <v>116</v>
      </c>
      <c r="E315">
        <f>COUNTIF($C$200:C315,C315)</f>
        <v>1</v>
      </c>
      <c r="F315" t="str">
        <f>'SEGUIMIENTO Y EVALUACIÓN'!AL127&amp;"GOAL"&amp;LEN(FORMULACIÓN!F127)</f>
        <v>L3M4P2GOAL123</v>
      </c>
      <c r="G315" t="str">
        <f t="shared" si="5"/>
        <v>L3</v>
      </c>
      <c r="H315" t="str">
        <f t="shared" si="6"/>
        <v>L3 - Impacto regional, Nacional e Internacional desde la Extensión y proyección social</v>
      </c>
      <c r="I315" t="str">
        <f>IF(E315=1,INDEX(FORMULACIÓN!$F$12:$F$261,Lists!D315,1),"")</f>
        <v xml:space="preserve">Caracterizar el impacto de por lo menos 50  programas y/o proyectos Responsabilidad Social Universitaria RSU desarrollados </v>
      </c>
      <c r="J315" s="100">
        <f ca="1">IF(E315=1,SUMIF($F$200:$F$365,F315,'SEGUIMIENTO Y EVALUACIÓN'!$AV$12:$AV$261),"")</f>
        <v>1.7000000000000001E-2</v>
      </c>
      <c r="K315" s="100">
        <f>IF(E315=1,SUMIF($F$200:$F$365,F315,FORMULACIÓN!$S$12:$S$261),"")</f>
        <v>0.05</v>
      </c>
      <c r="L315" s="100">
        <f ca="1">IFERROR(Tabla4[[#This Row],[res.pond.meta]]/Tabla4[[#This Row],[pond.]],"")</f>
        <v>0.34</v>
      </c>
    </row>
    <row r="316" spans="1:12">
      <c r="A316" t="str">
        <f>LEFT(FORMULACIÓN!F128,100)</f>
        <v>Promover la comercialización de mínimo 2 proyectos que generen Spin-Off</v>
      </c>
      <c r="C316" t="str">
        <f>Tabla2[[#This Row],[metas]]</f>
        <v>Promover la comercialización de mínimo 2 proyectos que generen Spin-Off</v>
      </c>
      <c r="D316">
        <f>FORMULACIÓN!A128</f>
        <v>117</v>
      </c>
      <c r="E316">
        <f>COUNTIF($C$200:C316,C316)</f>
        <v>1</v>
      </c>
      <c r="F316" t="str">
        <f>'SEGUIMIENTO Y EVALUACIÓN'!AL128&amp;"GOAL"&amp;LEN(FORMULACIÓN!F128)</f>
        <v>L3M4P2GOAL71</v>
      </c>
      <c r="G316" t="str">
        <f t="shared" si="5"/>
        <v>L3</v>
      </c>
      <c r="H316" t="str">
        <f t="shared" si="6"/>
        <v>L3 - Impacto regional, Nacional e Internacional desde la Extensión y proyección social</v>
      </c>
      <c r="I316" t="str">
        <f>IF(E316=1,INDEX(FORMULACIÓN!$F$12:$F$261,Lists!D316,1),"")</f>
        <v>Promover la comercialización de mínimo 2 proyectos que generen Spin-Off</v>
      </c>
      <c r="J316" s="100">
        <f ca="1">IF(E316=1,SUMIF($F$200:$F$365,F316,'SEGUIMIENTO Y EVALUACIÓN'!$AV$12:$AV$261),"")</f>
        <v>0</v>
      </c>
      <c r="K316" s="100">
        <f>IF(E316=1,SUMIF($F$200:$F$365,F316,FORMULACIÓN!$S$12:$S$261),"")</f>
        <v>0.05</v>
      </c>
      <c r="L316" s="100">
        <f ca="1">IFERROR(Tabla4[[#This Row],[res.pond.meta]]/Tabla4[[#This Row],[pond.]],"")</f>
        <v>0</v>
      </c>
    </row>
    <row r="317" spans="1:12">
      <c r="A317" t="str">
        <f>LEFT(FORMULACIÓN!F129,100)</f>
        <v>Establecer un sistema de evaluación para controlar el impacto de las estrategias de permanencia y gr</v>
      </c>
      <c r="C317" t="str">
        <f>Tabla2[[#This Row],[metas]]</f>
        <v>Establecer un sistema de evaluación para controlar el impacto de las estrategias de permanencia y gr</v>
      </c>
      <c r="D317">
        <f>FORMULACIÓN!A129</f>
        <v>118</v>
      </c>
      <c r="E317">
        <f>COUNTIF($C$200:C317,C317)</f>
        <v>1</v>
      </c>
      <c r="F317" t="str">
        <f>'SEGUIMIENTO Y EVALUACIÓN'!AL129&amp;"GOAL"&amp;LEN(FORMULACIÓN!F129)</f>
        <v>L4M1P1GOAL153</v>
      </c>
      <c r="G317" t="str">
        <f t="shared" si="5"/>
        <v>L4</v>
      </c>
      <c r="H317" t="str">
        <f t="shared" si="6"/>
        <v>L4 - Bienestar Universitario, Salud mental positiva, Inclusión y Democracia.</v>
      </c>
      <c r="I317" t="str">
        <f>IF(E317=1,INDEX(FORMULACIÓN!$F$12:$F$261,Lists!D317,1),"")</f>
        <v>Establecer un sistema de evaluación para controlar el impacto de las estrategias de permanencia y graduación que permita fortalecer el proceso formativo.</v>
      </c>
      <c r="J317" s="100">
        <f ca="1">IF(E317=1,SUMIF($F$200:$F$365,F317,'SEGUIMIENTO Y EVALUACIÓN'!$AV$12:$AV$261),"")</f>
        <v>3.3333333333333333E-2</v>
      </c>
      <c r="K317" s="100">
        <f>IF(E317=1,SUMIF($F$200:$F$365,F317,FORMULACIÓN!$S$12:$S$261),"")</f>
        <v>0.1</v>
      </c>
      <c r="L317" s="100">
        <f ca="1">IFERROR(Tabla4[[#This Row],[res.pond.meta]]/Tabla4[[#This Row],[pond.]],"")</f>
        <v>0.33333333333333331</v>
      </c>
    </row>
    <row r="318" spans="1:12">
      <c r="A318" t="str">
        <f>LEFT(FORMULACIÓN!F130,100)</f>
        <v>Aumentar el índice de permanencia y oportuna graduación estudiantil basado en el acompañamiento inst</v>
      </c>
      <c r="C318" t="str">
        <f>Tabla2[[#This Row],[metas]]</f>
        <v>Aumentar el índice de permanencia y oportuna graduación estudiantil basado en el acompañamiento inst</v>
      </c>
      <c r="D318">
        <f>FORMULACIÓN!A130</f>
        <v>119</v>
      </c>
      <c r="E318">
        <f>COUNTIF($C$200:C318,C318)</f>
        <v>1</v>
      </c>
      <c r="F318" t="str">
        <f>'SEGUIMIENTO Y EVALUACIÓN'!AL130&amp;"GOAL"&amp;LEN(FORMULACIÓN!F130)</f>
        <v>L4M1P1GOAL216</v>
      </c>
      <c r="G318" t="str">
        <f t="shared" si="5"/>
        <v>L4</v>
      </c>
      <c r="H318" t="str">
        <f t="shared" si="6"/>
        <v>L4 - Bienestar Universitario, Salud mental positiva, Inclusión y Democracia.</v>
      </c>
      <c r="I318" t="str">
        <f>IF(E318=1,INDEX(FORMULACIÓN!$F$12:$F$261,Lists!D318,1),"")</f>
        <v>Aumentar el índice de permanencia y oportuna graduación estudiantil basado en el acompañamiento institucional, psicosocial, académico y socioeconómico en cada etapa del  proyecto de vida universitario del estudiante.</v>
      </c>
      <c r="J318" s="100">
        <f ca="1">IF(E318=1,SUMIF($F$200:$F$365,F318,'SEGUIMIENTO Y EVALUACIÓN'!$AV$12:$AV$261),"")</f>
        <v>0.1</v>
      </c>
      <c r="K318" s="100">
        <f>IF(E318=1,SUMIF($F$200:$F$365,F318,FORMULACIÓN!$S$12:$S$261),"")</f>
        <v>0.1</v>
      </c>
      <c r="L318" s="100">
        <f ca="1">IFERROR(Tabla4[[#This Row],[res.pond.meta]]/Tabla4[[#This Row],[pond.]],"")</f>
        <v>1</v>
      </c>
    </row>
    <row r="319" spans="1:12">
      <c r="A319" t="str">
        <f>LEFT(FORMULACIÓN!F131,100)</f>
        <v>Diseñar e implementar la Política de Permanencia y Graduación estudiantil.</v>
      </c>
      <c r="C319" t="str">
        <f>Tabla2[[#This Row],[metas]]</f>
        <v>Diseñar e implementar la Política de Permanencia y Graduación estudiantil.</v>
      </c>
      <c r="D319">
        <f>FORMULACIÓN!A131</f>
        <v>120</v>
      </c>
      <c r="E319">
        <f>COUNTIF($C$200:C319,C319)</f>
        <v>1</v>
      </c>
      <c r="F319" t="str">
        <f>'SEGUIMIENTO Y EVALUACIÓN'!AL131&amp;"GOAL"&amp;LEN(FORMULACIÓN!F131)</f>
        <v>L4M1P1GOAL74</v>
      </c>
      <c r="G319" t="str">
        <f t="shared" si="5"/>
        <v>L4</v>
      </c>
      <c r="H319" t="str">
        <f t="shared" si="6"/>
        <v>L4 - Bienestar Universitario, Salud mental positiva, Inclusión y Democracia.</v>
      </c>
      <c r="I319" t="str">
        <f>IF(E319=1,INDEX(FORMULACIÓN!$F$12:$F$261,Lists!D319,1),"")</f>
        <v>Diseñar e implementar la Política de Permanencia y Graduación estudiantil.</v>
      </c>
      <c r="J319" s="100">
        <f ca="1">IF(E319=1,SUMIF($F$200:$F$365,F319,'SEGUIMIENTO Y EVALUACIÓN'!$AV$12:$AV$261),"")</f>
        <v>0</v>
      </c>
      <c r="K319" s="100">
        <f>IF(E319=1,SUMIF($F$200:$F$365,F319,FORMULACIÓN!$S$12:$S$261),"")</f>
        <v>0.1</v>
      </c>
      <c r="L319" s="100">
        <f ca="1">IFERROR(Tabla4[[#This Row],[res.pond.meta]]/Tabla4[[#This Row],[pond.]],"")</f>
        <v>0</v>
      </c>
    </row>
    <row r="320" spans="1:12">
      <c r="A320" t="str">
        <f>LEFT(FORMULACIÓN!F132,100)</f>
        <v>Diseñar e implementar el programa de Plan Padrino para el sostenimiento de mínimo 200 estudiantes en</v>
      </c>
      <c r="C320" t="str">
        <f>Tabla2[[#This Row],[metas]]</f>
        <v>Diseñar e implementar el programa de Plan Padrino para el sostenimiento de mínimo 200 estudiantes en</v>
      </c>
      <c r="D320">
        <f>FORMULACIÓN!A132</f>
        <v>121</v>
      </c>
      <c r="E320">
        <f>COUNTIF($C$200:C320,C320)</f>
        <v>1</v>
      </c>
      <c r="F320" t="str">
        <f>'SEGUIMIENTO Y EVALUACIÓN'!AL132&amp;"GOAL"&amp;LEN(FORMULACIÓN!F132)</f>
        <v>L4M1P2GOAL212</v>
      </c>
      <c r="G320" t="str">
        <f t="shared" si="5"/>
        <v>L4</v>
      </c>
      <c r="H320" t="str">
        <f t="shared" si="6"/>
        <v>L4 - Bienestar Universitario, Salud mental positiva, Inclusión y Democracia.</v>
      </c>
      <c r="I320" t="str">
        <f>IF(E320=1,INDEX(FORMULACIÓN!$F$12:$F$261,Lists!D320,1),"")</f>
        <v>Diseñar e implementar el programa de Plan Padrino para el sostenimiento de mínimo 200 estudiantes en riesgo de deserción, impulsando el aporte voluntario de entes territoriales, egresados, empresarios y docentes.</v>
      </c>
      <c r="J320" s="100">
        <f ca="1">IF(E320=1,SUMIF($F$200:$F$365,F320,'SEGUIMIENTO Y EVALUACIÓN'!$AV$12:$AV$261),"")</f>
        <v>2.0000000000000004E-2</v>
      </c>
      <c r="K320" s="100">
        <f>IF(E320=1,SUMIF($F$200:$F$365,F320,FORMULACIÓN!$S$12:$S$261),"")</f>
        <v>0.2</v>
      </c>
      <c r="L320" s="100">
        <f ca="1">IFERROR(Tabla4[[#This Row],[res.pond.meta]]/Tabla4[[#This Row],[pond.]],"")</f>
        <v>0.10000000000000002</v>
      </c>
    </row>
    <row r="321" spans="1:12">
      <c r="A321" t="str">
        <f>LEFT(FORMULACIÓN!F133,100)</f>
        <v>Estimular el desarrollo de las relaciones constructivas entre los miembros de la comunidad universit</v>
      </c>
      <c r="C321" t="str">
        <f>Tabla2[[#This Row],[metas]]</f>
        <v>Estimular el desarrollo de las relaciones constructivas entre los miembros de la comunidad universit</v>
      </c>
      <c r="D321">
        <f>FORMULACIÓN!A133</f>
        <v>122</v>
      </c>
      <c r="E321">
        <f>COUNTIF($C$200:C321,C321)</f>
        <v>1</v>
      </c>
      <c r="F321" t="str">
        <f>'SEGUIMIENTO Y EVALUACIÓN'!AL133&amp;"GOAL"&amp;LEN(FORMULACIÓN!F133)</f>
        <v>L4M2P1GOAL364</v>
      </c>
      <c r="G321" t="str">
        <f t="shared" si="5"/>
        <v>L4</v>
      </c>
      <c r="H321" t="str">
        <f t="shared" si="6"/>
        <v>L4 - Bienestar Universitario, Salud mental positiva, Inclusión y Democracia.</v>
      </c>
      <c r="I321" t="str">
        <f>IF(E321=1,INDEX(FORMULACIÓN!$F$12:$F$261,Lists!D321,1),"")</f>
        <v>Estimular el desarrollo de las relaciones constructivas entre los miembros de la comunidad universitaria con base en la difusión y práctica de valores de respeto a la dignidad humana y a la diversidad, alcanzando un incremento del 6% en los resultados de percepción de cultura ciudadana, 7 estructuras de diálogo y resolución de conflictos y la Política de Género.</v>
      </c>
      <c r="J321" s="100">
        <f ca="1">IF(E321=1,SUMIF($F$200:$F$365,F321,'SEGUIMIENTO Y EVALUACIÓN'!$AV$12:$AV$261),"")</f>
        <v>2.8571428571428574E-2</v>
      </c>
      <c r="K321" s="100">
        <f>IF(E321=1,SUMIF($F$200:$F$365,F321,FORMULACIÓN!$S$12:$S$261),"")</f>
        <v>0.12</v>
      </c>
      <c r="L321" s="100">
        <f ca="1">IFERROR(Tabla4[[#This Row],[res.pond.meta]]/Tabla4[[#This Row],[pond.]],"")</f>
        <v>0.23809523809523814</v>
      </c>
    </row>
    <row r="322" spans="1:12">
      <c r="A322" t="str">
        <f>LEFT(FORMULACIÓN!F134,100)</f>
        <v>Estimular el desarrollo de las relaciones constructivas entre los miembros de la comunidad universit</v>
      </c>
      <c r="C322" t="str">
        <f>Tabla2[[#This Row],[metas]]</f>
        <v>Estimular el desarrollo de las relaciones constructivas entre los miembros de la comunidad universit</v>
      </c>
      <c r="D322">
        <f>FORMULACIÓN!A134</f>
        <v>123</v>
      </c>
      <c r="E322">
        <f>COUNTIF($C$200:C322,C322)</f>
        <v>2</v>
      </c>
      <c r="F322" t="str">
        <f>'SEGUIMIENTO Y EVALUACIÓN'!AL134&amp;"GOAL"&amp;LEN(FORMULACIÓN!F134)</f>
        <v>L4M2P1GOAL364</v>
      </c>
      <c r="G322" t="str">
        <f t="shared" si="5"/>
        <v>L4</v>
      </c>
      <c r="H322" t="str">
        <f t="shared" si="6"/>
        <v>L4 - Bienestar Universitario, Salud mental positiva, Inclusión y Democracia.</v>
      </c>
      <c r="I322" t="str">
        <f>IF(E322=1,INDEX(FORMULACIÓN!$F$12:$F$261,Lists!D322,1),"")</f>
        <v/>
      </c>
      <c r="J322" s="100" t="str">
        <f>IF(E322=1,SUMIF($F$200:$F$365,F322,'SEGUIMIENTO Y EVALUACIÓN'!$AV$12:$AV$261),"")</f>
        <v/>
      </c>
      <c r="K322" s="100" t="str">
        <f>IF(E322=1,SUMIF($F$200:$F$365,F322,FORMULACIÓN!$S$12:$S$261),"")</f>
        <v/>
      </c>
      <c r="L322" s="100" t="str">
        <f>IFERROR(Tabla4[[#This Row],[res.pond.meta]]/Tabla4[[#This Row],[pond.]],"")</f>
        <v/>
      </c>
    </row>
    <row r="323" spans="1:12">
      <c r="A323" t="str">
        <f>LEFT(FORMULACIÓN!F135,100)</f>
        <v>Estimular el desarrollo de las relaciones constructivas entre los miembros de la comunidad universit</v>
      </c>
      <c r="C323" t="str">
        <f>Tabla2[[#This Row],[metas]]</f>
        <v>Estimular el desarrollo de las relaciones constructivas entre los miembros de la comunidad universit</v>
      </c>
      <c r="D323">
        <f>FORMULACIÓN!A135</f>
        <v>124</v>
      </c>
      <c r="E323">
        <f>COUNTIF($C$200:C323,C323)</f>
        <v>3</v>
      </c>
      <c r="F323" t="str">
        <f>'SEGUIMIENTO Y EVALUACIÓN'!AL135&amp;"GOAL"&amp;LEN(FORMULACIÓN!F135)</f>
        <v>L4M2P1GOAL364</v>
      </c>
      <c r="G323" t="str">
        <f t="shared" si="5"/>
        <v>L4</v>
      </c>
      <c r="H323" t="str">
        <f t="shared" si="6"/>
        <v>L4 - Bienestar Universitario, Salud mental positiva, Inclusión y Democracia.</v>
      </c>
      <c r="I323" t="str">
        <f>IF(E323=1,INDEX(FORMULACIÓN!$F$12:$F$261,Lists!D323,1),"")</f>
        <v/>
      </c>
      <c r="J323" s="100" t="str">
        <f>IF(E323=1,SUMIF($F$200:$F$365,F323,'SEGUIMIENTO Y EVALUACIÓN'!$AV$12:$AV$261),"")</f>
        <v/>
      </c>
      <c r="K323" s="100" t="str">
        <f>IF(E323=1,SUMIF($F$200:$F$365,F323,FORMULACIÓN!$S$12:$S$261),"")</f>
        <v/>
      </c>
      <c r="L323" s="100" t="str">
        <f>IFERROR(Tabla4[[#This Row],[res.pond.meta]]/Tabla4[[#This Row],[pond.]],"")</f>
        <v/>
      </c>
    </row>
    <row r="324" spans="1:12">
      <c r="A324" t="str">
        <f>LEFT(FORMULACIÓN!F136,100)</f>
        <v>Institucionalizar el proyecto "Diálogos de Desarrollo Institucional” como escenario para pensar nues</v>
      </c>
      <c r="C324" t="str">
        <f>Tabla2[[#This Row],[metas]]</f>
        <v>Institucionalizar el proyecto "Diálogos de Desarrollo Institucional” como escenario para pensar nues</v>
      </c>
      <c r="D324">
        <f>FORMULACIÓN!A136</f>
        <v>125</v>
      </c>
      <c r="E324">
        <f>COUNTIF($C$200:C324,C324)</f>
        <v>1</v>
      </c>
      <c r="F324" t="str">
        <f>'SEGUIMIENTO Y EVALUACIÓN'!AL136&amp;"GOAL"&amp;LEN(FORMULACIÓN!F136)</f>
        <v>L4M2P1GOAL224</v>
      </c>
      <c r="G324" t="str">
        <f t="shared" si="5"/>
        <v>L4</v>
      </c>
      <c r="H324" t="str">
        <f t="shared" si="6"/>
        <v>L4 - Bienestar Universitario, Salud mental positiva, Inclusión y Democracia.</v>
      </c>
      <c r="I324" t="str">
        <f>IF(E324=1,INDEX(FORMULACIÓN!$F$12:$F$261,Lists!D324,1),"")</f>
        <v>Institucionalizar el proyecto "Diálogos de Desarrollo Institucional” como escenario para pensar nuestra universidad con la participación de la comunidad universitaria, con un mínimo de 9 hojas de ruta derivadas del proyecto.</v>
      </c>
      <c r="J324" s="100">
        <f ca="1">IF(E324=1,SUMIF($F$200:$F$365,F324,'SEGUIMIENTO Y EVALUACIÓN'!$AV$12:$AV$261),"")</f>
        <v>0.04</v>
      </c>
      <c r="K324" s="100">
        <f>IF(E324=1,SUMIF($F$200:$F$365,F324,FORMULACIÓN!$S$12:$S$261),"")</f>
        <v>0.04</v>
      </c>
      <c r="L324" s="100">
        <f ca="1">IFERROR(Tabla4[[#This Row],[res.pond.meta]]/Tabla4[[#This Row],[pond.]],"")</f>
        <v>1</v>
      </c>
    </row>
    <row r="325" spans="1:12">
      <c r="A325" t="str">
        <f>LEFT(FORMULACIÓN!F137,100)</f>
        <v>Visibilizar los procesos institucionales a nivel local y regional, fortaleciendo de la participación</v>
      </c>
      <c r="C325" t="str">
        <f>Tabla2[[#This Row],[metas]]</f>
        <v>Visibilizar los procesos institucionales a nivel local y regional, fortaleciendo de la participación</v>
      </c>
      <c r="D325">
        <f>FORMULACIÓN!A137</f>
        <v>126</v>
      </c>
      <c r="E325">
        <f>COUNTIF($C$200:C325,C325)</f>
        <v>1</v>
      </c>
      <c r="F325" t="str">
        <f>'SEGUIMIENTO Y EVALUACIÓN'!AL137&amp;"GOAL"&amp;LEN(FORMULACIÓN!F137)</f>
        <v>L4M2P1GOAL197</v>
      </c>
      <c r="G325" t="str">
        <f t="shared" si="5"/>
        <v>L4</v>
      </c>
      <c r="H325" t="str">
        <f t="shared" si="6"/>
        <v>L4 - Bienestar Universitario, Salud mental positiva, Inclusión y Democracia.</v>
      </c>
      <c r="I325" t="str">
        <f>IF(E325=1,INDEX(FORMULACIÓN!$F$12:$F$261,Lists!D325,1),"")</f>
        <v>Visibilizar los procesos institucionales a nivel local y regional, fortaleciendo de la participación en temas de Cultura Ciudadana y Derechos Humanos a través del proyecto “Espacios Audiovisuales”.</v>
      </c>
      <c r="J325" s="100">
        <f ca="1">IF(E325=1,SUMIF($F$200:$F$365,F325,'SEGUIMIENTO Y EVALUACIÓN'!$AV$12:$AV$261),"")</f>
        <v>0.04</v>
      </c>
      <c r="K325" s="100">
        <f>IF(E325=1,SUMIF($F$200:$F$365,F325,FORMULACIÓN!$S$12:$S$261),"")</f>
        <v>0.04</v>
      </c>
      <c r="L325" s="100">
        <f ca="1">IFERROR(Tabla4[[#This Row],[res.pond.meta]]/Tabla4[[#This Row],[pond.]],"")</f>
        <v>1</v>
      </c>
    </row>
    <row r="326" spans="1:12">
      <c r="A326" t="str">
        <f>LEFT(FORMULACIÓN!F138,100)</f>
        <v>Fomentar el autocuidado y compromiso con la salud física y mental, en al menos el 50% de la comunida</v>
      </c>
      <c r="C326" t="str">
        <f>Tabla2[[#This Row],[metas]]</f>
        <v>Fomentar el autocuidado y compromiso con la salud física y mental, en al menos el 50% de la comunida</v>
      </c>
      <c r="D326">
        <f>FORMULACIÓN!A138</f>
        <v>127</v>
      </c>
      <c r="E326">
        <f>COUNTIF($C$200:C326,C326)</f>
        <v>1</v>
      </c>
      <c r="F326" t="str">
        <f>'SEGUIMIENTO Y EVALUACIÓN'!AL138&amp;"GOAL"&amp;LEN(FORMULACIÓN!F138)</f>
        <v>L4M3P1GOAL116</v>
      </c>
      <c r="G326" t="str">
        <f t="shared" si="5"/>
        <v>L4</v>
      </c>
      <c r="H326" t="str">
        <f t="shared" si="6"/>
        <v>L4 - Bienestar Universitario, Salud mental positiva, Inclusión y Democracia.</v>
      </c>
      <c r="I326" t="str">
        <f>IF(E326=1,INDEX(FORMULACIÓN!$F$12:$F$261,Lists!D326,1),"")</f>
        <v>Fomentar el autocuidado y compromiso con la salud física y mental, en al menos el 50% de la comunidad universitaria.</v>
      </c>
      <c r="J326" s="100">
        <f ca="1">IF(E326=1,SUMIF($F$200:$F$365,F326,'SEGUIMIENTO Y EVALUACIÓN'!$AV$12:$AV$261),"")</f>
        <v>0.3</v>
      </c>
      <c r="K326" s="100">
        <f>IF(E326=1,SUMIF($F$200:$F$365,F326,FORMULACIÓN!$S$12:$S$261),"")</f>
        <v>0.3</v>
      </c>
      <c r="L326" s="100">
        <f ca="1">IFERROR(Tabla4[[#This Row],[res.pond.meta]]/Tabla4[[#This Row],[pond.]],"")</f>
        <v>1</v>
      </c>
    </row>
    <row r="327" spans="1:12">
      <c r="A327" t="str">
        <f>LEFT(FORMULACIÓN!F139,100)</f>
        <v>Incrementar la participación de los ingresos por venta de servicios a un 20% del total del presupues</v>
      </c>
      <c r="C327" t="str">
        <f>Tabla2[[#This Row],[metas]]</f>
        <v>Incrementar la participación de los ingresos por venta de servicios a un 20% del total del presupues</v>
      </c>
      <c r="D327">
        <f>FORMULACIÓN!A139</f>
        <v>128</v>
      </c>
      <c r="E327">
        <f>COUNTIF($C$200:C327,C327)</f>
        <v>1</v>
      </c>
      <c r="F327" t="str">
        <f>'SEGUIMIENTO Y EVALUACIÓN'!AL139&amp;"GOAL"&amp;LEN(FORMULACIÓN!F139)</f>
        <v>L5M1P1GOAL103</v>
      </c>
      <c r="G327" t="str">
        <f t="shared" si="5"/>
        <v>L5</v>
      </c>
      <c r="H327" t="str">
        <f t="shared" si="6"/>
        <v xml:space="preserve">L5 - Modernización de la Gestión Administrativa </v>
      </c>
      <c r="I327" t="str">
        <f>IF(E327=1,INDEX(FORMULACIÓN!$F$12:$F$261,Lists!D327,1),"")</f>
        <v xml:space="preserve">Incrementar la participación de los ingresos por venta de servicios a un 20% del total del presupuesto </v>
      </c>
      <c r="J327" s="100">
        <f ca="1">IF(E327=1,SUMIF($F$200:$F$365,F327,'SEGUIMIENTO Y EVALUACIÓN'!$AV$12:$AV$261),"")</f>
        <v>3.2380952380952385E-2</v>
      </c>
      <c r="K327" s="100">
        <f>IF(E327=1,SUMIF($F$200:$F$365,F327,FORMULACIÓN!$S$12:$S$261),"")</f>
        <v>0.05</v>
      </c>
      <c r="L327" s="100">
        <f ca="1">IFERROR(Tabla4[[#This Row],[res.pond.meta]]/Tabla4[[#This Row],[pond.]],"")</f>
        <v>0.64761904761904765</v>
      </c>
    </row>
    <row r="328" spans="1:12">
      <c r="A328" t="str">
        <f>LEFT(FORMULACIÓN!F140,100)</f>
        <v xml:space="preserve">Construir un modelo de gestión financiera que promueva la utilización más eficiente de los recursos </v>
      </c>
      <c r="C328" t="str">
        <f>Tabla2[[#This Row],[metas]]</f>
        <v xml:space="preserve">Construir un modelo de gestión financiera que promueva la utilización más eficiente de los recursos </v>
      </c>
      <c r="D328">
        <f>FORMULACIÓN!A140</f>
        <v>129</v>
      </c>
      <c r="E328">
        <f>COUNTIF($C$200:C328,C328)</f>
        <v>1</v>
      </c>
      <c r="F328" t="str">
        <f>'SEGUIMIENTO Y EVALUACIÓN'!AL140&amp;"GOAL"&amp;LEN(FORMULACIÓN!F140)</f>
        <v>L5M1P1GOAL159</v>
      </c>
      <c r="G328" t="str">
        <f t="shared" si="5"/>
        <v>L5</v>
      </c>
      <c r="H328" t="str">
        <f t="shared" ref="H328:H343" si="7">IFERROR(INDEX(lin,VLOOKUP(G328,$E$191:$F$195,2,FALSE),1),"")</f>
        <v xml:space="preserve">L5 - Modernización de la Gestión Administrativa </v>
      </c>
      <c r="I328" t="str">
        <f>IF(E328=1,INDEX(FORMULACIÓN!$F$12:$F$261,Lists!D328,1),"")</f>
        <v>Construir un modelo de gestión financiera que promueva la utilización más eficiente de los recursos públicos, así como identificar alternativas de financiación</v>
      </c>
      <c r="J328" s="100">
        <f ca="1">IF(E328=1,SUMIF($F$200:$F$365,F328,'SEGUIMIENTO Y EVALUACIÓN'!$AV$12:$AV$261),"")</f>
        <v>0.05</v>
      </c>
      <c r="K328" s="100">
        <f>IF(E328=1,SUMIF($F$200:$F$365,F328,FORMULACIÓN!$S$12:$S$261),"")</f>
        <v>0.05</v>
      </c>
      <c r="L328" s="100">
        <f ca="1">IFERROR(Tabla4[[#This Row],[res.pond.meta]]/Tabla4[[#This Row],[pond.]],"")</f>
        <v>1</v>
      </c>
    </row>
    <row r="329" spans="1:12">
      <c r="A329" t="str">
        <f>LEFT(FORMULACIÓN!F141,100)</f>
        <v>Implementar la estrategia de Gobierno Digital</v>
      </c>
      <c r="C329" t="str">
        <f>Tabla2[[#This Row],[metas]]</f>
        <v>Implementar la estrategia de Gobierno Digital</v>
      </c>
      <c r="D329">
        <f>FORMULACIÓN!A141</f>
        <v>130</v>
      </c>
      <c r="E329">
        <f>COUNTIF($C$200:C329,C329)</f>
        <v>1</v>
      </c>
      <c r="F329" t="str">
        <f>'SEGUIMIENTO Y EVALUACIÓN'!AL141&amp;"GOAL"&amp;LEN(FORMULACIÓN!F141)</f>
        <v>L5M1P2GOAL45</v>
      </c>
      <c r="G329" t="str">
        <f t="shared" ref="G329:G343" si="8">LEFT(F329,2)</f>
        <v>L5</v>
      </c>
      <c r="H329" t="str">
        <f t="shared" si="7"/>
        <v xml:space="preserve">L5 - Modernización de la Gestión Administrativa </v>
      </c>
      <c r="I329" t="str">
        <f>IF(E329=1,INDEX(FORMULACIÓN!$F$12:$F$261,Lists!D329,1),"")</f>
        <v>Implementar la estrategia de Gobierno Digital</v>
      </c>
      <c r="J329" s="100">
        <f ca="1">IF(E329=1,SUMIF($F$200:$F$365,F329,'SEGUIMIENTO Y EVALUACIÓN'!$AV$12:$AV$261),"")</f>
        <v>2.4247999999999999E-2</v>
      </c>
      <c r="K329" s="100">
        <f>IF(E329=1,SUMIF($F$200:$F$365,F329,FORMULACIÓN!$S$12:$S$261),"")</f>
        <v>0.04</v>
      </c>
      <c r="L329" s="100">
        <f ca="1">IFERROR(Tabla4[[#This Row],[res.pond.meta]]/Tabla4[[#This Row],[pond.]],"")</f>
        <v>0.60619999999999996</v>
      </c>
    </row>
    <row r="330" spans="1:12">
      <c r="A330" t="str">
        <f>LEFT(FORMULACIÓN!F142,100)</f>
        <v>Modernizar la plataforma tecnológica de la Universidad</v>
      </c>
      <c r="C330" t="str">
        <f>Tabla2[[#This Row],[metas]]</f>
        <v>Modernizar la plataforma tecnológica de la Universidad</v>
      </c>
      <c r="D330">
        <f>FORMULACIÓN!A142</f>
        <v>131</v>
      </c>
      <c r="E330">
        <f>COUNTIF($C$200:C330,C330)</f>
        <v>1</v>
      </c>
      <c r="F330" t="str">
        <f>'SEGUIMIENTO Y EVALUACIÓN'!AL142&amp;"GOAL"&amp;LEN(FORMULACIÓN!F142)</f>
        <v>L5M1P2GOAL54</v>
      </c>
      <c r="G330" t="str">
        <f t="shared" si="8"/>
        <v>L5</v>
      </c>
      <c r="H330" t="str">
        <f t="shared" si="7"/>
        <v xml:space="preserve">L5 - Modernización de la Gestión Administrativa </v>
      </c>
      <c r="I330" t="str">
        <f>IF(E330=1,INDEX(FORMULACIÓN!$F$12:$F$261,Lists!D330,1),"")</f>
        <v>Modernizar la plataforma tecnológica de la Universidad</v>
      </c>
      <c r="J330" s="100">
        <f ca="1">IF(E330=1,SUMIF($F$200:$F$365,F330,'SEGUIMIENTO Y EVALUACIÓN'!$AV$12:$AV$261),"")</f>
        <v>3.7600000000000001E-2</v>
      </c>
      <c r="K330" s="100">
        <f>IF(E330=1,SUMIF($F$200:$F$365,F330,FORMULACIÓN!$S$12:$S$261),"")</f>
        <v>0.08</v>
      </c>
      <c r="L330" s="100">
        <f ca="1">IFERROR(Tabla4[[#This Row],[res.pond.meta]]/Tabla4[[#This Row],[pond.]],"")</f>
        <v>0.47000000000000003</v>
      </c>
    </row>
    <row r="331" spans="1:12">
      <c r="A331" t="str">
        <f>LEFT(FORMULACIÓN!F143,100)</f>
        <v>Modernizar la plataforma tecnológica de la Universidad</v>
      </c>
      <c r="C331" t="str">
        <f>Tabla2[[#This Row],[metas]]</f>
        <v>Modernizar la plataforma tecnológica de la Universidad</v>
      </c>
      <c r="D331">
        <f>FORMULACIÓN!A143</f>
        <v>132</v>
      </c>
      <c r="E331">
        <f>COUNTIF($C$200:C331,C331)</f>
        <v>2</v>
      </c>
      <c r="F331" t="str">
        <f>'SEGUIMIENTO Y EVALUACIÓN'!AL143&amp;"GOAL"&amp;LEN(FORMULACIÓN!F143)</f>
        <v>L5M1P2GOAL54</v>
      </c>
      <c r="G331" t="str">
        <f t="shared" si="8"/>
        <v>L5</v>
      </c>
      <c r="H331" t="str">
        <f t="shared" si="7"/>
        <v xml:space="preserve">L5 - Modernización de la Gestión Administrativa </v>
      </c>
      <c r="I331" t="str">
        <f>IF(E331=1,INDEX(FORMULACIÓN!$F$12:$F$261,Lists!D331,1),"")</f>
        <v/>
      </c>
      <c r="J331" s="100" t="str">
        <f>IF(E331=1,SUMIF($F$200:$F$365,F331,'SEGUIMIENTO Y EVALUACIÓN'!$AV$12:$AV$261),"")</f>
        <v/>
      </c>
      <c r="K331" s="100" t="str">
        <f>IF(E331=1,SUMIF($F$200:$F$365,F331,FORMULACIÓN!$S$12:$S$261),"")</f>
        <v/>
      </c>
      <c r="L331" s="100" t="str">
        <f>IFERROR(Tabla4[[#This Row],[res.pond.meta]]/Tabla4[[#This Row],[pond.]],"")</f>
        <v/>
      </c>
    </row>
    <row r="332" spans="1:12">
      <c r="A332" t="str">
        <f>LEFT(FORMULACIÓN!F144,100)</f>
        <v>Integrar y certificar los Sistemas de Gestión</v>
      </c>
      <c r="C332" t="str">
        <f>Tabla2[[#This Row],[metas]]</f>
        <v>Integrar y certificar los Sistemas de Gestión</v>
      </c>
      <c r="D332">
        <f>FORMULACIÓN!A144</f>
        <v>133</v>
      </c>
      <c r="E332">
        <f>COUNTIF($C$200:C332,C332)</f>
        <v>1</v>
      </c>
      <c r="F332" t="str">
        <f>'SEGUIMIENTO Y EVALUACIÓN'!AL144&amp;"GOAL"&amp;LEN(FORMULACIÓN!F144)</f>
        <v>L5M1P3GOAL45</v>
      </c>
      <c r="G332" t="str">
        <f t="shared" si="8"/>
        <v>L5</v>
      </c>
      <c r="H332" t="str">
        <f t="shared" si="7"/>
        <v xml:space="preserve">L5 - Modernización de la Gestión Administrativa </v>
      </c>
      <c r="I332" t="str">
        <f>IF(E332=1,INDEX(FORMULACIÓN!$F$12:$F$261,Lists!D332,1),"")</f>
        <v>Integrar y certificar los Sistemas de Gestión</v>
      </c>
      <c r="J332" s="100">
        <f ca="1">IF(E332=1,SUMIF($F$200:$F$365,F332,'SEGUIMIENTO Y EVALUACIÓN'!$AV$12:$AV$261),"")</f>
        <v>1.8933333333333333E-2</v>
      </c>
      <c r="K332" s="100">
        <f>IF(E332=1,SUMIF($F$200:$F$365,F332,FORMULACIÓN!$S$12:$S$261),"")</f>
        <v>0.08</v>
      </c>
      <c r="L332" s="100">
        <f ca="1">IFERROR(Tabla4[[#This Row],[res.pond.meta]]/Tabla4[[#This Row],[pond.]],"")</f>
        <v>0.23666666666666666</v>
      </c>
    </row>
    <row r="333" spans="1:12">
      <c r="A333" t="str">
        <f>LEFT(FORMULACIÓN!F145,100)</f>
        <v>Integrar y certificar los Sistemas de Gestión</v>
      </c>
      <c r="C333" t="str">
        <f>Tabla2[[#This Row],[metas]]</f>
        <v>Integrar y certificar los Sistemas de Gestión</v>
      </c>
      <c r="D333">
        <f>FORMULACIÓN!A145</f>
        <v>134</v>
      </c>
      <c r="E333">
        <f>COUNTIF($C$200:C333,C333)</f>
        <v>2</v>
      </c>
      <c r="F333" t="str">
        <f>'SEGUIMIENTO Y EVALUACIÓN'!AL145&amp;"GOAL"&amp;LEN(FORMULACIÓN!F145)</f>
        <v>L5M1P3GOAL45</v>
      </c>
      <c r="G333" t="str">
        <f t="shared" si="8"/>
        <v>L5</v>
      </c>
      <c r="H333" t="str">
        <f t="shared" si="7"/>
        <v xml:space="preserve">L5 - Modernización de la Gestión Administrativa </v>
      </c>
      <c r="I333" t="str">
        <f>IF(E333=1,INDEX(FORMULACIÓN!$F$12:$F$261,Lists!D333,1),"")</f>
        <v/>
      </c>
      <c r="J333" s="100" t="str">
        <f>IF(E333=1,SUMIF($F$200:$F$365,F333,'SEGUIMIENTO Y EVALUACIÓN'!$AV$12:$AV$261),"")</f>
        <v/>
      </c>
      <c r="K333" s="100" t="str">
        <f>IF(E333=1,SUMIF($F$200:$F$365,F333,FORMULACIÓN!$S$12:$S$261),"")</f>
        <v/>
      </c>
      <c r="L333" s="100" t="str">
        <f>IFERROR(Tabla4[[#This Row],[res.pond.meta]]/Tabla4[[#This Row],[pond.]],"")</f>
        <v/>
      </c>
    </row>
    <row r="334" spans="1:12">
      <c r="A334" t="str">
        <f>LEFT(FORMULACIÓN!F146,100)</f>
        <v>Ser una institución consciente y proactiva hacia el aporte de los ODS</v>
      </c>
      <c r="C334" t="str">
        <f>Tabla2[[#This Row],[metas]]</f>
        <v>Ser una institución consciente y proactiva hacia el aporte de los ODS</v>
      </c>
      <c r="D334">
        <f>FORMULACIÓN!A146</f>
        <v>135</v>
      </c>
      <c r="E334">
        <f>COUNTIF($C$200:C334,C334)</f>
        <v>1</v>
      </c>
      <c r="F334" t="str">
        <f>'SEGUIMIENTO Y EVALUACIÓN'!AL146&amp;"GOAL"&amp;LEN(FORMULACIÓN!F146)</f>
        <v>L5M1P3GOAL69</v>
      </c>
      <c r="G334" t="str">
        <f t="shared" si="8"/>
        <v>L5</v>
      </c>
      <c r="H334" t="str">
        <f t="shared" si="7"/>
        <v xml:space="preserve">L5 - Modernización de la Gestión Administrativa </v>
      </c>
      <c r="I334" t="str">
        <f>IF(E334=1,INDEX(FORMULACIÓN!$F$12:$F$261,Lists!D334,1),"")</f>
        <v>Ser una institución consciente y proactiva hacia el aporte de los ODS</v>
      </c>
      <c r="J334" s="100">
        <f ca="1">IF(E334=1,SUMIF($F$200:$F$365,F334,'SEGUIMIENTO Y EVALUACIÓN'!$AV$12:$AV$261),"")</f>
        <v>0.04</v>
      </c>
      <c r="K334" s="100">
        <f>IF(E334=1,SUMIF($F$200:$F$365,F334,FORMULACIÓN!$S$12:$S$261),"")</f>
        <v>0.04</v>
      </c>
      <c r="L334" s="100">
        <f ca="1">IFERROR(Tabla4[[#This Row],[res.pond.meta]]/Tabla4[[#This Row],[pond.]],"")</f>
        <v>1</v>
      </c>
    </row>
    <row r="335" spans="1:12">
      <c r="A335" t="str">
        <f>LEFT(FORMULACIÓN!F147,100)</f>
        <v>Sostenibilidad Ambiental Universitaria</v>
      </c>
      <c r="C335" t="str">
        <f>Tabla2[[#This Row],[metas]]</f>
        <v>Sostenibilidad Ambiental Universitaria</v>
      </c>
      <c r="D335">
        <f>FORMULACIÓN!A147</f>
        <v>136</v>
      </c>
      <c r="E335">
        <f>COUNTIF($C$200:C335,C335)</f>
        <v>1</v>
      </c>
      <c r="F335" t="str">
        <f>'SEGUIMIENTO Y EVALUACIÓN'!AL147&amp;"GOAL"&amp;LEN(FORMULACIÓN!F147)</f>
        <v>L5M1P4GOAL38</v>
      </c>
      <c r="G335" t="str">
        <f t="shared" si="8"/>
        <v>L5</v>
      </c>
      <c r="H335" t="str">
        <f t="shared" si="7"/>
        <v xml:space="preserve">L5 - Modernización de la Gestión Administrativa </v>
      </c>
      <c r="I335" t="str">
        <f>IF(E335=1,INDEX(FORMULACIÓN!$F$12:$F$261,Lists!D335,1),"")</f>
        <v>Sostenibilidad Ambiental Universitaria</v>
      </c>
      <c r="J335" s="100">
        <f ca="1">IF(E335=1,SUMIF($F$200:$F$365,F335,'SEGUIMIENTO Y EVALUACIÓN'!$AV$12:$AV$261),"")</f>
        <v>8.5200000000000012E-2</v>
      </c>
      <c r="K335" s="100">
        <f>IF(E335=1,SUMIF($F$200:$F$365,F335,FORMULACIÓN!$S$12:$S$261),"")</f>
        <v>0.12</v>
      </c>
      <c r="L335" s="100">
        <f ca="1">IFERROR(Tabla4[[#This Row],[res.pond.meta]]/Tabla4[[#This Row],[pond.]],"")</f>
        <v>0.71000000000000008</v>
      </c>
    </row>
    <row r="336" spans="1:12">
      <c r="A336" t="str">
        <f>LEFT(FORMULACIÓN!F148,100)</f>
        <v xml:space="preserve">Operacionalizar al menos el 50% de los convenios de cooperación académica nacional e internacional </v>
      </c>
      <c r="C336" t="str">
        <f>Tabla2[[#This Row],[metas]]</f>
        <v xml:space="preserve">Operacionalizar al menos el 50% de los convenios de cooperación académica nacional e internacional </v>
      </c>
      <c r="D336">
        <f>FORMULACIÓN!A148</f>
        <v>137</v>
      </c>
      <c r="E336">
        <f>COUNTIF($C$200:C336,C336)</f>
        <v>1</v>
      </c>
      <c r="F336" t="str">
        <f>'SEGUIMIENTO Y EVALUACIÓN'!AL148&amp;"GOAL"&amp;LEN(FORMULACIÓN!F148)</f>
        <v>L5M1P6GOAL99</v>
      </c>
      <c r="G336" t="str">
        <f t="shared" si="8"/>
        <v>L5</v>
      </c>
      <c r="H336" t="str">
        <f t="shared" si="7"/>
        <v xml:space="preserve">L5 - Modernización de la Gestión Administrativa </v>
      </c>
      <c r="I336" t="str">
        <f>IF(E336=1,INDEX(FORMULACIÓN!$F$12:$F$261,Lists!D336,1),"")</f>
        <v xml:space="preserve">Operacionalizar al menos el 50% de los convenios de cooperación académica nacional e internacional </v>
      </c>
      <c r="J336" s="100">
        <f ca="1">IF(E336=1,SUMIF($F$200:$F$365,F336,'SEGUIMIENTO Y EVALUACIÓN'!$AV$12:$AV$261),"")</f>
        <v>3.8699999999999998E-2</v>
      </c>
      <c r="K336" s="100">
        <f>IF(E336=1,SUMIF($F$200:$F$365,F336,FORMULACIÓN!$S$12:$S$261),"")</f>
        <v>4.4999999999999998E-2</v>
      </c>
      <c r="L336" s="100">
        <f ca="1">IFERROR(Tabla4[[#This Row],[res.pond.meta]]/Tabla4[[#This Row],[pond.]],"")</f>
        <v>0.86</v>
      </c>
    </row>
    <row r="337" spans="1:12">
      <c r="A337" t="str">
        <f>LEFT(FORMULACIÓN!F149,100)</f>
        <v>Alcanzar la participación de la Universidad en un mínimo de 100 convocatorias académicas</v>
      </c>
      <c r="C337" t="str">
        <f>Tabla2[[#This Row],[metas]]</f>
        <v>Alcanzar la participación de la Universidad en un mínimo de 100 convocatorias académicas</v>
      </c>
      <c r="D337">
        <f>FORMULACIÓN!A149</f>
        <v>138</v>
      </c>
      <c r="E337">
        <f>COUNTIF($C$200:C337,C337)</f>
        <v>1</v>
      </c>
      <c r="F337" t="str">
        <f>'SEGUIMIENTO Y EVALUACIÓN'!AL149&amp;"GOAL"&amp;LEN(FORMULACIÓN!F149)</f>
        <v>L5M1P6GOAL88</v>
      </c>
      <c r="G337" t="str">
        <f t="shared" si="8"/>
        <v>L5</v>
      </c>
      <c r="H337" t="str">
        <f t="shared" si="7"/>
        <v xml:space="preserve">L5 - Modernización de la Gestión Administrativa </v>
      </c>
      <c r="I337" t="str">
        <f>IF(E337=1,INDEX(FORMULACIÓN!$F$12:$F$261,Lists!D337,1),"")</f>
        <v>Alcanzar la participación de la Universidad en un mínimo de 100 convocatorias académicas</v>
      </c>
      <c r="J337" s="100">
        <f ca="1">IF(E337=1,SUMIF($F$200:$F$365,F337,'SEGUIMIENTO Y EVALUACIÓN'!$AV$12:$AV$261),"")</f>
        <v>1.17E-2</v>
      </c>
      <c r="K337" s="100">
        <f>IF(E337=1,SUMIF($F$200:$F$365,F337,FORMULACIÓN!$S$12:$S$261),"")</f>
        <v>4.4999999999999998E-2</v>
      </c>
      <c r="L337" s="100">
        <f ca="1">IFERROR(Tabla4[[#This Row],[res.pond.meta]]/Tabla4[[#This Row],[pond.]],"")</f>
        <v>0.26</v>
      </c>
    </row>
    <row r="338" spans="1:12">
      <c r="A338" t="str">
        <f>LEFT(FORMULACIÓN!F150,100)</f>
        <v>Garantizar personal cualificado con altos niveles de satisfacción en clima organizacional y bienesta</v>
      </c>
      <c r="C338" t="str">
        <f>Tabla2[[#This Row],[metas]]</f>
        <v>Garantizar personal cualificado con altos niveles de satisfacción en clima organizacional y bienesta</v>
      </c>
      <c r="D338">
        <f>FORMULACIÓN!A150</f>
        <v>139</v>
      </c>
      <c r="E338">
        <f>COUNTIF($C$200:C338,C338)</f>
        <v>1</v>
      </c>
      <c r="F338" t="str">
        <f>'SEGUIMIENTO Y EVALUACIÓN'!AL150&amp;"GOAL"&amp;LEN(FORMULACIÓN!F150)</f>
        <v>L5M2P1GOAL110</v>
      </c>
      <c r="G338" t="str">
        <f t="shared" si="8"/>
        <v>L5</v>
      </c>
      <c r="H338" t="str">
        <f t="shared" si="7"/>
        <v xml:space="preserve">L5 - Modernización de la Gestión Administrativa </v>
      </c>
      <c r="I338" t="str">
        <f>IF(E338=1,INDEX(FORMULACIÓN!$F$12:$F$261,Lists!D338,1),"")</f>
        <v>Garantizar personal cualificado con altos niveles de satisfacción en clima organizacional y bienestar laboral.</v>
      </c>
      <c r="J338" s="100">
        <f ca="1">IF(E338=1,SUMIF($F$200:$F$365,F338,'SEGUIMIENTO Y EVALUACIÓN'!$AV$12:$AV$261),"")</f>
        <v>0.06</v>
      </c>
      <c r="K338" s="100">
        <f>IF(E338=1,SUMIF($F$200:$F$365,F338,FORMULACIÓN!$S$12:$S$261),"")</f>
        <v>0.09</v>
      </c>
      <c r="L338" s="100">
        <f ca="1">IFERROR(Tabla4[[#This Row],[res.pond.meta]]/Tabla4[[#This Row],[pond.]],"")</f>
        <v>0.66666666666666663</v>
      </c>
    </row>
    <row r="339" spans="1:12">
      <c r="A339" t="str">
        <f>LEFT(FORMULACIÓN!F151,100)</f>
        <v>Garantizar personal cualificado con altos niveles de satisfacción en clima organizacional y bienesta</v>
      </c>
      <c r="C339" t="str">
        <f>Tabla2[[#This Row],[metas]]</f>
        <v>Garantizar personal cualificado con altos niveles de satisfacción en clima organizacional y bienesta</v>
      </c>
      <c r="D339">
        <f>FORMULACIÓN!A151</f>
        <v>140</v>
      </c>
      <c r="E339">
        <f>COUNTIF($C$200:C339,C339)</f>
        <v>2</v>
      </c>
      <c r="F339" t="str">
        <f>'SEGUIMIENTO Y EVALUACIÓN'!AL151&amp;"GOAL"&amp;LEN(FORMULACIÓN!F151)</f>
        <v>L5M2P1GOAL110</v>
      </c>
      <c r="G339" t="str">
        <f t="shared" si="8"/>
        <v>L5</v>
      </c>
      <c r="H339" t="str">
        <f t="shared" si="7"/>
        <v xml:space="preserve">L5 - Modernización de la Gestión Administrativa </v>
      </c>
      <c r="I339" t="str">
        <f>IF(E339=1,INDEX(FORMULACIÓN!$F$12:$F$261,Lists!D339,1),"")</f>
        <v/>
      </c>
      <c r="J339" s="100" t="str">
        <f>IF(E339=1,SUMIF($F$200:$F$365,F339,'SEGUIMIENTO Y EVALUACIÓN'!$AV$12:$AV$261),"")</f>
        <v/>
      </c>
      <c r="K339" s="100" t="str">
        <f>IF(E339=1,SUMIF($F$200:$F$365,F339,FORMULACIÓN!$S$12:$S$261),"")</f>
        <v/>
      </c>
      <c r="L339" s="100" t="str">
        <f>IFERROR(Tabla4[[#This Row],[res.pond.meta]]/Tabla4[[#This Row],[pond.]],"")</f>
        <v/>
      </c>
    </row>
    <row r="340" spans="1:12">
      <c r="A340" t="str">
        <f>LEFT(FORMULACIÓN!F152,100)</f>
        <v>Garantizar personal cualificado con altos niveles de satisfacción en clima organizacional y bienesta</v>
      </c>
      <c r="C340" t="str">
        <f>Tabla2[[#This Row],[metas]]</f>
        <v>Garantizar personal cualificado con altos niveles de satisfacción en clima organizacional y bienesta</v>
      </c>
      <c r="D340">
        <f>FORMULACIÓN!A152</f>
        <v>141</v>
      </c>
      <c r="E340">
        <f>COUNTIF($C$200:C340,C340)</f>
        <v>3</v>
      </c>
      <c r="F340" t="str">
        <f>'SEGUIMIENTO Y EVALUACIÓN'!AL152&amp;"GOAL"&amp;LEN(FORMULACIÓN!F152)</f>
        <v>L5M2P1GOAL110</v>
      </c>
      <c r="G340" t="str">
        <f t="shared" si="8"/>
        <v>L5</v>
      </c>
      <c r="H340" t="str">
        <f t="shared" si="7"/>
        <v xml:space="preserve">L5 - Modernización de la Gestión Administrativa </v>
      </c>
      <c r="I340" t="str">
        <f>IF(E340=1,INDEX(FORMULACIÓN!$F$12:$F$261,Lists!D340,1),"")</f>
        <v/>
      </c>
      <c r="J340" s="100" t="str">
        <f>IF(E340=1,SUMIF($F$200:$F$365,F340,'SEGUIMIENTO Y EVALUACIÓN'!$AV$12:$AV$261),"")</f>
        <v/>
      </c>
      <c r="K340" s="100" t="str">
        <f>IF(E340=1,SUMIF($F$200:$F$365,F340,FORMULACIÓN!$S$12:$S$261),"")</f>
        <v/>
      </c>
      <c r="L340" s="100" t="str">
        <f>IFERROR(Tabla4[[#This Row],[res.pond.meta]]/Tabla4[[#This Row],[pond.]],"")</f>
        <v/>
      </c>
    </row>
    <row r="341" spans="1:12">
      <c r="A341" t="str">
        <f>LEFT(FORMULACIÓN!F153,100)</f>
        <v xml:space="preserve">Formular e implementar el Plan maestro de infraestructura física </v>
      </c>
      <c r="C341" t="str">
        <f>Tabla2[[#This Row],[metas]]</f>
        <v xml:space="preserve">Formular e implementar el Plan maestro de infraestructura física </v>
      </c>
      <c r="D341">
        <f>FORMULACIÓN!A153</f>
        <v>142</v>
      </c>
      <c r="E341">
        <f>COUNTIF($C$200:C341,C341)</f>
        <v>1</v>
      </c>
      <c r="F341" t="str">
        <f>'SEGUIMIENTO Y EVALUACIÓN'!AL153&amp;"GOAL"&amp;LEN(FORMULACIÓN!F153)</f>
        <v>L5M3P1GOAL65</v>
      </c>
      <c r="G341" t="str">
        <f t="shared" si="8"/>
        <v>L5</v>
      </c>
      <c r="H341" t="str">
        <f t="shared" si="7"/>
        <v xml:space="preserve">L5 - Modernización de la Gestión Administrativa </v>
      </c>
      <c r="I341" t="str">
        <f>IF(E341=1,INDEX(FORMULACIÓN!$F$12:$F$261,Lists!D341,1),"")</f>
        <v xml:space="preserve">Formular e implementar el Plan maestro de infraestructura física </v>
      </c>
      <c r="J341" s="100">
        <f ca="1">IF(E341=1,SUMIF($F$200:$F$365,F341,'SEGUIMIENTO Y EVALUACIÓN'!$AV$12:$AV$261),"")</f>
        <v>0</v>
      </c>
      <c r="K341" s="100">
        <f>IF(E341=1,SUMIF($F$200:$F$365,F341,FORMULACIÓN!$S$12:$S$261),"")</f>
        <v>0.12</v>
      </c>
      <c r="L341" s="100">
        <f ca="1">IFERROR(Tabla4[[#This Row],[res.pond.meta]]/Tabla4[[#This Row],[pond.]],"")</f>
        <v>0</v>
      </c>
    </row>
    <row r="342" spans="1:12">
      <c r="A342" t="str">
        <f>LEFT(FORMULACIÓN!F154,100)</f>
        <v xml:space="preserve">Formular e implementar el Plan maestro de infraestructura física </v>
      </c>
      <c r="C342" t="str">
        <f>Tabla2[[#This Row],[metas]]</f>
        <v xml:space="preserve">Formular e implementar el Plan maestro de infraestructura física </v>
      </c>
      <c r="D342">
        <f>FORMULACIÓN!A154</f>
        <v>143</v>
      </c>
      <c r="E342">
        <f>COUNTIF($C$200:C342,C342)</f>
        <v>2</v>
      </c>
      <c r="F342" t="str">
        <f>'SEGUIMIENTO Y EVALUACIÓN'!AL154&amp;"GOAL"&amp;LEN(FORMULACIÓN!F154)</f>
        <v>L5M3P1GOAL65</v>
      </c>
      <c r="G342" t="str">
        <f t="shared" si="8"/>
        <v>L5</v>
      </c>
      <c r="H342" t="str">
        <f t="shared" si="7"/>
        <v xml:space="preserve">L5 - Modernización de la Gestión Administrativa </v>
      </c>
      <c r="I342" t="str">
        <f>IF(E342=1,INDEX(FORMULACIÓN!$F$12:$F$261,Lists!D342,1),"")</f>
        <v/>
      </c>
      <c r="J342" s="100" t="str">
        <f>IF(E342=1,SUMIF($F$200:$F$365,F342,'SEGUIMIENTO Y EVALUACIÓN'!$AV$12:$AV$261),"")</f>
        <v/>
      </c>
      <c r="K342" s="100" t="str">
        <f>IF(E342=1,SUMIF($F$200:$F$365,F342,FORMULACIÓN!$S$12:$S$261),"")</f>
        <v/>
      </c>
      <c r="L342" s="100" t="str">
        <f>IFERROR(Tabla4[[#This Row],[res.pond.meta]]/Tabla4[[#This Row],[pond.]],"")</f>
        <v/>
      </c>
    </row>
    <row r="343" spans="1:12">
      <c r="A343" t="str">
        <f>LEFT(FORMULACIÓN!F155,100)</f>
        <v>Gestionar la modernización de la sede central de la Biblioteca del campus.</v>
      </c>
      <c r="C343" t="str">
        <f>Tabla2[[#This Row],[metas]]</f>
        <v>Gestionar la modernización de la sede central de la Biblioteca del campus.</v>
      </c>
      <c r="D343">
        <f>FORMULACIÓN!A155</f>
        <v>144</v>
      </c>
      <c r="E343">
        <f>COUNTIF($C$200:C343,C343)</f>
        <v>1</v>
      </c>
      <c r="F343" t="str">
        <f>'SEGUIMIENTO Y EVALUACIÓN'!AL155&amp;"GOAL"&amp;LEN(FORMULACIÓN!F155)</f>
        <v>L5M3P2GOAL74</v>
      </c>
      <c r="G343" t="str">
        <f t="shared" si="8"/>
        <v>L5</v>
      </c>
      <c r="H343" t="str">
        <f t="shared" si="7"/>
        <v xml:space="preserve">L5 - Modernización de la Gestión Administrativa </v>
      </c>
      <c r="I343" t="str">
        <f>IF(E343=1,INDEX(FORMULACIÓN!$F$12:$F$261,Lists!D343,1),"")</f>
        <v>Gestionar la modernización de la sede central de la Biblioteca del campus.</v>
      </c>
      <c r="J343" s="100">
        <f ca="1">IF(E343=1,SUMIF($F$200:$F$365,F343,'SEGUIMIENTO Y EVALUACIÓN'!$AV$12:$AV$261),"")</f>
        <v>0.12</v>
      </c>
      <c r="K343" s="100">
        <f>IF(E343=1,SUMIF($F$200:$F$365,F343,FORMULACIÓN!$S$12:$S$261),"")</f>
        <v>0.12</v>
      </c>
      <c r="L343" s="100">
        <f ca="1">IFERROR(Tabla4[[#This Row],[res.pond.meta]]/Tabla4[[#This Row],[pond.]],"")</f>
        <v>1</v>
      </c>
    </row>
    <row r="344" spans="1:12">
      <c r="A344" t="str">
        <f>LEFT(FORMULACIÓN!F156,100)</f>
        <v>Adecuar contenedores sostenibles y modernos que permitan la recolección selectiva de residuos en sal</v>
      </c>
      <c r="C344" t="str">
        <f>Tabla2[[#This Row],[metas]]</f>
        <v>Adecuar contenedores sostenibles y modernos que permitan la recolección selectiva de residuos en sal</v>
      </c>
      <c r="D344">
        <f>FORMULACIÓN!A156</f>
        <v>145</v>
      </c>
      <c r="E344">
        <f>COUNTIF($C$200:C344,C344)</f>
        <v>1</v>
      </c>
      <c r="F344" t="str">
        <f>'SEGUIMIENTO Y EVALUACIÓN'!AL156&amp;"GOAL"&amp;LEN(FORMULACIÓN!F156)</f>
        <v>L5M3P3GOAL162</v>
      </c>
      <c r="G344" t="str">
        <f t="shared" ref="G344:G365" si="9">LEFT(F344,2)</f>
        <v>L5</v>
      </c>
      <c r="H344" t="str">
        <f t="shared" ref="H344:H365" si="10">IFERROR(INDEX(lin,VLOOKUP(G344,$E$191:$F$195,2,FALSE),1),"")</f>
        <v xml:space="preserve">L5 - Modernización de la Gestión Administrativa </v>
      </c>
      <c r="I344" t="str">
        <f>IF(E344=1,INDEX(FORMULACIÓN!$F$12:$F$261,Lists!D344,1),"")</f>
        <v>Adecuar contenedores sostenibles y modernos que permitan la recolección selectiva de residuos en salas de reuniones, centros de investigación y zonas de estudios.</v>
      </c>
      <c r="J344" s="100">
        <f ca="1">IF(E344=1,SUMIF($F$200:$F$365,F344,'SEGUIMIENTO Y EVALUACIÓN'!$AV$12:$AV$261),"")</f>
        <v>7.6499999999999999E-2</v>
      </c>
      <c r="K344" s="100">
        <f>IF(E344=1,SUMIF($F$200:$F$365,F344,FORMULACIÓN!$S$12:$S$261),"")</f>
        <v>0.12</v>
      </c>
      <c r="L344" s="100">
        <f ca="1">IFERROR(Tabla4[[#This Row],[res.pond.meta]]/Tabla4[[#This Row],[pond.]],"")</f>
        <v>0.63750000000000007</v>
      </c>
    </row>
    <row r="345" spans="1:12">
      <c r="A345" t="str">
        <f>LEFT(FORMULACIÓN!F157,100)</f>
        <v/>
      </c>
      <c r="C345" t="str">
        <f>Tabla2[[#This Row],[metas]]</f>
        <v/>
      </c>
      <c r="D345" t="str">
        <f>FORMULACIÓN!A157</f>
        <v/>
      </c>
      <c r="E345">
        <f>COUNTIF($C$200:C345,C345)</f>
        <v>1</v>
      </c>
      <c r="F345" t="str">
        <f>'SEGUIMIENTO Y EVALUACIÓN'!AL157&amp;"GOAL"&amp;LEN(FORMULACIÓN!F157)</f>
        <v>GOAL0</v>
      </c>
      <c r="G345" t="str">
        <f t="shared" si="9"/>
        <v>GO</v>
      </c>
      <c r="H345" t="str">
        <f t="shared" si="10"/>
        <v/>
      </c>
      <c r="I345" t="e">
        <f>IF(E345=1,INDEX(FORMULACIÓN!$F$12:$F$261,Lists!D345,1),"")</f>
        <v>#VALUE!</v>
      </c>
      <c r="J345" s="100">
        <f ca="1">IF(E345=1,SUMIF($F$200:$F$365,F345,'SEGUIMIENTO Y EVALUACIÓN'!$AV$12:$AV$261),"")</f>
        <v>0</v>
      </c>
      <c r="K345" s="100">
        <f>IF(E345=1,SUMIF($F$200:$F$365,F345,FORMULACIÓN!$S$12:$S$261),"")</f>
        <v>0</v>
      </c>
      <c r="L345" s="100" t="str">
        <f ca="1">IFERROR(Tabla4[[#This Row],[res.pond.meta]]/Tabla4[[#This Row],[pond.]],"")</f>
        <v/>
      </c>
    </row>
    <row r="346" spans="1:12">
      <c r="A346" t="str">
        <f>LEFT(FORMULACIÓN!F158,100)</f>
        <v/>
      </c>
      <c r="C346" t="str">
        <f>Tabla2[[#This Row],[metas]]</f>
        <v/>
      </c>
      <c r="D346" t="str">
        <f>FORMULACIÓN!A158</f>
        <v/>
      </c>
      <c r="E346">
        <f>COUNTIF($C$200:C346,C346)</f>
        <v>2</v>
      </c>
      <c r="F346" t="str">
        <f>'SEGUIMIENTO Y EVALUACIÓN'!AL158&amp;"GOAL"&amp;LEN(FORMULACIÓN!F158)</f>
        <v>GOAL0</v>
      </c>
      <c r="G346" t="str">
        <f t="shared" si="9"/>
        <v>GO</v>
      </c>
      <c r="H346" t="str">
        <f t="shared" si="10"/>
        <v/>
      </c>
      <c r="I346" t="str">
        <f>IF(E346=1,INDEX(FORMULACIÓN!$F$12:$F$261,Lists!D346,1),"")</f>
        <v/>
      </c>
      <c r="J346" s="100" t="str">
        <f>IF(E346=1,SUMIF($F$200:$F$365,F346,'SEGUIMIENTO Y EVALUACIÓN'!$AV$12:$AV$261),"")</f>
        <v/>
      </c>
      <c r="K346" s="100" t="str">
        <f>IF(E346=1,SUMIF($F$200:$F$365,F346,FORMULACIÓN!$S$12:$S$261),"")</f>
        <v/>
      </c>
      <c r="L346" s="100" t="str">
        <f>IFERROR(Tabla4[[#This Row],[res.pond.meta]]/Tabla4[[#This Row],[pond.]],"")</f>
        <v/>
      </c>
    </row>
    <row r="347" spans="1:12">
      <c r="A347" t="str">
        <f>LEFT(FORMULACIÓN!F159,100)</f>
        <v/>
      </c>
      <c r="C347" t="str">
        <f>Tabla2[[#This Row],[metas]]</f>
        <v/>
      </c>
      <c r="D347" t="str">
        <f>FORMULACIÓN!A159</f>
        <v/>
      </c>
      <c r="E347">
        <f>COUNTIF($C$200:C347,C347)</f>
        <v>3</v>
      </c>
      <c r="F347" t="str">
        <f>'SEGUIMIENTO Y EVALUACIÓN'!AL159&amp;"GOAL"&amp;LEN(FORMULACIÓN!F159)</f>
        <v>GOAL0</v>
      </c>
      <c r="G347" t="str">
        <f t="shared" si="9"/>
        <v>GO</v>
      </c>
      <c r="H347" t="str">
        <f t="shared" si="10"/>
        <v/>
      </c>
      <c r="I347" t="str">
        <f>IF(E347=1,INDEX(FORMULACIÓN!$F$12:$F$261,Lists!D347,1),"")</f>
        <v/>
      </c>
      <c r="J347" s="100" t="str">
        <f>IF(E347=1,SUMIF($F$200:$F$365,F347,'SEGUIMIENTO Y EVALUACIÓN'!$AV$12:$AV$261),"")</f>
        <v/>
      </c>
      <c r="K347" s="100" t="str">
        <f>IF(E347=1,SUMIF($F$200:$F$365,F347,FORMULACIÓN!$S$12:$S$261),"")</f>
        <v/>
      </c>
      <c r="L347" s="100" t="str">
        <f>IFERROR(Tabla4[[#This Row],[res.pond.meta]]/Tabla4[[#This Row],[pond.]],"")</f>
        <v/>
      </c>
    </row>
    <row r="348" spans="1:12">
      <c r="A348" t="str">
        <f>LEFT(FORMULACIÓN!F160,100)</f>
        <v/>
      </c>
      <c r="C348" t="str">
        <f>Tabla2[[#This Row],[metas]]</f>
        <v/>
      </c>
      <c r="D348" t="str">
        <f>FORMULACIÓN!A160</f>
        <v/>
      </c>
      <c r="E348">
        <f>COUNTIF($C$200:C348,C348)</f>
        <v>4</v>
      </c>
      <c r="F348" t="str">
        <f>'SEGUIMIENTO Y EVALUACIÓN'!AL160&amp;"GOAL"&amp;LEN(FORMULACIÓN!F160)</f>
        <v>GOAL0</v>
      </c>
      <c r="G348" t="str">
        <f t="shared" si="9"/>
        <v>GO</v>
      </c>
      <c r="H348" t="str">
        <f t="shared" si="10"/>
        <v/>
      </c>
      <c r="I348" t="str">
        <f>IF(E348=1,INDEX(FORMULACIÓN!$F$12:$F$261,Lists!D348,1),"")</f>
        <v/>
      </c>
      <c r="J348" s="100" t="str">
        <f>IF(E348=1,SUMIF($F$200:$F$365,F348,'SEGUIMIENTO Y EVALUACIÓN'!$AV$12:$AV$261),"")</f>
        <v/>
      </c>
      <c r="K348" s="100" t="str">
        <f>IF(E348=1,SUMIF($F$200:$F$365,F348,FORMULACIÓN!$S$12:$S$261),"")</f>
        <v/>
      </c>
      <c r="L348" s="100" t="str">
        <f>IFERROR(Tabla4[[#This Row],[res.pond.meta]]/Tabla4[[#This Row],[pond.]],"")</f>
        <v/>
      </c>
    </row>
    <row r="349" spans="1:12">
      <c r="A349" t="str">
        <f>LEFT(FORMULACIÓN!F161,100)</f>
        <v/>
      </c>
      <c r="C349" t="str">
        <f>Tabla2[[#This Row],[metas]]</f>
        <v/>
      </c>
      <c r="D349" t="str">
        <f>FORMULACIÓN!A161</f>
        <v/>
      </c>
      <c r="E349">
        <f>COUNTIF($C$200:C349,C349)</f>
        <v>5</v>
      </c>
      <c r="F349" t="str">
        <f>'SEGUIMIENTO Y EVALUACIÓN'!AL161&amp;"GOAL"&amp;LEN(FORMULACIÓN!F161)</f>
        <v>GOAL0</v>
      </c>
      <c r="G349" t="str">
        <f t="shared" si="9"/>
        <v>GO</v>
      </c>
      <c r="H349" t="str">
        <f t="shared" si="10"/>
        <v/>
      </c>
      <c r="I349" t="str">
        <f>IF(E349=1,INDEX(FORMULACIÓN!$F$12:$F$261,Lists!D349,1),"")</f>
        <v/>
      </c>
      <c r="J349" s="100" t="str">
        <f>IF(E349=1,SUMIF($F$200:$F$365,F349,'SEGUIMIENTO Y EVALUACIÓN'!$AV$12:$AV$261),"")</f>
        <v/>
      </c>
      <c r="K349" s="100" t="str">
        <f>IF(E349=1,SUMIF($F$200:$F$365,F349,FORMULACIÓN!$S$12:$S$261),"")</f>
        <v/>
      </c>
      <c r="L349" s="100" t="str">
        <f>IFERROR(Tabla4[[#This Row],[res.pond.meta]]/Tabla4[[#This Row],[pond.]],"")</f>
        <v/>
      </c>
    </row>
    <row r="350" spans="1:12">
      <c r="A350" t="str">
        <f>LEFT(FORMULACIÓN!F162,100)</f>
        <v/>
      </c>
      <c r="C350" t="str">
        <f>Tabla2[[#This Row],[metas]]</f>
        <v/>
      </c>
      <c r="D350" t="str">
        <f>FORMULACIÓN!A162</f>
        <v/>
      </c>
      <c r="E350">
        <f>COUNTIF($C$200:C350,C350)</f>
        <v>6</v>
      </c>
      <c r="F350" t="str">
        <f>'SEGUIMIENTO Y EVALUACIÓN'!AL162&amp;"GOAL"&amp;LEN(FORMULACIÓN!F162)</f>
        <v>GOAL0</v>
      </c>
      <c r="G350" t="str">
        <f t="shared" si="9"/>
        <v>GO</v>
      </c>
      <c r="H350" t="str">
        <f t="shared" si="10"/>
        <v/>
      </c>
      <c r="I350" t="str">
        <f>IF(E350=1,INDEX(FORMULACIÓN!$F$12:$F$261,Lists!D350,1),"")</f>
        <v/>
      </c>
      <c r="J350" s="100" t="str">
        <f>IF(E350=1,SUMIF($F$200:$F$365,F350,'SEGUIMIENTO Y EVALUACIÓN'!$AV$12:$AV$261),"")</f>
        <v/>
      </c>
      <c r="K350" s="100" t="str">
        <f>IF(E350=1,SUMIF($F$200:$F$365,F350,FORMULACIÓN!$S$12:$S$261),"")</f>
        <v/>
      </c>
      <c r="L350" s="100" t="str">
        <f>IFERROR(Tabla4[[#This Row],[res.pond.meta]]/Tabla4[[#This Row],[pond.]],"")</f>
        <v/>
      </c>
    </row>
    <row r="351" spans="1:12">
      <c r="A351" t="str">
        <f>LEFT(FORMULACIÓN!F163,100)</f>
        <v/>
      </c>
      <c r="C351" t="str">
        <f>Tabla2[[#This Row],[metas]]</f>
        <v/>
      </c>
      <c r="D351" t="str">
        <f>FORMULACIÓN!A163</f>
        <v/>
      </c>
      <c r="E351">
        <f>COUNTIF($C$200:C351,C351)</f>
        <v>7</v>
      </c>
      <c r="F351" t="str">
        <f>'SEGUIMIENTO Y EVALUACIÓN'!AL163&amp;"GOAL"&amp;LEN(FORMULACIÓN!F163)</f>
        <v>GOAL0</v>
      </c>
      <c r="G351" t="str">
        <f t="shared" si="9"/>
        <v>GO</v>
      </c>
      <c r="H351" t="str">
        <f t="shared" si="10"/>
        <v/>
      </c>
      <c r="I351" t="str">
        <f>IF(E351=1,INDEX(FORMULACIÓN!$F$12:$F$261,Lists!D351,1),"")</f>
        <v/>
      </c>
      <c r="J351" s="100" t="str">
        <f>IF(E351=1,SUMIF($F$200:$F$365,F351,'SEGUIMIENTO Y EVALUACIÓN'!$AV$12:$AV$261),"")</f>
        <v/>
      </c>
      <c r="K351" s="100" t="str">
        <f>IF(E351=1,SUMIF($F$200:$F$365,F351,FORMULACIÓN!$S$12:$S$261),"")</f>
        <v/>
      </c>
      <c r="L351" s="100" t="str">
        <f>IFERROR(Tabla4[[#This Row],[res.pond.meta]]/Tabla4[[#This Row],[pond.]],"")</f>
        <v/>
      </c>
    </row>
    <row r="352" spans="1:12">
      <c r="A352" t="str">
        <f>LEFT(FORMULACIÓN!F164,100)</f>
        <v/>
      </c>
      <c r="C352" t="str">
        <f>Tabla2[[#This Row],[metas]]</f>
        <v/>
      </c>
      <c r="D352" t="str">
        <f>FORMULACIÓN!A164</f>
        <v/>
      </c>
      <c r="E352">
        <f>COUNTIF($C$200:C352,C352)</f>
        <v>8</v>
      </c>
      <c r="F352" t="str">
        <f>'SEGUIMIENTO Y EVALUACIÓN'!AL164&amp;"GOAL"&amp;LEN(FORMULACIÓN!F164)</f>
        <v>GOAL0</v>
      </c>
      <c r="G352" t="str">
        <f t="shared" si="9"/>
        <v>GO</v>
      </c>
      <c r="H352" t="str">
        <f t="shared" si="10"/>
        <v/>
      </c>
      <c r="I352" t="str">
        <f>IF(E352=1,INDEX(FORMULACIÓN!$F$12:$F$261,Lists!D352,1),"")</f>
        <v/>
      </c>
      <c r="J352" s="100" t="str">
        <f>IF(E352=1,SUMIF($F$200:$F$365,F352,'SEGUIMIENTO Y EVALUACIÓN'!$AV$12:$AV$261),"")</f>
        <v/>
      </c>
      <c r="K352" s="100" t="str">
        <f>IF(E352=1,SUMIF($F$200:$F$365,F352,FORMULACIÓN!$S$12:$S$261),"")</f>
        <v/>
      </c>
      <c r="L352" s="100" t="str">
        <f>IFERROR(Tabla4[[#This Row],[res.pond.meta]]/Tabla4[[#This Row],[pond.]],"")</f>
        <v/>
      </c>
    </row>
    <row r="353" spans="1:12">
      <c r="A353" t="str">
        <f>LEFT(FORMULACIÓN!F165,100)</f>
        <v/>
      </c>
      <c r="C353" t="str">
        <f>Tabla2[[#This Row],[metas]]</f>
        <v/>
      </c>
      <c r="D353" t="str">
        <f>FORMULACIÓN!A165</f>
        <v/>
      </c>
      <c r="E353">
        <f>COUNTIF($C$200:C353,C353)</f>
        <v>9</v>
      </c>
      <c r="F353" t="str">
        <f>'SEGUIMIENTO Y EVALUACIÓN'!AL165&amp;"GOAL"&amp;LEN(FORMULACIÓN!F165)</f>
        <v>GOAL0</v>
      </c>
      <c r="G353" t="str">
        <f t="shared" si="9"/>
        <v>GO</v>
      </c>
      <c r="H353" t="str">
        <f t="shared" si="10"/>
        <v/>
      </c>
      <c r="I353" t="str">
        <f>IF(E353=1,INDEX(FORMULACIÓN!$F$12:$F$261,Lists!D353,1),"")</f>
        <v/>
      </c>
      <c r="J353" s="100" t="str">
        <f>IF(E353=1,SUMIF($F$200:$F$365,F353,'SEGUIMIENTO Y EVALUACIÓN'!$AV$12:$AV$261),"")</f>
        <v/>
      </c>
      <c r="K353" s="100" t="str">
        <f>IF(E353=1,SUMIF($F$200:$F$365,F353,FORMULACIÓN!$S$12:$S$261),"")</f>
        <v/>
      </c>
      <c r="L353" s="100" t="str">
        <f>IFERROR(Tabla4[[#This Row],[res.pond.meta]]/Tabla4[[#This Row],[pond.]],"")</f>
        <v/>
      </c>
    </row>
    <row r="354" spans="1:12">
      <c r="A354" t="str">
        <f>LEFT(FORMULACIÓN!F166,100)</f>
        <v/>
      </c>
      <c r="C354" t="str">
        <f>Tabla2[[#This Row],[metas]]</f>
        <v/>
      </c>
      <c r="D354" t="str">
        <f>FORMULACIÓN!A166</f>
        <v/>
      </c>
      <c r="E354">
        <f>COUNTIF($C$200:C354,C354)</f>
        <v>10</v>
      </c>
      <c r="F354" t="str">
        <f>'SEGUIMIENTO Y EVALUACIÓN'!AL166&amp;"GOAL"&amp;LEN(FORMULACIÓN!F166)</f>
        <v>GOAL0</v>
      </c>
      <c r="G354" t="str">
        <f t="shared" si="9"/>
        <v>GO</v>
      </c>
      <c r="H354" t="str">
        <f t="shared" si="10"/>
        <v/>
      </c>
      <c r="I354" t="str">
        <f>IF(E354=1,INDEX(FORMULACIÓN!$F$12:$F$261,Lists!D354,1),"")</f>
        <v/>
      </c>
      <c r="J354" s="100" t="str">
        <f>IF(E354=1,SUMIF($F$200:$F$365,F354,'SEGUIMIENTO Y EVALUACIÓN'!$AV$12:$AV$261),"")</f>
        <v/>
      </c>
      <c r="K354" s="100" t="str">
        <f>IF(E354=1,SUMIF($F$200:$F$365,F354,FORMULACIÓN!$S$12:$S$261),"")</f>
        <v/>
      </c>
      <c r="L354" s="100" t="str">
        <f>IFERROR(Tabla4[[#This Row],[res.pond.meta]]/Tabla4[[#This Row],[pond.]],"")</f>
        <v/>
      </c>
    </row>
    <row r="355" spans="1:12">
      <c r="A355" t="str">
        <f>LEFT(FORMULACIÓN!F167,100)</f>
        <v/>
      </c>
      <c r="C355" t="str">
        <f>Tabla2[[#This Row],[metas]]</f>
        <v/>
      </c>
      <c r="D355" t="str">
        <f>FORMULACIÓN!A167</f>
        <v/>
      </c>
      <c r="E355">
        <f>COUNTIF($C$200:C355,C355)</f>
        <v>11</v>
      </c>
      <c r="F355" t="str">
        <f>'SEGUIMIENTO Y EVALUACIÓN'!AL167&amp;"GOAL"&amp;LEN(FORMULACIÓN!F167)</f>
        <v>GOAL0</v>
      </c>
      <c r="G355" t="str">
        <f t="shared" si="9"/>
        <v>GO</v>
      </c>
      <c r="H355" t="str">
        <f t="shared" si="10"/>
        <v/>
      </c>
      <c r="I355" t="str">
        <f>IF(E355=1,INDEX(FORMULACIÓN!$F$12:$F$261,Lists!D355,1),"")</f>
        <v/>
      </c>
      <c r="J355" s="100" t="str">
        <f>IF(E355=1,SUMIF($F$200:$F$365,F355,'SEGUIMIENTO Y EVALUACIÓN'!$AV$12:$AV$261),"")</f>
        <v/>
      </c>
      <c r="K355" s="100" t="str">
        <f>IF(E355=1,SUMIF($F$200:$F$365,F355,FORMULACIÓN!$S$12:$S$261),"")</f>
        <v/>
      </c>
      <c r="L355" s="100" t="str">
        <f>IFERROR(Tabla4[[#This Row],[res.pond.meta]]/Tabla4[[#This Row],[pond.]],"")</f>
        <v/>
      </c>
    </row>
    <row r="356" spans="1:12">
      <c r="A356" t="str">
        <f>LEFT(FORMULACIÓN!F168,100)</f>
        <v/>
      </c>
      <c r="C356" t="str">
        <f>Tabla2[[#This Row],[metas]]</f>
        <v/>
      </c>
      <c r="D356" t="str">
        <f>FORMULACIÓN!A168</f>
        <v/>
      </c>
      <c r="E356">
        <f>COUNTIF($C$200:C356,C356)</f>
        <v>12</v>
      </c>
      <c r="F356" t="str">
        <f>'SEGUIMIENTO Y EVALUACIÓN'!AL168&amp;"GOAL"&amp;LEN(FORMULACIÓN!F168)</f>
        <v>GOAL0</v>
      </c>
      <c r="G356" t="str">
        <f t="shared" si="9"/>
        <v>GO</v>
      </c>
      <c r="H356" t="str">
        <f t="shared" si="10"/>
        <v/>
      </c>
      <c r="I356" t="str">
        <f>IF(E356=1,INDEX(FORMULACIÓN!$F$12:$F$261,Lists!D356,1),"")</f>
        <v/>
      </c>
      <c r="J356" s="100" t="str">
        <f>IF(E356=1,SUMIF($F$200:$F$365,F356,'SEGUIMIENTO Y EVALUACIÓN'!$AV$12:$AV$261),"")</f>
        <v/>
      </c>
      <c r="K356" s="100" t="str">
        <f>IF(E356=1,SUMIF($F$200:$F$365,F356,FORMULACIÓN!$S$12:$S$261),"")</f>
        <v/>
      </c>
      <c r="L356" s="100" t="str">
        <f>IFERROR(Tabla4[[#This Row],[res.pond.meta]]/Tabla4[[#This Row],[pond.]],"")</f>
        <v/>
      </c>
    </row>
    <row r="357" spans="1:12">
      <c r="A357" t="str">
        <f>LEFT(FORMULACIÓN!F169,100)</f>
        <v/>
      </c>
      <c r="D357" t="str">
        <f>FORMULACIÓN!A169</f>
        <v/>
      </c>
      <c r="E357">
        <f>COUNTIF($C$200:C357,C357)</f>
        <v>0</v>
      </c>
      <c r="F357" t="str">
        <f>'SEGUIMIENTO Y EVALUACIÓN'!AL169&amp;"GOAL"&amp;LEN(FORMULACIÓN!F169)</f>
        <v>GOAL0</v>
      </c>
      <c r="G357" t="str">
        <f t="shared" si="9"/>
        <v>GO</v>
      </c>
      <c r="H357" t="str">
        <f t="shared" si="10"/>
        <v/>
      </c>
      <c r="I357" t="str">
        <f>IF(E357=1,INDEX(FORMULACIÓN!$F$12:$F$261,Lists!D357,1),"")</f>
        <v/>
      </c>
      <c r="J357" s="100" t="str">
        <f>IF(E357=1,SUMIF($F$200:$F$365,F357,'SEGUIMIENTO Y EVALUACIÓN'!$AV$12:$AV$261),"")</f>
        <v/>
      </c>
      <c r="K357" s="100" t="str">
        <f>IF(E357=1,SUMIF($F$200:$F$365,F357,FORMULACIÓN!$S$12:$S$261),"")</f>
        <v/>
      </c>
      <c r="L357" s="100" t="str">
        <f>IFERROR(Tabla4[[#This Row],[res.pond.meta]]/Tabla4[[#This Row],[pond.]],"")</f>
        <v/>
      </c>
    </row>
    <row r="358" spans="1:12">
      <c r="A358" t="str">
        <f>LEFT(FORMULACIÓN!F170,100)</f>
        <v/>
      </c>
      <c r="D358" t="str">
        <f>FORMULACIÓN!A170</f>
        <v/>
      </c>
      <c r="E358">
        <f>COUNTIF($C$200:C358,C358)</f>
        <v>0</v>
      </c>
      <c r="F358" t="str">
        <f>'SEGUIMIENTO Y EVALUACIÓN'!AL170&amp;"GOAL"&amp;LEN(FORMULACIÓN!F170)</f>
        <v>GOAL0</v>
      </c>
      <c r="G358" t="str">
        <f t="shared" si="9"/>
        <v>GO</v>
      </c>
      <c r="H358" t="str">
        <f t="shared" si="10"/>
        <v/>
      </c>
      <c r="I358" t="str">
        <f>IF(E358=1,INDEX(FORMULACIÓN!$F$12:$F$261,Lists!D358,1),"")</f>
        <v/>
      </c>
      <c r="J358" s="100" t="str">
        <f>IF(E358=1,SUMIF($F$200:$F$365,F358,'SEGUIMIENTO Y EVALUACIÓN'!$AV$12:$AV$261),"")</f>
        <v/>
      </c>
      <c r="K358" s="100" t="str">
        <f>IF(E358=1,SUMIF($F$200:$F$365,F358,FORMULACIÓN!$S$12:$S$261),"")</f>
        <v/>
      </c>
      <c r="L358" s="100" t="str">
        <f>IFERROR(Tabla4[[#This Row],[res.pond.meta]]/Tabla4[[#This Row],[pond.]],"")</f>
        <v/>
      </c>
    </row>
    <row r="359" spans="1:12">
      <c r="A359" t="str">
        <f>LEFT(FORMULACIÓN!F171,100)</f>
        <v/>
      </c>
      <c r="D359" t="str">
        <f>FORMULACIÓN!A171</f>
        <v/>
      </c>
      <c r="E359">
        <f>COUNTIF($C$200:C359,C359)</f>
        <v>0</v>
      </c>
      <c r="F359" t="str">
        <f>'SEGUIMIENTO Y EVALUACIÓN'!AL171&amp;"GOAL"&amp;LEN(FORMULACIÓN!F171)</f>
        <v>GOAL0</v>
      </c>
      <c r="G359" t="str">
        <f t="shared" si="9"/>
        <v>GO</v>
      </c>
      <c r="H359" t="str">
        <f t="shared" si="10"/>
        <v/>
      </c>
      <c r="I359" t="str">
        <f>IF(E359=1,INDEX(FORMULACIÓN!$F$12:$F$261,Lists!D359,1),"")</f>
        <v/>
      </c>
      <c r="J359" s="100" t="str">
        <f>IF(E359=1,SUMIF($F$200:$F$365,F359,'SEGUIMIENTO Y EVALUACIÓN'!$AV$12:$AV$261),"")</f>
        <v/>
      </c>
      <c r="K359" s="100" t="str">
        <f>IF(E359=1,SUMIF($F$200:$F$365,F359,FORMULACIÓN!$S$12:$S$261),"")</f>
        <v/>
      </c>
      <c r="L359" s="100" t="str">
        <f>IFERROR(Tabla4[[#This Row],[res.pond.meta]]/Tabla4[[#This Row],[pond.]],"")</f>
        <v/>
      </c>
    </row>
    <row r="360" spans="1:12">
      <c r="A360" t="str">
        <f>LEFT(FORMULACIÓN!F172,100)</f>
        <v/>
      </c>
      <c r="D360" t="str">
        <f>FORMULACIÓN!A172</f>
        <v/>
      </c>
      <c r="E360">
        <f>COUNTIF($C$200:C360,C360)</f>
        <v>0</v>
      </c>
      <c r="F360" t="str">
        <f>'SEGUIMIENTO Y EVALUACIÓN'!AL172&amp;"GOAL"&amp;LEN(FORMULACIÓN!F172)</f>
        <v>GOAL0</v>
      </c>
      <c r="G360" t="str">
        <f t="shared" si="9"/>
        <v>GO</v>
      </c>
      <c r="H360" t="str">
        <f t="shared" si="10"/>
        <v/>
      </c>
      <c r="I360" t="str">
        <f>IF(E360=1,INDEX(FORMULACIÓN!$F$12:$F$261,Lists!D360,1),"")</f>
        <v/>
      </c>
      <c r="J360" s="100" t="str">
        <f>IF(E360=1,SUMIF($F$200:$F$365,F360,'SEGUIMIENTO Y EVALUACIÓN'!$AV$12:$AV$261),"")</f>
        <v/>
      </c>
      <c r="K360" s="100" t="str">
        <f>IF(E360=1,SUMIF($F$200:$F$365,F360,FORMULACIÓN!$S$12:$S$261),"")</f>
        <v/>
      </c>
      <c r="L360" s="100" t="str">
        <f>IFERROR(Tabla4[[#This Row],[res.pond.meta]]/Tabla4[[#This Row],[pond.]],"")</f>
        <v/>
      </c>
    </row>
    <row r="361" spans="1:12">
      <c r="A361" t="str">
        <f>LEFT(FORMULACIÓN!F173,100)</f>
        <v/>
      </c>
      <c r="D361" t="str">
        <f>FORMULACIÓN!A173</f>
        <v/>
      </c>
      <c r="E361">
        <f>COUNTIF($C$200:C361,C361)</f>
        <v>0</v>
      </c>
      <c r="F361" t="str">
        <f>'SEGUIMIENTO Y EVALUACIÓN'!AL173&amp;"GOAL"&amp;LEN(FORMULACIÓN!F173)</f>
        <v>GOAL0</v>
      </c>
      <c r="G361" t="str">
        <f t="shared" si="9"/>
        <v>GO</v>
      </c>
      <c r="H361" t="str">
        <f t="shared" si="10"/>
        <v/>
      </c>
      <c r="I361" t="str">
        <f>IF(E361=1,INDEX(FORMULACIÓN!$F$12:$F$261,Lists!D361,1),"")</f>
        <v/>
      </c>
      <c r="J361" s="100" t="str">
        <f>IF(E361=1,SUMIF($F$200:$F$365,F361,'SEGUIMIENTO Y EVALUACIÓN'!$AV$12:$AV$261),"")</f>
        <v/>
      </c>
      <c r="K361" s="100" t="str">
        <f>IF(E361=1,SUMIF($F$200:$F$365,F361,FORMULACIÓN!$S$12:$S$261),"")</f>
        <v/>
      </c>
      <c r="L361" s="100" t="str">
        <f>IFERROR(Tabla4[[#This Row],[res.pond.meta]]/Tabla4[[#This Row],[pond.]],"")</f>
        <v/>
      </c>
    </row>
    <row r="362" spans="1:12">
      <c r="A362" t="str">
        <f>LEFT(FORMULACIÓN!F174,100)</f>
        <v/>
      </c>
      <c r="D362" t="str">
        <f>FORMULACIÓN!A174</f>
        <v/>
      </c>
      <c r="E362">
        <f>COUNTIF($C$200:C362,C362)</f>
        <v>0</v>
      </c>
      <c r="F362" t="str">
        <f>'SEGUIMIENTO Y EVALUACIÓN'!AL174&amp;"GOAL"&amp;LEN(FORMULACIÓN!F174)</f>
        <v>GOAL0</v>
      </c>
      <c r="G362" t="str">
        <f t="shared" si="9"/>
        <v>GO</v>
      </c>
      <c r="H362" t="str">
        <f t="shared" si="10"/>
        <v/>
      </c>
      <c r="I362" t="str">
        <f>IF(E362=1,INDEX(FORMULACIÓN!$F$12:$F$261,Lists!D362,1),"")</f>
        <v/>
      </c>
      <c r="J362" s="100" t="str">
        <f>IF(E362=1,SUMIF($F$200:$F$365,F362,'SEGUIMIENTO Y EVALUACIÓN'!$AV$12:$AV$261),"")</f>
        <v/>
      </c>
      <c r="K362" s="100" t="str">
        <f>IF(E362=1,SUMIF($F$200:$F$365,F362,FORMULACIÓN!$S$12:$S$261),"")</f>
        <v/>
      </c>
      <c r="L362" s="100" t="str">
        <f>IFERROR(Tabla4[[#This Row],[res.pond.meta]]/Tabla4[[#This Row],[pond.]],"")</f>
        <v/>
      </c>
    </row>
    <row r="363" spans="1:12">
      <c r="A363" t="str">
        <f>LEFT(FORMULACIÓN!F175,100)</f>
        <v/>
      </c>
      <c r="D363" t="str">
        <f>FORMULACIÓN!A175</f>
        <v/>
      </c>
      <c r="E363">
        <f>COUNTIF($C$200:C363,C363)</f>
        <v>0</v>
      </c>
      <c r="F363" t="str">
        <f>'SEGUIMIENTO Y EVALUACIÓN'!AL175&amp;"GOAL"&amp;LEN(FORMULACIÓN!F175)</f>
        <v>GOAL0</v>
      </c>
      <c r="G363" t="str">
        <f t="shared" si="9"/>
        <v>GO</v>
      </c>
      <c r="H363" t="str">
        <f t="shared" si="10"/>
        <v/>
      </c>
      <c r="I363" t="str">
        <f>IF(E363=1,INDEX(FORMULACIÓN!$F$12:$F$261,Lists!D363,1),"")</f>
        <v/>
      </c>
      <c r="J363" s="100" t="str">
        <f>IF(E363=1,SUMIF($F$200:$F$365,F363,'SEGUIMIENTO Y EVALUACIÓN'!$AV$12:$AV$261),"")</f>
        <v/>
      </c>
      <c r="K363" s="100" t="str">
        <f>IF(E363=1,SUMIF($F$200:$F$365,F363,FORMULACIÓN!$S$12:$S$261),"")</f>
        <v/>
      </c>
      <c r="L363" s="100" t="str">
        <f>IFERROR(Tabla4[[#This Row],[res.pond.meta]]/Tabla4[[#This Row],[pond.]],"")</f>
        <v/>
      </c>
    </row>
    <row r="364" spans="1:12">
      <c r="A364" t="str">
        <f>LEFT(FORMULACIÓN!F176,100)</f>
        <v/>
      </c>
      <c r="D364" t="str">
        <f>FORMULACIÓN!A176</f>
        <v/>
      </c>
      <c r="E364">
        <f>COUNTIF($C$200:C364,C364)</f>
        <v>0</v>
      </c>
      <c r="F364" t="str">
        <f>'SEGUIMIENTO Y EVALUACIÓN'!AL176&amp;"GOAL"&amp;LEN(FORMULACIÓN!F176)</f>
        <v>GOAL0</v>
      </c>
      <c r="G364" t="str">
        <f t="shared" si="9"/>
        <v>GO</v>
      </c>
      <c r="H364" t="str">
        <f t="shared" si="10"/>
        <v/>
      </c>
      <c r="I364" t="str">
        <f>IF(E364=1,INDEX(FORMULACIÓN!$F$12:$F$261,Lists!D364,1),"")</f>
        <v/>
      </c>
      <c r="J364" s="100" t="str">
        <f>IF(E364=1,SUMIF($F$200:$F$365,F364,'SEGUIMIENTO Y EVALUACIÓN'!$AV$12:$AV$261),"")</f>
        <v/>
      </c>
      <c r="K364" s="100" t="str">
        <f>IF(E364=1,SUMIF($F$200:$F$365,F364,FORMULACIÓN!$S$12:$S$261),"")</f>
        <v/>
      </c>
      <c r="L364" s="100" t="str">
        <f>IFERROR(Tabla4[[#This Row],[res.pond.meta]]/Tabla4[[#This Row],[pond.]],"")</f>
        <v/>
      </c>
    </row>
    <row r="365" spans="1:12">
      <c r="A365" t="str">
        <f>LEFT(FORMULACIÓN!F177,100)</f>
        <v/>
      </c>
      <c r="D365" t="str">
        <f>FORMULACIÓN!A177</f>
        <v/>
      </c>
      <c r="E365">
        <f>COUNTIF($C$200:C365,C365)</f>
        <v>0</v>
      </c>
      <c r="F365" t="str">
        <f>'SEGUIMIENTO Y EVALUACIÓN'!AL177&amp;"GOAL"&amp;LEN(FORMULACIÓN!F177)</f>
        <v>GOAL0</v>
      </c>
      <c r="G365" t="str">
        <f t="shared" si="9"/>
        <v>GO</v>
      </c>
      <c r="H365" t="str">
        <f t="shared" si="10"/>
        <v/>
      </c>
      <c r="I365" t="str">
        <f>IF(E365=1,INDEX(FORMULACIÓN!$F$12:$F$261,Lists!D365,1),"")</f>
        <v/>
      </c>
      <c r="J365" s="100" t="str">
        <f>IF(E365=1,SUMIF($F$200:$F$365,F365,'SEGUIMIENTO Y EVALUACIÓN'!$AV$12:$AV$261),"")</f>
        <v/>
      </c>
      <c r="K365" s="100" t="str">
        <f>IF(E365=1,SUMIF($F$200:$F$365,F365,FORMULACIÓN!$S$12:$S$261),"")</f>
        <v/>
      </c>
      <c r="L365" s="100" t="str">
        <f>IFERROR(Tabla4[[#This Row],[res.pond.meta]]/Tabla4[[#This Row],[pond.]],"")</f>
        <v/>
      </c>
    </row>
    <row r="366" spans="1:12">
      <c r="A366" t="str">
        <f>LEFT(FORMULACIÓN!F178,100)</f>
        <v/>
      </c>
    </row>
    <row r="367" spans="1:12">
      <c r="A367" t="str">
        <f>LEFT(FORMULACIÓN!F179,100)</f>
        <v/>
      </c>
    </row>
    <row r="368" spans="1:12">
      <c r="A368" t="str">
        <f>LEFT(FORMULACIÓN!F180,100)</f>
        <v/>
      </c>
    </row>
    <row r="369" spans="1:1">
      <c r="A369" t="str">
        <f>LEFT(FORMULACIÓN!F181,100)</f>
        <v/>
      </c>
    </row>
    <row r="370" spans="1:1">
      <c r="A370" t="str">
        <f>LEFT(FORMULACIÓN!F182,100)</f>
        <v/>
      </c>
    </row>
    <row r="371" spans="1:1">
      <c r="A371" t="str">
        <f>LEFT(FORMULACIÓN!F183,100)</f>
        <v/>
      </c>
    </row>
    <row r="372" spans="1:1">
      <c r="A372" t="str">
        <f>LEFT(FORMULACIÓN!F184,100)</f>
        <v/>
      </c>
    </row>
    <row r="373" spans="1:1">
      <c r="A373" t="str">
        <f>LEFT(FORMULACIÓN!F185,100)</f>
        <v/>
      </c>
    </row>
    <row r="374" spans="1:1">
      <c r="A374" t="str">
        <f>LEFT(FORMULACIÓN!F186,100)</f>
        <v/>
      </c>
    </row>
    <row r="375" spans="1:1">
      <c r="A375" t="str">
        <f>LEFT(FORMULACIÓN!F187,100)</f>
        <v/>
      </c>
    </row>
    <row r="376" spans="1:1">
      <c r="A376" t="str">
        <f>LEFT(FORMULACIÓN!F188,100)</f>
        <v/>
      </c>
    </row>
    <row r="377" spans="1:1">
      <c r="A377" t="str">
        <f>LEFT(FORMULACIÓN!F189,100)</f>
        <v/>
      </c>
    </row>
    <row r="378" spans="1:1">
      <c r="A378" t="str">
        <f>LEFT(FORMULACIÓN!F190,100)</f>
        <v/>
      </c>
    </row>
    <row r="379" spans="1:1">
      <c r="A379" t="str">
        <f>LEFT(FORMULACIÓN!F191,100)</f>
        <v/>
      </c>
    </row>
    <row r="380" spans="1:1">
      <c r="A380" t="str">
        <f>LEFT(FORMULACIÓN!F192,100)</f>
        <v/>
      </c>
    </row>
    <row r="381" spans="1:1">
      <c r="A381" t="str">
        <f>LEFT(FORMULACIÓN!F193,100)</f>
        <v/>
      </c>
    </row>
    <row r="382" spans="1:1">
      <c r="A382" t="str">
        <f>LEFT(FORMULACIÓN!F194,100)</f>
        <v/>
      </c>
    </row>
    <row r="383" spans="1:1">
      <c r="A383" t="str">
        <f>LEFT(FORMULACIÓN!F195,100)</f>
        <v/>
      </c>
    </row>
    <row r="384" spans="1:1">
      <c r="A384" t="str">
        <f>LEFT(FORMULACIÓN!F196,100)</f>
        <v/>
      </c>
    </row>
    <row r="385" spans="1:11">
      <c r="A385" t="str">
        <f>LEFT(FORMULACIÓN!F197,100)</f>
        <v/>
      </c>
    </row>
    <row r="386" spans="1:11">
      <c r="A386" t="str">
        <f>LEFT(FORMULACIÓN!F198,100)</f>
        <v/>
      </c>
    </row>
    <row r="387" spans="1:11">
      <c r="A387" t="str">
        <f>LEFT(FORMULACIÓN!F199,100)</f>
        <v/>
      </c>
    </row>
    <row r="388" spans="1:11">
      <c r="A388" t="str">
        <f>LEFT(FORMULACIÓN!F200,100)</f>
        <v/>
      </c>
    </row>
    <row r="389" spans="1:11">
      <c r="A389" t="str">
        <f>LEFT(FORMULACIÓN!F201,100)</f>
        <v/>
      </c>
    </row>
    <row r="390" spans="1:11">
      <c r="A390" t="str">
        <f>LEFT(FORMULACIÓN!F202,100)</f>
        <v/>
      </c>
    </row>
    <row r="391" spans="1:11">
      <c r="A391" t="str">
        <f>LEFT(FORMULACIÓN!F203,100)</f>
        <v/>
      </c>
    </row>
    <row r="392" spans="1:11">
      <c r="A392" t="str">
        <f>LEFT(FORMULACIÓN!F204,100)</f>
        <v/>
      </c>
    </row>
    <row r="393" spans="1:11">
      <c r="A393" t="str">
        <f>LEFT(FORMULACIÓN!F205,100)</f>
        <v/>
      </c>
    </row>
    <row r="394" spans="1:11">
      <c r="A394" t="str">
        <f>LEFT(FORMULACIÓN!F206,100)</f>
        <v/>
      </c>
    </row>
    <row r="395" spans="1:11">
      <c r="A395" t="str">
        <f>LEFT(FORMULACIÓN!F207,100)</f>
        <v/>
      </c>
    </row>
    <row r="396" spans="1:11">
      <c r="A396" t="str">
        <f>LEFT(FORMULACIÓN!F208,100)</f>
        <v/>
      </c>
    </row>
    <row r="397" spans="1:11">
      <c r="A397" t="str">
        <f>LEFT(FORMULACIÓN!F209,100)</f>
        <v/>
      </c>
    </row>
    <row r="398" spans="1:11">
      <c r="A398" t="str">
        <f>LEFT(FORMULACIÓN!F210,100)</f>
        <v/>
      </c>
      <c r="H398" s="27" t="s">
        <v>754</v>
      </c>
      <c r="I398" s="90">
        <f>AVERAGEIF($H$405:$H$421,H398,$K$405:$K$422)</f>
        <v>0.69390298941798945</v>
      </c>
      <c r="J398" s="221"/>
      <c r="K398" s="90">
        <v>0.47892776713268509</v>
      </c>
    </row>
    <row r="399" spans="1:11">
      <c r="A399" t="str">
        <f>LEFT(FORMULACIÓN!F211,100)</f>
        <v/>
      </c>
      <c r="E399" s="27" t="s">
        <v>785</v>
      </c>
      <c r="F399" s="27" t="s">
        <v>786</v>
      </c>
      <c r="G399" s="27" t="s">
        <v>787</v>
      </c>
      <c r="H399" s="27" t="s">
        <v>755</v>
      </c>
      <c r="I399" s="90">
        <f t="shared" ref="I399:I401" si="11">AVERAGEIF($H$405:$H$421,H399,$K$405:$K$422)</f>
        <v>0.8696031746031746</v>
      </c>
      <c r="J399" s="221"/>
      <c r="K399" s="90">
        <v>0.77319444444444463</v>
      </c>
    </row>
    <row r="400" spans="1:11">
      <c r="E400" t="str">
        <f>'SEGUIMIENTO Y EVALUACIÓN'!AL12</f>
        <v>L1M1P1</v>
      </c>
      <c r="F400" s="220">
        <f>'SEGUIMIENTO Y EVALUACIÓN'!AW12</f>
        <v>0</v>
      </c>
      <c r="G400" t="str">
        <f>LEFT(E400,4)</f>
        <v>L1M1</v>
      </c>
      <c r="H400" s="27" t="s">
        <v>756</v>
      </c>
      <c r="I400" s="90">
        <f t="shared" si="11"/>
        <v>0.82329545454545461</v>
      </c>
      <c r="J400" s="221"/>
      <c r="K400" s="90">
        <v>0.71021505376344096</v>
      </c>
    </row>
    <row r="401" spans="5:11">
      <c r="E401" t="str">
        <f>'SEGUIMIENTO Y EVALUACIÓN'!AL13</f>
        <v>L1M1P1</v>
      </c>
      <c r="F401" s="220">
        <f>'SEGUIMIENTO Y EVALUACIÓN'!AW13</f>
        <v>0.5485714285714286</v>
      </c>
      <c r="G401" t="str">
        <f t="shared" ref="G401:G464" si="12">LEFT(E401,4)</f>
        <v>L1M1</v>
      </c>
      <c r="H401" s="27" t="s">
        <v>757</v>
      </c>
      <c r="I401" s="90">
        <f t="shared" si="11"/>
        <v>0.72894736842105257</v>
      </c>
      <c r="J401" s="221"/>
      <c r="K401" s="90">
        <v>0.45921052631578946</v>
      </c>
    </row>
    <row r="402" spans="5:11">
      <c r="E402" t="str">
        <f>'SEGUIMIENTO Y EVALUACIÓN'!AL14</f>
        <v>L1M1P1</v>
      </c>
      <c r="F402" s="220">
        <f>'SEGUIMIENTO Y EVALUACIÓN'!AW14</f>
        <v>0.88888888888888884</v>
      </c>
      <c r="G402" t="str">
        <f t="shared" si="12"/>
        <v>L1M1</v>
      </c>
      <c r="H402" s="27" t="s">
        <v>758</v>
      </c>
      <c r="I402" s="90">
        <f>AVERAGEIF($H$405:$H$422,H402,$K$405:$K$422)</f>
        <v>0.91241134751773056</v>
      </c>
      <c r="J402" s="221"/>
      <c r="K402" s="90">
        <v>0.87368006304176515</v>
      </c>
    </row>
    <row r="403" spans="5:11">
      <c r="E403" t="str">
        <f>'SEGUIMIENTO Y EVALUACIÓN'!AL15</f>
        <v>L1M1P2</v>
      </c>
      <c r="F403" s="220">
        <f>'SEGUIMIENTO Y EVALUACIÓN'!AW15</f>
        <v>1</v>
      </c>
      <c r="G403" t="str">
        <f t="shared" si="12"/>
        <v>L1M1</v>
      </c>
    </row>
    <row r="404" spans="5:11">
      <c r="E404" t="str">
        <f>'SEGUIMIENTO Y EVALUACIÓN'!AL16</f>
        <v>L1M1P2</v>
      </c>
      <c r="F404" s="220">
        <f>'SEGUIMIENTO Y EVALUACIÓN'!AW16</f>
        <v>1</v>
      </c>
      <c r="G404" t="str">
        <f t="shared" si="12"/>
        <v>L1M1</v>
      </c>
      <c r="I404" s="222">
        <f>AVERAGE(I405:I422)</f>
        <v>0.22378668525030015</v>
      </c>
    </row>
    <row r="405" spans="5:11">
      <c r="E405" t="str">
        <f>'SEGUIMIENTO Y EVALUACIÓN'!AL17</f>
        <v>L1M1P2</v>
      </c>
      <c r="F405" s="220">
        <f>'SEGUIMIENTO Y EVALUACIÓN'!AW17</f>
        <v>1</v>
      </c>
      <c r="G405" t="str">
        <f t="shared" si="12"/>
        <v>L1M1</v>
      </c>
      <c r="H405" t="str">
        <f>LEFT(J405,2)</f>
        <v>L1</v>
      </c>
      <c r="I405" s="100">
        <f>(1/COUNTIF($H$405:$H$422,H405))*K405</f>
        <v>0.15729100529100529</v>
      </c>
      <c r="J405" t="s">
        <v>788</v>
      </c>
      <c r="K405" s="90">
        <f>AVERAGEIF($G$400:$G$651,J405,$F$400:$F$651)</f>
        <v>0.78645502645502641</v>
      </c>
    </row>
    <row r="406" spans="5:11">
      <c r="E406" t="str">
        <f>'SEGUIMIENTO Y EVALUACIÓN'!AL18</f>
        <v>L1M1P2</v>
      </c>
      <c r="F406" s="220">
        <f>'SEGUIMIENTO Y EVALUACIÓN'!AW18</f>
        <v>1</v>
      </c>
      <c r="G406" t="str">
        <f t="shared" si="12"/>
        <v>L1M1</v>
      </c>
      <c r="H406" t="str">
        <f t="shared" ref="H406:H421" si="13">LEFT(J406,2)</f>
        <v>L1</v>
      </c>
      <c r="I406" s="100">
        <f t="shared" ref="I406:I422" si="14">(1/COUNTIF($H$405:$H$422,H406))*K406</f>
        <v>0.16158222222222221</v>
      </c>
      <c r="J406" t="s">
        <v>789</v>
      </c>
      <c r="K406" s="90">
        <f t="shared" ref="K406:K422" si="15">AVERAGEIF($G$400:$G$651,J406,$F$400:$F$651)</f>
        <v>0.80791111111111102</v>
      </c>
    </row>
    <row r="407" spans="5:11">
      <c r="E407" t="str">
        <f>'SEGUIMIENTO Y EVALUACIÓN'!AL19</f>
        <v>L1M1P2</v>
      </c>
      <c r="F407" s="220">
        <f>'SEGUIMIENTO Y EVALUACIÓN'!AW19</f>
        <v>1</v>
      </c>
      <c r="G407" t="str">
        <f t="shared" si="12"/>
        <v>L1M1</v>
      </c>
      <c r="H407" t="str">
        <f t="shared" si="13"/>
        <v>L1</v>
      </c>
      <c r="I407" s="100">
        <f t="shared" si="14"/>
        <v>0.17500000000000002</v>
      </c>
      <c r="J407" t="s">
        <v>790</v>
      </c>
      <c r="K407" s="90">
        <f t="shared" si="15"/>
        <v>0.875</v>
      </c>
    </row>
    <row r="408" spans="5:11">
      <c r="E408" t="str">
        <f>'SEGUIMIENTO Y EVALUACIÓN'!AL20</f>
        <v>L1M1P2</v>
      </c>
      <c r="F408" s="220">
        <f>'SEGUIMIENTO Y EVALUACIÓN'!AW20</f>
        <v>1</v>
      </c>
      <c r="G408" t="str">
        <f t="shared" si="12"/>
        <v>L1M1</v>
      </c>
      <c r="H408" t="str">
        <f t="shared" si="13"/>
        <v>L1</v>
      </c>
      <c r="I408" s="100">
        <f t="shared" si="14"/>
        <v>8.8571428571428579E-2</v>
      </c>
      <c r="J408" t="s">
        <v>791</v>
      </c>
      <c r="K408" s="90">
        <f t="shared" si="15"/>
        <v>0.44285714285714289</v>
      </c>
    </row>
    <row r="409" spans="5:11">
      <c r="E409" t="str">
        <f>'SEGUIMIENTO Y EVALUACIÓN'!AL21</f>
        <v>L1M1P3</v>
      </c>
      <c r="F409" s="220">
        <f>'SEGUIMIENTO Y EVALUACIÓN'!AW21</f>
        <v>0</v>
      </c>
      <c r="G409" t="str">
        <f t="shared" si="12"/>
        <v>L1M1</v>
      </c>
      <c r="H409" t="str">
        <f t="shared" si="13"/>
        <v>L1</v>
      </c>
      <c r="I409" s="100">
        <f t="shared" si="14"/>
        <v>0.11145833333333333</v>
      </c>
      <c r="J409" t="s">
        <v>792</v>
      </c>
      <c r="K409" s="90">
        <f t="shared" si="15"/>
        <v>0.55729166666666663</v>
      </c>
    </row>
    <row r="410" spans="5:11">
      <c r="E410" t="str">
        <f>'SEGUIMIENTO Y EVALUACIÓN'!AL22</f>
        <v>L1M1P3</v>
      </c>
      <c r="F410" s="220">
        <f>'SEGUIMIENTO Y EVALUACIÓN'!AW22</f>
        <v>1</v>
      </c>
      <c r="G410" t="str">
        <f t="shared" si="12"/>
        <v>L1M1</v>
      </c>
      <c r="H410" t="str">
        <f t="shared" si="13"/>
        <v>L2</v>
      </c>
      <c r="I410" s="100">
        <f t="shared" si="14"/>
        <v>0.28888888888888892</v>
      </c>
      <c r="J410" t="s">
        <v>793</v>
      </c>
      <c r="K410" s="90">
        <f t="shared" si="15"/>
        <v>0.86666666666666681</v>
      </c>
    </row>
    <row r="411" spans="5:11">
      <c r="E411" t="str">
        <f>'SEGUIMIENTO Y EVALUACIÓN'!AL23</f>
        <v>L1M1P3</v>
      </c>
      <c r="F411" s="220">
        <f>'SEGUIMIENTO Y EVALUACIÓN'!AW23</f>
        <v>1</v>
      </c>
      <c r="G411" t="str">
        <f t="shared" si="12"/>
        <v>L1M1</v>
      </c>
      <c r="H411" t="str">
        <f t="shared" si="13"/>
        <v>L2</v>
      </c>
      <c r="I411" s="100">
        <f t="shared" si="14"/>
        <v>0.31404761904761902</v>
      </c>
      <c r="J411" t="s">
        <v>794</v>
      </c>
      <c r="K411" s="90">
        <f t="shared" si="15"/>
        <v>0.94214285714285706</v>
      </c>
    </row>
    <row r="412" spans="5:11">
      <c r="E412" t="str">
        <f>'SEGUIMIENTO Y EVALUACIÓN'!AL24</f>
        <v>L1M2P1</v>
      </c>
      <c r="F412" s="220">
        <f>'SEGUIMIENTO Y EVALUACIÓN'!AW24</f>
        <v>1</v>
      </c>
      <c r="G412" t="str">
        <f t="shared" si="12"/>
        <v>L1M2</v>
      </c>
      <c r="H412" t="str">
        <f t="shared" si="13"/>
        <v>L2</v>
      </c>
      <c r="I412" s="100">
        <f t="shared" si="14"/>
        <v>0.26666666666666666</v>
      </c>
      <c r="J412" t="s">
        <v>795</v>
      </c>
      <c r="K412" s="90">
        <f t="shared" si="15"/>
        <v>0.8</v>
      </c>
    </row>
    <row r="413" spans="5:11">
      <c r="E413" t="str">
        <f>'SEGUIMIENTO Y EVALUACIÓN'!AL25</f>
        <v>L1M2P1</v>
      </c>
      <c r="F413" s="220">
        <f>'SEGUIMIENTO Y EVALUACIÓN'!AW25</f>
        <v>0.68399999999999994</v>
      </c>
      <c r="G413" t="str">
        <f t="shared" si="12"/>
        <v>L1M2</v>
      </c>
      <c r="H413" t="str">
        <f t="shared" si="13"/>
        <v>L3</v>
      </c>
      <c r="I413" s="100">
        <f t="shared" si="14"/>
        <v>0.21875</v>
      </c>
      <c r="J413" t="s">
        <v>796</v>
      </c>
      <c r="K413" s="90">
        <f t="shared" si="15"/>
        <v>0.875</v>
      </c>
    </row>
    <row r="414" spans="5:11">
      <c r="E414" t="str">
        <f>'SEGUIMIENTO Y EVALUACIÓN'!AL26</f>
        <v>L1M2P2</v>
      </c>
      <c r="F414" s="220">
        <f>'SEGUIMIENTO Y EVALUACIÓN'!AW26</f>
        <v>0.8</v>
      </c>
      <c r="G414" t="str">
        <f t="shared" si="12"/>
        <v>L1M2</v>
      </c>
      <c r="H414" t="str">
        <f t="shared" si="13"/>
        <v>L3</v>
      </c>
      <c r="I414" s="100">
        <f t="shared" si="14"/>
        <v>0.20454545454545456</v>
      </c>
      <c r="J414" t="s">
        <v>797</v>
      </c>
      <c r="K414" s="90">
        <f t="shared" si="15"/>
        <v>0.81818181818181823</v>
      </c>
    </row>
    <row r="415" spans="5:11">
      <c r="E415" t="str">
        <f>'SEGUIMIENTO Y EVALUACIÓN'!AL27</f>
        <v>L1M2P2</v>
      </c>
      <c r="F415" s="220">
        <f>'SEGUIMIENTO Y EVALUACIÓN'!AW27</f>
        <v>1</v>
      </c>
      <c r="G415" t="str">
        <f t="shared" si="12"/>
        <v>L1M2</v>
      </c>
      <c r="H415" t="str">
        <f t="shared" si="13"/>
        <v>L3</v>
      </c>
      <c r="I415" s="100">
        <f t="shared" si="14"/>
        <v>0.25</v>
      </c>
      <c r="J415" t="s">
        <v>798</v>
      </c>
      <c r="K415" s="90">
        <f t="shared" si="15"/>
        <v>1</v>
      </c>
    </row>
    <row r="416" spans="5:11">
      <c r="E416" t="str">
        <f>'SEGUIMIENTO Y EVALUACIÓN'!AL28</f>
        <v>L1M2P3</v>
      </c>
      <c r="F416" s="220">
        <f>'SEGUIMIENTO Y EVALUACIÓN'!AW28</f>
        <v>0.55555555555555558</v>
      </c>
      <c r="G416" t="str">
        <f t="shared" si="12"/>
        <v>L1M2</v>
      </c>
      <c r="H416" t="str">
        <f t="shared" si="13"/>
        <v>L3</v>
      </c>
      <c r="I416" s="100">
        <f t="shared" si="14"/>
        <v>0.15</v>
      </c>
      <c r="J416" t="s">
        <v>799</v>
      </c>
      <c r="K416" s="90">
        <f t="shared" si="15"/>
        <v>0.6</v>
      </c>
    </row>
    <row r="417" spans="5:11">
      <c r="E417" t="str">
        <f>'SEGUIMIENTO Y EVALUACIÓN'!AL29</f>
        <v>L1M3P1</v>
      </c>
      <c r="F417" s="220">
        <f>'SEGUIMIENTO Y EVALUACIÓN'!AW29</f>
        <v>1</v>
      </c>
      <c r="G417" t="str">
        <f t="shared" si="12"/>
        <v>L1M3</v>
      </c>
      <c r="H417" t="str">
        <f t="shared" si="13"/>
        <v>L4</v>
      </c>
      <c r="I417" s="100">
        <f t="shared" si="14"/>
        <v>0.19561403508771927</v>
      </c>
      <c r="J417" t="s">
        <v>800</v>
      </c>
      <c r="K417" s="90">
        <f t="shared" si="15"/>
        <v>0.58684210526315783</v>
      </c>
    </row>
    <row r="418" spans="5:11">
      <c r="E418" t="str">
        <f>'SEGUIMIENTO Y EVALUACIÓN'!AL30</f>
        <v>L1M3P1</v>
      </c>
      <c r="F418" s="220">
        <f>'SEGUIMIENTO Y EVALUACIÓN'!AW30</f>
        <v>0.5</v>
      </c>
      <c r="G418" t="str">
        <f t="shared" si="12"/>
        <v>L1M3</v>
      </c>
      <c r="H418" t="str">
        <f t="shared" si="13"/>
        <v>L4</v>
      </c>
      <c r="I418" s="100">
        <f t="shared" si="14"/>
        <v>0.19999999999999998</v>
      </c>
      <c r="J418" t="s">
        <v>801</v>
      </c>
      <c r="K418" s="90">
        <f t="shared" si="15"/>
        <v>0.6</v>
      </c>
    </row>
    <row r="419" spans="5:11">
      <c r="E419" t="str">
        <f>'SEGUIMIENTO Y EVALUACIÓN'!AL31</f>
        <v>L1M3P1</v>
      </c>
      <c r="F419" s="220">
        <f>'SEGUIMIENTO Y EVALUACIÓN'!AW31</f>
        <v>1</v>
      </c>
      <c r="G419" t="str">
        <f t="shared" si="12"/>
        <v>L1M3</v>
      </c>
      <c r="H419" t="str">
        <f t="shared" si="13"/>
        <v>L4</v>
      </c>
      <c r="I419" s="100">
        <f t="shared" si="14"/>
        <v>0.33333333333333331</v>
      </c>
      <c r="J419" t="s">
        <v>802</v>
      </c>
      <c r="K419" s="90">
        <f t="shared" si="15"/>
        <v>1</v>
      </c>
    </row>
    <row r="420" spans="5:11">
      <c r="E420" t="str">
        <f>'SEGUIMIENTO Y EVALUACIÓN'!AL32</f>
        <v>L1M3P1</v>
      </c>
      <c r="F420" s="220">
        <f>'SEGUIMIENTO Y EVALUACIÓN'!AW32</f>
        <v>1</v>
      </c>
      <c r="G420" t="str">
        <f t="shared" si="12"/>
        <v>L1M3</v>
      </c>
      <c r="H420" t="str">
        <f t="shared" si="13"/>
        <v>L5</v>
      </c>
      <c r="I420" s="100">
        <f t="shared" si="14"/>
        <v>0.32907801418439719</v>
      </c>
      <c r="J420" t="s">
        <v>803</v>
      </c>
      <c r="K420" s="90">
        <f t="shared" si="15"/>
        <v>0.98723404255319158</v>
      </c>
    </row>
    <row r="421" spans="5:11">
      <c r="E421" t="str">
        <f>'SEGUIMIENTO Y EVALUACIÓN'!AL33</f>
        <v>L1M3P2</v>
      </c>
      <c r="F421" s="220">
        <f>'SEGUIMIENTO Y EVALUACIÓN'!AW33</f>
        <v>1</v>
      </c>
      <c r="G421" t="str">
        <f t="shared" si="12"/>
        <v>L1M3</v>
      </c>
      <c r="H421" t="str">
        <f t="shared" si="13"/>
        <v>L5</v>
      </c>
      <c r="I421" s="100">
        <f t="shared" si="14"/>
        <v>0.33333333333333331</v>
      </c>
      <c r="J421" t="s">
        <v>804</v>
      </c>
      <c r="K421" s="90">
        <f t="shared" si="15"/>
        <v>1</v>
      </c>
    </row>
    <row r="422" spans="5:11">
      <c r="E422" t="str">
        <f>'SEGUIMIENTO Y EVALUACIÓN'!AL34</f>
        <v>L1M3P3</v>
      </c>
      <c r="F422" s="220">
        <f>'SEGUIMIENTO Y EVALUACIÓN'!AW34</f>
        <v>0.75</v>
      </c>
      <c r="G422" t="str">
        <f t="shared" si="12"/>
        <v>L1M3</v>
      </c>
      <c r="H422" t="str">
        <f t="shared" ref="H422" si="16">LEFT(J422,2)</f>
        <v>L5</v>
      </c>
      <c r="I422" s="100">
        <f t="shared" si="14"/>
        <v>0.25</v>
      </c>
      <c r="J422" t="s">
        <v>805</v>
      </c>
      <c r="K422" s="90">
        <f t="shared" si="15"/>
        <v>0.75</v>
      </c>
    </row>
    <row r="423" spans="5:11">
      <c r="E423" t="str">
        <f>'SEGUIMIENTO Y EVALUACIÓN'!AL35</f>
        <v>L1M4P1</v>
      </c>
      <c r="F423" s="220">
        <f>'SEGUIMIENTO Y EVALUACIÓN'!AW35</f>
        <v>0</v>
      </c>
      <c r="G423" t="str">
        <f t="shared" si="12"/>
        <v>L1M4</v>
      </c>
    </row>
    <row r="424" spans="5:11">
      <c r="E424" t="str">
        <f>'SEGUIMIENTO Y EVALUACIÓN'!AL36</f>
        <v>L1M4P1</v>
      </c>
      <c r="F424" s="220">
        <f>'SEGUIMIENTO Y EVALUACIÓN'!AW36</f>
        <v>1</v>
      </c>
      <c r="G424" t="str">
        <f t="shared" si="12"/>
        <v>L1M4</v>
      </c>
    </row>
    <row r="425" spans="5:11">
      <c r="E425" t="str">
        <f>'SEGUIMIENTO Y EVALUACIÓN'!AL37</f>
        <v>L1M4P2</v>
      </c>
      <c r="F425" s="220">
        <f>'SEGUIMIENTO Y EVALUACIÓN'!AW37</f>
        <v>1</v>
      </c>
      <c r="G425" t="str">
        <f t="shared" si="12"/>
        <v>L1M4</v>
      </c>
    </row>
    <row r="426" spans="5:11">
      <c r="E426" t="str">
        <f>'SEGUIMIENTO Y EVALUACIÓN'!AL38</f>
        <v>L1M4P3</v>
      </c>
      <c r="F426" s="220">
        <f>'SEGUIMIENTO Y EVALUACIÓN'!AW38</f>
        <v>0</v>
      </c>
      <c r="G426" t="str">
        <f t="shared" si="12"/>
        <v>L1M4</v>
      </c>
    </row>
    <row r="427" spans="5:11">
      <c r="E427" t="str">
        <f>'SEGUIMIENTO Y EVALUACIÓN'!AL39</f>
        <v>L1M4P3</v>
      </c>
      <c r="F427" s="220">
        <f>'SEGUIMIENTO Y EVALUACIÓN'!AW39</f>
        <v>1</v>
      </c>
      <c r="G427" t="str">
        <f t="shared" si="12"/>
        <v>L1M4</v>
      </c>
    </row>
    <row r="428" spans="5:11">
      <c r="E428" t="str">
        <f>'SEGUIMIENTO Y EVALUACIÓN'!AL40</f>
        <v>L1M4P4</v>
      </c>
      <c r="F428" s="220">
        <f>'SEGUIMIENTO Y EVALUACIÓN'!AW40</f>
        <v>9.9999999999999992E-2</v>
      </c>
      <c r="G428" t="str">
        <f t="shared" si="12"/>
        <v>L1M4</v>
      </c>
    </row>
    <row r="429" spans="5:11">
      <c r="E429" t="str">
        <f>'SEGUIMIENTO Y EVALUACIÓN'!AL41</f>
        <v>L1M4P4</v>
      </c>
      <c r="F429" s="220">
        <f>'SEGUIMIENTO Y EVALUACIÓN'!AW41</f>
        <v>0</v>
      </c>
      <c r="G429" t="str">
        <f t="shared" si="12"/>
        <v>L1M4</v>
      </c>
    </row>
    <row r="430" spans="5:11">
      <c r="E430" t="str">
        <f>'SEGUIMIENTO Y EVALUACIÓN'!AL42</f>
        <v>L1M5P1</v>
      </c>
      <c r="F430" s="220">
        <f>'SEGUIMIENTO Y EVALUACIÓN'!AW42</f>
        <v>1</v>
      </c>
      <c r="G430" t="str">
        <f t="shared" si="12"/>
        <v>L1M5</v>
      </c>
    </row>
    <row r="431" spans="5:11">
      <c r="E431" t="str">
        <f>'SEGUIMIENTO Y EVALUACIÓN'!AL43</f>
        <v>L1M5P1</v>
      </c>
      <c r="F431" s="220">
        <f>'SEGUIMIENTO Y EVALUACIÓN'!AW43</f>
        <v>1</v>
      </c>
      <c r="G431" t="str">
        <f t="shared" si="12"/>
        <v>L1M5</v>
      </c>
    </row>
    <row r="432" spans="5:11">
      <c r="E432" t="str">
        <f>'SEGUIMIENTO Y EVALUACIÓN'!AL44</f>
        <v>L1M5P1</v>
      </c>
      <c r="F432" s="220">
        <f>'SEGUIMIENTO Y EVALUACIÓN'!AW44</f>
        <v>0</v>
      </c>
      <c r="G432" t="str">
        <f t="shared" si="12"/>
        <v>L1M5</v>
      </c>
    </row>
    <row r="433" spans="5:7">
      <c r="E433" t="str">
        <f>'SEGUIMIENTO Y EVALUACIÓN'!AL45</f>
        <v>L1M5P1</v>
      </c>
      <c r="F433" s="220">
        <f>'SEGUIMIENTO Y EVALUACIÓN'!AW45</f>
        <v>1</v>
      </c>
      <c r="G433" t="str">
        <f t="shared" si="12"/>
        <v>L1M5</v>
      </c>
    </row>
    <row r="434" spans="5:7">
      <c r="E434" t="str">
        <f>'SEGUIMIENTO Y EVALUACIÓN'!AL46</f>
        <v>L1M5P1</v>
      </c>
      <c r="F434" s="220">
        <f>'SEGUIMIENTO Y EVALUACIÓN'!AW46</f>
        <v>1</v>
      </c>
      <c r="G434" t="str">
        <f t="shared" si="12"/>
        <v>L1M5</v>
      </c>
    </row>
    <row r="435" spans="5:7">
      <c r="E435" t="str">
        <f>'SEGUIMIENTO Y EVALUACIÓN'!AL47</f>
        <v>L1M5P1</v>
      </c>
      <c r="F435" s="220">
        <f>'SEGUIMIENTO Y EVALUACIÓN'!AW47</f>
        <v>1</v>
      </c>
      <c r="G435" t="str">
        <f t="shared" si="12"/>
        <v>L1M5</v>
      </c>
    </row>
    <row r="436" spans="5:7">
      <c r="E436" t="str">
        <f>'SEGUIMIENTO Y EVALUACIÓN'!AL48</f>
        <v>L1M5P2</v>
      </c>
      <c r="F436" s="220">
        <f>'SEGUIMIENTO Y EVALUACIÓN'!AW48</f>
        <v>1</v>
      </c>
      <c r="G436" t="str">
        <f t="shared" si="12"/>
        <v>L1M5</v>
      </c>
    </row>
    <row r="437" spans="5:7">
      <c r="E437" t="str">
        <f>'SEGUIMIENTO Y EVALUACIÓN'!AL49</f>
        <v>L1M5P2</v>
      </c>
      <c r="F437" s="220">
        <f>'SEGUIMIENTO Y EVALUACIÓN'!AW49</f>
        <v>0</v>
      </c>
      <c r="G437" t="str">
        <f t="shared" si="12"/>
        <v>L1M5</v>
      </c>
    </row>
    <row r="438" spans="5:7">
      <c r="E438" t="str">
        <f>'SEGUIMIENTO Y EVALUACIÓN'!AL50</f>
        <v>L1M5P2</v>
      </c>
      <c r="F438" s="220">
        <f>'SEGUIMIENTO Y EVALUACIÓN'!AW50</f>
        <v>0.5</v>
      </c>
      <c r="G438" t="str">
        <f t="shared" si="12"/>
        <v>L1M5</v>
      </c>
    </row>
    <row r="439" spans="5:7">
      <c r="E439" t="str">
        <f>'SEGUIMIENTO Y EVALUACIÓN'!AL51</f>
        <v>L1M5P2</v>
      </c>
      <c r="F439" s="220">
        <f>'SEGUIMIENTO Y EVALUACIÓN'!AW51</f>
        <v>0</v>
      </c>
      <c r="G439" t="str">
        <f t="shared" si="12"/>
        <v>L1M5</v>
      </c>
    </row>
    <row r="440" spans="5:7">
      <c r="E440" t="str">
        <f>'SEGUIMIENTO Y EVALUACIÓN'!AL52</f>
        <v>L1M5P2</v>
      </c>
      <c r="F440" s="220">
        <f>'SEGUIMIENTO Y EVALUACIÓN'!AW52</f>
        <v>0</v>
      </c>
      <c r="G440" t="str">
        <f t="shared" si="12"/>
        <v>L1M5</v>
      </c>
    </row>
    <row r="441" spans="5:7">
      <c r="E441" t="str">
        <f>'SEGUIMIENTO Y EVALUACIÓN'!AL53</f>
        <v>L1M5P2</v>
      </c>
      <c r="F441" s="220">
        <f>'SEGUIMIENTO Y EVALUACIÓN'!AW53</f>
        <v>1</v>
      </c>
      <c r="G441" t="str">
        <f t="shared" si="12"/>
        <v>L1M5</v>
      </c>
    </row>
    <row r="442" spans="5:7">
      <c r="E442" t="str">
        <f>'SEGUIMIENTO Y EVALUACIÓN'!AL54</f>
        <v>L1M5P3</v>
      </c>
      <c r="F442" s="220">
        <f>'SEGUIMIENTO Y EVALUACIÓN'!AW54</f>
        <v>0</v>
      </c>
      <c r="G442" t="str">
        <f t="shared" si="12"/>
        <v>L1M5</v>
      </c>
    </row>
    <row r="443" spans="5:7">
      <c r="E443" t="str">
        <f>'SEGUIMIENTO Y EVALUACIÓN'!AL55</f>
        <v>L1M5P3</v>
      </c>
      <c r="F443" s="220">
        <f>'SEGUIMIENTO Y EVALUACIÓN'!AW55</f>
        <v>0</v>
      </c>
      <c r="G443" t="str">
        <f t="shared" si="12"/>
        <v>L1M5</v>
      </c>
    </row>
    <row r="444" spans="5:7">
      <c r="E444" t="str">
        <f>'SEGUIMIENTO Y EVALUACIÓN'!AL56</f>
        <v>L1M5P3</v>
      </c>
      <c r="F444" s="220">
        <f>'SEGUIMIENTO Y EVALUACIÓN'!AW56</f>
        <v>0.5</v>
      </c>
      <c r="G444" t="str">
        <f t="shared" si="12"/>
        <v>L1M5</v>
      </c>
    </row>
    <row r="445" spans="5:7">
      <c r="E445" t="str">
        <f>'SEGUIMIENTO Y EVALUACIÓN'!AL57</f>
        <v>L1M5P3</v>
      </c>
      <c r="F445" s="220">
        <f>'SEGUIMIENTO Y EVALUACIÓN'!AW57</f>
        <v>0.2</v>
      </c>
      <c r="G445" t="str">
        <f t="shared" si="12"/>
        <v>L1M5</v>
      </c>
    </row>
    <row r="446" spans="5:7">
      <c r="E446" t="str">
        <f>'SEGUIMIENTO Y EVALUACIÓN'!AL58</f>
        <v>L1M5P3</v>
      </c>
      <c r="F446" s="220">
        <f>'SEGUIMIENTO Y EVALUACIÓN'!AW58</f>
        <v>1</v>
      </c>
      <c r="G446" t="str">
        <f t="shared" si="12"/>
        <v>L1M5</v>
      </c>
    </row>
    <row r="447" spans="5:7">
      <c r="E447" t="str">
        <f>'SEGUIMIENTO Y EVALUACIÓN'!AL59</f>
        <v>L1M5P3</v>
      </c>
      <c r="F447" s="220">
        <f>'SEGUIMIENTO Y EVALUACIÓN'!AW59</f>
        <v>1</v>
      </c>
      <c r="G447" t="str">
        <f t="shared" si="12"/>
        <v>L1M5</v>
      </c>
    </row>
    <row r="448" spans="5:7">
      <c r="E448" t="str">
        <f>'SEGUIMIENTO Y EVALUACIÓN'!AL60</f>
        <v>L1M5P3</v>
      </c>
      <c r="F448" s="220">
        <f>'SEGUIMIENTO Y EVALUACIÓN'!AW60</f>
        <v>1</v>
      </c>
      <c r="G448" t="str">
        <f t="shared" si="12"/>
        <v>L1M5</v>
      </c>
    </row>
    <row r="449" spans="5:7">
      <c r="E449" t="str">
        <f>'SEGUIMIENTO Y EVALUACIÓN'!AL61</f>
        <v>L1M5P3</v>
      </c>
      <c r="F449" s="220">
        <f>'SEGUIMIENTO Y EVALUACIÓN'!AW61</f>
        <v>0</v>
      </c>
      <c r="G449" t="str">
        <f t="shared" si="12"/>
        <v>L1M5</v>
      </c>
    </row>
    <row r="450" spans="5:7">
      <c r="E450" t="str">
        <f>'SEGUIMIENTO Y EVALUACIÓN'!AL62</f>
        <v>L1M5P3</v>
      </c>
      <c r="F450" s="220">
        <f>'SEGUIMIENTO Y EVALUACIÓN'!AW62</f>
        <v>1</v>
      </c>
      <c r="G450" t="str">
        <f t="shared" si="12"/>
        <v>L1M5</v>
      </c>
    </row>
    <row r="451" spans="5:7">
      <c r="E451" t="str">
        <f>'SEGUIMIENTO Y EVALUACIÓN'!AL63</f>
        <v>L1M5P3</v>
      </c>
      <c r="F451" s="220">
        <f>'SEGUIMIENTO Y EVALUACIÓN'!AW63</f>
        <v>1</v>
      </c>
      <c r="G451" t="str">
        <f t="shared" si="12"/>
        <v>L1M5</v>
      </c>
    </row>
    <row r="452" spans="5:7">
      <c r="E452" t="str">
        <f>'SEGUIMIENTO Y EVALUACIÓN'!AL64</f>
        <v>L1M5P3</v>
      </c>
      <c r="F452" s="220">
        <f>'SEGUIMIENTO Y EVALUACIÓN'!AW64</f>
        <v>1</v>
      </c>
      <c r="G452" t="str">
        <f t="shared" si="12"/>
        <v>L1M5</v>
      </c>
    </row>
    <row r="453" spans="5:7">
      <c r="E453" t="str">
        <f>'SEGUIMIENTO Y EVALUACIÓN'!AL65</f>
        <v>L1M5P3</v>
      </c>
      <c r="F453" s="220">
        <f>'SEGUIMIENTO Y EVALUACIÓN'!AW65</f>
        <v>0.6333333333333333</v>
      </c>
      <c r="G453" t="str">
        <f t="shared" si="12"/>
        <v>L1M5</v>
      </c>
    </row>
    <row r="454" spans="5:7">
      <c r="E454" t="str">
        <f>'SEGUIMIENTO Y EVALUACIÓN'!AL66</f>
        <v>L1M5P3</v>
      </c>
      <c r="F454" s="220">
        <f>'SEGUIMIENTO Y EVALUACIÓN'!AW66</f>
        <v>1</v>
      </c>
      <c r="G454" t="str">
        <f t="shared" si="12"/>
        <v>L1M5</v>
      </c>
    </row>
    <row r="455" spans="5:7">
      <c r="E455" t="str">
        <f>'SEGUIMIENTO Y EVALUACIÓN'!AL67</f>
        <v>L1M5P4</v>
      </c>
      <c r="F455" s="220">
        <f>'SEGUIMIENTO Y EVALUACIÓN'!AW67</f>
        <v>0</v>
      </c>
      <c r="G455" t="str">
        <f t="shared" si="12"/>
        <v>L1M5</v>
      </c>
    </row>
    <row r="456" spans="5:7">
      <c r="E456" t="str">
        <f>'SEGUIMIENTO Y EVALUACIÓN'!AL68</f>
        <v>L1M5P4</v>
      </c>
      <c r="F456" s="220">
        <f>'SEGUIMIENTO Y EVALUACIÓN'!AW68</f>
        <v>0</v>
      </c>
      <c r="G456" t="str">
        <f t="shared" si="12"/>
        <v>L1M5</v>
      </c>
    </row>
    <row r="457" spans="5:7">
      <c r="E457" t="str">
        <f>'SEGUIMIENTO Y EVALUACIÓN'!AL69</f>
        <v>L1M5P4</v>
      </c>
      <c r="F457" s="220">
        <f>'SEGUIMIENTO Y EVALUACIÓN'!AW69</f>
        <v>0</v>
      </c>
      <c r="G457" t="str">
        <f t="shared" si="12"/>
        <v>L1M5</v>
      </c>
    </row>
    <row r="458" spans="5:7">
      <c r="E458" t="str">
        <f>'SEGUIMIENTO Y EVALUACIÓN'!AL70</f>
        <v>L1M5P4</v>
      </c>
      <c r="F458" s="220">
        <f>'SEGUIMIENTO Y EVALUACIÓN'!AW70</f>
        <v>1</v>
      </c>
      <c r="G458" t="str">
        <f t="shared" si="12"/>
        <v>L1M5</v>
      </c>
    </row>
    <row r="459" spans="5:7">
      <c r="E459" t="str">
        <f>'SEGUIMIENTO Y EVALUACIÓN'!AL71</f>
        <v>L1M5P4</v>
      </c>
      <c r="F459" s="220">
        <f>'SEGUIMIENTO Y EVALUACIÓN'!AW71</f>
        <v>0</v>
      </c>
      <c r="G459" t="str">
        <f t="shared" si="12"/>
        <v>L1M5</v>
      </c>
    </row>
    <row r="460" spans="5:7">
      <c r="E460" t="str">
        <f>'SEGUIMIENTO Y EVALUACIÓN'!AL72</f>
        <v>L1M5P4</v>
      </c>
      <c r="F460" s="220">
        <f>'SEGUIMIENTO Y EVALUACIÓN'!AW72</f>
        <v>1</v>
      </c>
      <c r="G460" t="str">
        <f t="shared" si="12"/>
        <v>L1M5</v>
      </c>
    </row>
    <row r="461" spans="5:7">
      <c r="E461" t="str">
        <f>'SEGUIMIENTO Y EVALUACIÓN'!AL73</f>
        <v>L1M5P4</v>
      </c>
      <c r="F461" s="220">
        <f>'SEGUIMIENTO Y EVALUACIÓN'!AW73</f>
        <v>0</v>
      </c>
      <c r="G461" t="str">
        <f t="shared" si="12"/>
        <v>L1M5</v>
      </c>
    </row>
    <row r="462" spans="5:7">
      <c r="E462" t="str">
        <f>'SEGUIMIENTO Y EVALUACIÓN'!AL74</f>
        <v>L2M1P1</v>
      </c>
      <c r="F462" s="220">
        <f>'SEGUIMIENTO Y EVALUACIÓN'!AW74</f>
        <v>1</v>
      </c>
      <c r="G462" t="str">
        <f t="shared" si="12"/>
        <v>L2M1</v>
      </c>
    </row>
    <row r="463" spans="5:7">
      <c r="E463" t="str">
        <f>'SEGUIMIENTO Y EVALUACIÓN'!AL75</f>
        <v>L2M1P1</v>
      </c>
      <c r="F463" s="220">
        <f>'SEGUIMIENTO Y EVALUACIÓN'!AW75</f>
        <v>1</v>
      </c>
      <c r="G463" t="str">
        <f t="shared" si="12"/>
        <v>L2M1</v>
      </c>
    </row>
    <row r="464" spans="5:7">
      <c r="E464" t="str">
        <f>'SEGUIMIENTO Y EVALUACIÓN'!AL76</f>
        <v>L2M1P1</v>
      </c>
      <c r="F464" s="220">
        <f>'SEGUIMIENTO Y EVALUACIÓN'!AW76</f>
        <v>1</v>
      </c>
      <c r="G464" t="str">
        <f t="shared" si="12"/>
        <v>L2M1</v>
      </c>
    </row>
    <row r="465" spans="5:7">
      <c r="E465" t="str">
        <f>'SEGUIMIENTO Y EVALUACIÓN'!AL77</f>
        <v>L2M1P2</v>
      </c>
      <c r="F465" s="220">
        <f>'SEGUIMIENTO Y EVALUACIÓN'!AW77</f>
        <v>0.33333333333333331</v>
      </c>
      <c r="G465" t="str">
        <f t="shared" ref="G465:G528" si="17">LEFT(E465,4)</f>
        <v>L2M1</v>
      </c>
    </row>
    <row r="466" spans="5:7">
      <c r="E466" t="str">
        <f>'SEGUIMIENTO Y EVALUACIÓN'!AL78</f>
        <v>L2M1P2</v>
      </c>
      <c r="F466" s="220">
        <f>'SEGUIMIENTO Y EVALUACIÓN'!AW78</f>
        <v>1</v>
      </c>
      <c r="G466" t="str">
        <f t="shared" si="17"/>
        <v>L2M1</v>
      </c>
    </row>
    <row r="467" spans="5:7">
      <c r="E467" t="str">
        <f>'SEGUIMIENTO Y EVALUACIÓN'!AL79</f>
        <v>L2M2P1</v>
      </c>
      <c r="F467" s="220">
        <f>'SEGUIMIENTO Y EVALUACIÓN'!AW79</f>
        <v>0.84</v>
      </c>
      <c r="G467" t="str">
        <f t="shared" si="17"/>
        <v>L2M2</v>
      </c>
    </row>
    <row r="468" spans="5:7">
      <c r="E468" t="str">
        <f>'SEGUIMIENTO Y EVALUACIÓN'!AL80</f>
        <v>L2M2P1</v>
      </c>
      <c r="F468" s="220">
        <f>'SEGUIMIENTO Y EVALUACIÓN'!AW80</f>
        <v>1</v>
      </c>
      <c r="G468" t="str">
        <f t="shared" si="17"/>
        <v>L2M2</v>
      </c>
    </row>
    <row r="469" spans="5:7">
      <c r="E469" t="str">
        <f>'SEGUIMIENTO Y EVALUACIÓN'!AL81</f>
        <v>L2M2P1</v>
      </c>
      <c r="F469" s="220">
        <f>'SEGUIMIENTO Y EVALUACIÓN'!AW81</f>
        <v>1</v>
      </c>
      <c r="G469" t="str">
        <f t="shared" si="17"/>
        <v>L2M2</v>
      </c>
    </row>
    <row r="470" spans="5:7">
      <c r="E470" t="str">
        <f>'SEGUIMIENTO Y EVALUACIÓN'!AL82</f>
        <v>L2M2P1</v>
      </c>
      <c r="F470" s="220">
        <f>'SEGUIMIENTO Y EVALUACIÓN'!AW82</f>
        <v>0.5</v>
      </c>
      <c r="G470" t="str">
        <f t="shared" si="17"/>
        <v>L2M2</v>
      </c>
    </row>
    <row r="471" spans="5:7">
      <c r="E471" t="str">
        <f>'SEGUIMIENTO Y EVALUACIÓN'!AL83</f>
        <v>L2M2P1</v>
      </c>
      <c r="F471" s="220">
        <f>'SEGUIMIENTO Y EVALUACIÓN'!AW83</f>
        <v>1</v>
      </c>
      <c r="G471" t="str">
        <f t="shared" si="17"/>
        <v>L2M2</v>
      </c>
    </row>
    <row r="472" spans="5:7">
      <c r="E472" t="str">
        <f>'SEGUIMIENTO Y EVALUACIÓN'!AL84</f>
        <v>L2M2P1</v>
      </c>
      <c r="F472" s="220">
        <f>'SEGUIMIENTO Y EVALUACIÓN'!AW84</f>
        <v>1</v>
      </c>
      <c r="G472" t="str">
        <f t="shared" si="17"/>
        <v>L2M2</v>
      </c>
    </row>
    <row r="473" spans="5:7">
      <c r="E473" t="str">
        <f>'SEGUIMIENTO Y EVALUACIÓN'!AL85</f>
        <v>L2M2P1</v>
      </c>
      <c r="F473" s="220">
        <f>'SEGUIMIENTO Y EVALUACIÓN'!AW85</f>
        <v>1</v>
      </c>
      <c r="G473" t="str">
        <f t="shared" si="17"/>
        <v>L2M2</v>
      </c>
    </row>
    <row r="474" spans="5:7">
      <c r="E474" t="str">
        <f>'SEGUIMIENTO Y EVALUACIÓN'!AL86</f>
        <v>L2M2P1</v>
      </c>
      <c r="F474" s="220">
        <f>'SEGUIMIENTO Y EVALUACIÓN'!AW86</f>
        <v>0.85000000000000009</v>
      </c>
      <c r="G474" t="str">
        <f t="shared" si="17"/>
        <v>L2M2</v>
      </c>
    </row>
    <row r="475" spans="5:7">
      <c r="E475" t="str">
        <f>'SEGUIMIENTO Y EVALUACIÓN'!AL87</f>
        <v>L2M2P1</v>
      </c>
      <c r="F475" s="220">
        <f>'SEGUIMIENTO Y EVALUACIÓN'!AW87</f>
        <v>1</v>
      </c>
      <c r="G475" t="str">
        <f t="shared" si="17"/>
        <v>L2M2</v>
      </c>
    </row>
    <row r="476" spans="5:7">
      <c r="E476" t="str">
        <f>'SEGUIMIENTO Y EVALUACIÓN'!AL88</f>
        <v>L2M2P2</v>
      </c>
      <c r="F476" s="220">
        <f>'SEGUIMIENTO Y EVALUACIÓN'!AW88</f>
        <v>1</v>
      </c>
      <c r="G476" t="str">
        <f t="shared" si="17"/>
        <v>L2M2</v>
      </c>
    </row>
    <row r="477" spans="5:7">
      <c r="E477" t="str">
        <f>'SEGUIMIENTO Y EVALUACIÓN'!AL89</f>
        <v>L2M2P2</v>
      </c>
      <c r="F477" s="220">
        <f>'SEGUIMIENTO Y EVALUACIÓN'!AW89</f>
        <v>1</v>
      </c>
      <c r="G477" t="str">
        <f t="shared" si="17"/>
        <v>L2M2</v>
      </c>
    </row>
    <row r="478" spans="5:7">
      <c r="E478" t="str">
        <f>'SEGUIMIENTO Y EVALUACIÓN'!AL90</f>
        <v>L2M2P3</v>
      </c>
      <c r="F478" s="220">
        <f>'SEGUIMIENTO Y EVALUACIÓN'!AW90</f>
        <v>1</v>
      </c>
      <c r="G478" t="str">
        <f t="shared" si="17"/>
        <v>L2M2</v>
      </c>
    </row>
    <row r="479" spans="5:7">
      <c r="E479" t="str">
        <f>'SEGUIMIENTO Y EVALUACIÓN'!AL91</f>
        <v>L2M2P3</v>
      </c>
      <c r="F479" s="220">
        <f>'SEGUIMIENTO Y EVALUACIÓN'!AW91</f>
        <v>1</v>
      </c>
      <c r="G479" t="str">
        <f t="shared" si="17"/>
        <v>L2M2</v>
      </c>
    </row>
    <row r="480" spans="5:7">
      <c r="E480" t="str">
        <f>'SEGUIMIENTO Y EVALUACIÓN'!AL92</f>
        <v>L2M2P3</v>
      </c>
      <c r="F480" s="220">
        <f>'SEGUIMIENTO Y EVALUACIÓN'!AW92</f>
        <v>1</v>
      </c>
      <c r="G480" t="str">
        <f t="shared" si="17"/>
        <v>L2M2</v>
      </c>
    </row>
    <row r="481" spans="5:7">
      <c r="E481" t="str">
        <f>'SEGUIMIENTO Y EVALUACIÓN'!AL93</f>
        <v>L2M3P1</v>
      </c>
      <c r="F481" s="220">
        <f>'SEGUIMIENTO Y EVALUACIÓN'!AW93</f>
        <v>1</v>
      </c>
      <c r="G481" t="str">
        <f t="shared" si="17"/>
        <v>L2M3</v>
      </c>
    </row>
    <row r="482" spans="5:7">
      <c r="E482" t="str">
        <f>'SEGUIMIENTO Y EVALUACIÓN'!AL94</f>
        <v>L2M3P2</v>
      </c>
      <c r="F482" s="220">
        <f>'SEGUIMIENTO Y EVALUACIÓN'!AW94</f>
        <v>1</v>
      </c>
      <c r="G482" t="str">
        <f t="shared" si="17"/>
        <v>L2M3</v>
      </c>
    </row>
    <row r="483" spans="5:7">
      <c r="E483" t="str">
        <f>'SEGUIMIENTO Y EVALUACIÓN'!AL95</f>
        <v>L2M3P2</v>
      </c>
      <c r="F483" s="220">
        <f>'SEGUIMIENTO Y EVALUACIÓN'!AW95</f>
        <v>1</v>
      </c>
      <c r="G483" t="str">
        <f t="shared" si="17"/>
        <v>L2M3</v>
      </c>
    </row>
    <row r="484" spans="5:7">
      <c r="E484" t="str">
        <f>'SEGUIMIENTO Y EVALUACIÓN'!AL96</f>
        <v>L2M3P2</v>
      </c>
      <c r="F484" s="220">
        <f>'SEGUIMIENTO Y EVALUACIÓN'!AW96</f>
        <v>1</v>
      </c>
      <c r="G484" t="str">
        <f t="shared" si="17"/>
        <v>L2M3</v>
      </c>
    </row>
    <row r="485" spans="5:7">
      <c r="E485" t="str">
        <f>'SEGUIMIENTO Y EVALUACIÓN'!AL97</f>
        <v>L2M3P2</v>
      </c>
      <c r="F485" s="220">
        <f>'SEGUIMIENTO Y EVALUACIÓN'!AW97</f>
        <v>0</v>
      </c>
      <c r="G485" t="str">
        <f t="shared" si="17"/>
        <v>L2M3</v>
      </c>
    </row>
    <row r="486" spans="5:7">
      <c r="E486" t="str">
        <f>'SEGUIMIENTO Y EVALUACIÓN'!AL98</f>
        <v>L3M1P1</v>
      </c>
      <c r="F486" s="220">
        <f>'SEGUIMIENTO Y EVALUACIÓN'!AW98</f>
        <v>0</v>
      </c>
      <c r="G486" t="str">
        <f t="shared" si="17"/>
        <v>L3M1</v>
      </c>
    </row>
    <row r="487" spans="5:7">
      <c r="E487" t="str">
        <f>'SEGUIMIENTO Y EVALUACIÓN'!AL99</f>
        <v>L3M1P1</v>
      </c>
      <c r="F487" s="220">
        <f>'SEGUIMIENTO Y EVALUACIÓN'!AW99</f>
        <v>1</v>
      </c>
      <c r="G487" t="str">
        <f t="shared" si="17"/>
        <v>L3M1</v>
      </c>
    </row>
    <row r="488" spans="5:7">
      <c r="E488" t="str">
        <f>'SEGUIMIENTO Y EVALUACIÓN'!AL100</f>
        <v>L3M1P1</v>
      </c>
      <c r="F488" s="220">
        <f>'SEGUIMIENTO Y EVALUACIÓN'!AW100</f>
        <v>1</v>
      </c>
      <c r="G488" t="str">
        <f t="shared" si="17"/>
        <v>L3M1</v>
      </c>
    </row>
    <row r="489" spans="5:7">
      <c r="E489" t="str">
        <f>'SEGUIMIENTO Y EVALUACIÓN'!AL101</f>
        <v>L3M1P1</v>
      </c>
      <c r="F489" s="220">
        <f>'SEGUIMIENTO Y EVALUACIÓN'!AW101</f>
        <v>1</v>
      </c>
      <c r="G489" t="str">
        <f t="shared" si="17"/>
        <v>L3M1</v>
      </c>
    </row>
    <row r="490" spans="5:7">
      <c r="E490" t="str">
        <f>'SEGUIMIENTO Y EVALUACIÓN'!AL102</f>
        <v>L3M1P1</v>
      </c>
      <c r="F490" s="220">
        <f>'SEGUIMIENTO Y EVALUACIÓN'!AW102</f>
        <v>1</v>
      </c>
      <c r="G490" t="str">
        <f t="shared" si="17"/>
        <v>L3M1</v>
      </c>
    </row>
    <row r="491" spans="5:7">
      <c r="E491" t="str">
        <f>'SEGUIMIENTO Y EVALUACIÓN'!AL103</f>
        <v>L3M1P1</v>
      </c>
      <c r="F491" s="220">
        <f>'SEGUIMIENTO Y EVALUACIÓN'!AW103</f>
        <v>1</v>
      </c>
      <c r="G491" t="str">
        <f t="shared" si="17"/>
        <v>L3M1</v>
      </c>
    </row>
    <row r="492" spans="5:7">
      <c r="E492" t="str">
        <f>'SEGUIMIENTO Y EVALUACIÓN'!AL104</f>
        <v>L3M1P1</v>
      </c>
      <c r="F492" s="220">
        <f>'SEGUIMIENTO Y EVALUACIÓN'!AW104</f>
        <v>1</v>
      </c>
      <c r="G492" t="str">
        <f t="shared" si="17"/>
        <v>L3M1</v>
      </c>
    </row>
    <row r="493" spans="5:7">
      <c r="E493" t="str">
        <f>'SEGUIMIENTO Y EVALUACIÓN'!AL105</f>
        <v>L3M1P1</v>
      </c>
      <c r="F493" s="220">
        <f>'SEGUIMIENTO Y EVALUACIÓN'!AW105</f>
        <v>1</v>
      </c>
      <c r="G493" t="str">
        <f t="shared" si="17"/>
        <v>L3M1</v>
      </c>
    </row>
    <row r="494" spans="5:7">
      <c r="E494" t="str">
        <f>'SEGUIMIENTO Y EVALUACIÓN'!AL106</f>
        <v>L3M2P1</v>
      </c>
      <c r="F494" s="220">
        <f>'SEGUIMIENTO Y EVALUACIÓN'!AW106</f>
        <v>1</v>
      </c>
      <c r="G494" t="str">
        <f t="shared" si="17"/>
        <v>L3M2</v>
      </c>
    </row>
    <row r="495" spans="5:7">
      <c r="E495" t="str">
        <f>'SEGUIMIENTO Y EVALUACIÓN'!AL107</f>
        <v>L3M2P1</v>
      </c>
      <c r="F495" s="220">
        <f>'SEGUIMIENTO Y EVALUACIÓN'!AW107</f>
        <v>1</v>
      </c>
      <c r="G495" t="str">
        <f t="shared" si="17"/>
        <v>L3M2</v>
      </c>
    </row>
    <row r="496" spans="5:7">
      <c r="E496" t="str">
        <f>'SEGUIMIENTO Y EVALUACIÓN'!AL108</f>
        <v>L3M2P2</v>
      </c>
      <c r="F496" s="220">
        <f>'SEGUIMIENTO Y EVALUACIÓN'!AW108</f>
        <v>1</v>
      </c>
      <c r="G496" t="str">
        <f t="shared" si="17"/>
        <v>L3M2</v>
      </c>
    </row>
    <row r="497" spans="5:7">
      <c r="E497" t="str">
        <f>'SEGUIMIENTO Y EVALUACIÓN'!AL109</f>
        <v>L3M2P2</v>
      </c>
      <c r="F497" s="220">
        <f>'SEGUIMIENTO Y EVALUACIÓN'!AW109</f>
        <v>1</v>
      </c>
      <c r="G497" t="str">
        <f t="shared" si="17"/>
        <v>L3M2</v>
      </c>
    </row>
    <row r="498" spans="5:7">
      <c r="E498" t="str">
        <f>'SEGUIMIENTO Y EVALUACIÓN'!AL110</f>
        <v>L3M2P2</v>
      </c>
      <c r="F498" s="220">
        <f>'SEGUIMIENTO Y EVALUACIÓN'!AW110</f>
        <v>1</v>
      </c>
      <c r="G498" t="str">
        <f t="shared" si="17"/>
        <v>L3M2</v>
      </c>
    </row>
    <row r="499" spans="5:7">
      <c r="E499" t="str">
        <f>'SEGUIMIENTO Y EVALUACIÓN'!AL111</f>
        <v>L3M2P2</v>
      </c>
      <c r="F499" s="220">
        <f>'SEGUIMIENTO Y EVALUACIÓN'!AW111</f>
        <v>0</v>
      </c>
      <c r="G499" t="str">
        <f t="shared" si="17"/>
        <v>L3M2</v>
      </c>
    </row>
    <row r="500" spans="5:7">
      <c r="E500" t="str">
        <f>'SEGUIMIENTO Y EVALUACIÓN'!AL112</f>
        <v>L3M2P2</v>
      </c>
      <c r="F500" s="220">
        <f>'SEGUIMIENTO Y EVALUACIÓN'!AW112</f>
        <v>1</v>
      </c>
      <c r="G500" t="str">
        <f t="shared" si="17"/>
        <v>L3M2</v>
      </c>
    </row>
    <row r="501" spans="5:7">
      <c r="E501" t="str">
        <f>'SEGUIMIENTO Y EVALUACIÓN'!AL113</f>
        <v>L3M2P2</v>
      </c>
      <c r="F501" s="220">
        <f>'SEGUIMIENTO Y EVALUACIÓN'!AW113</f>
        <v>1</v>
      </c>
      <c r="G501" t="str">
        <f t="shared" si="17"/>
        <v>L3M2</v>
      </c>
    </row>
    <row r="502" spans="5:7">
      <c r="E502" t="str">
        <f>'SEGUIMIENTO Y EVALUACIÓN'!AL114</f>
        <v>L3M2P3</v>
      </c>
      <c r="F502" s="220">
        <f>'SEGUIMIENTO Y EVALUACIÓN'!AW114</f>
        <v>1</v>
      </c>
      <c r="G502" t="str">
        <f t="shared" si="17"/>
        <v>L3M2</v>
      </c>
    </row>
    <row r="503" spans="5:7">
      <c r="E503" t="str">
        <f>'SEGUIMIENTO Y EVALUACIÓN'!AL115</f>
        <v>L3M2P3</v>
      </c>
      <c r="F503" s="220">
        <f>'SEGUIMIENTO Y EVALUACIÓN'!AW115</f>
        <v>1</v>
      </c>
      <c r="G503" t="str">
        <f t="shared" si="17"/>
        <v>L3M2</v>
      </c>
    </row>
    <row r="504" spans="5:7">
      <c r="E504" t="str">
        <f>'SEGUIMIENTO Y EVALUACIÓN'!AL116</f>
        <v>L3M2P4</v>
      </c>
      <c r="F504" s="220">
        <f>'SEGUIMIENTO Y EVALUACIÓN'!AW116</f>
        <v>0</v>
      </c>
      <c r="G504" t="str">
        <f t="shared" si="17"/>
        <v>L3M2</v>
      </c>
    </row>
    <row r="505" spans="5:7">
      <c r="E505" t="str">
        <f>'SEGUIMIENTO Y EVALUACIÓN'!AL117</f>
        <v>L3M3P1</v>
      </c>
      <c r="F505" s="220">
        <f>'SEGUIMIENTO Y EVALUACIÓN'!AW117</f>
        <v>1</v>
      </c>
      <c r="G505" t="str">
        <f t="shared" si="17"/>
        <v>L3M3</v>
      </c>
    </row>
    <row r="506" spans="5:7">
      <c r="E506" t="str">
        <f>'SEGUIMIENTO Y EVALUACIÓN'!AL118</f>
        <v>L3M3P1</v>
      </c>
      <c r="F506" s="220">
        <f>'SEGUIMIENTO Y EVALUACIÓN'!AW118</f>
        <v>1</v>
      </c>
      <c r="G506" t="str">
        <f t="shared" si="17"/>
        <v>L3M3</v>
      </c>
    </row>
    <row r="507" spans="5:7">
      <c r="E507" t="str">
        <f>'SEGUIMIENTO Y EVALUACIÓN'!AL119</f>
        <v>L3M3P1</v>
      </c>
      <c r="F507" s="220">
        <f>'SEGUIMIENTO Y EVALUACIÓN'!AW119</f>
        <v>1</v>
      </c>
      <c r="G507" t="str">
        <f t="shared" si="17"/>
        <v>L3M3</v>
      </c>
    </row>
    <row r="508" spans="5:7">
      <c r="E508" t="str">
        <f>'SEGUIMIENTO Y EVALUACIÓN'!AL120</f>
        <v>L3M3P2</v>
      </c>
      <c r="F508" s="220">
        <f>'SEGUIMIENTO Y EVALUACIÓN'!AW120</f>
        <v>1</v>
      </c>
      <c r="G508" t="str">
        <f t="shared" si="17"/>
        <v>L3M3</v>
      </c>
    </row>
    <row r="509" spans="5:7">
      <c r="E509" t="str">
        <f>'SEGUIMIENTO Y EVALUACIÓN'!AL121</f>
        <v>L3M3P3</v>
      </c>
      <c r="F509" s="220">
        <f>'SEGUIMIENTO Y EVALUACIÓN'!AW121</f>
        <v>1</v>
      </c>
      <c r="G509" t="str">
        <f t="shared" si="17"/>
        <v>L3M3</v>
      </c>
    </row>
    <row r="510" spans="5:7">
      <c r="E510" t="str">
        <f>'SEGUIMIENTO Y EVALUACIÓN'!AL122</f>
        <v>L3M3P3</v>
      </c>
      <c r="F510" s="220">
        <f>'SEGUIMIENTO Y EVALUACIÓN'!AW122</f>
        <v>1</v>
      </c>
      <c r="G510" t="str">
        <f t="shared" si="17"/>
        <v>L3M3</v>
      </c>
    </row>
    <row r="511" spans="5:7">
      <c r="E511" t="str">
        <f>'SEGUIMIENTO Y EVALUACIÓN'!AL123</f>
        <v>L3M3P3</v>
      </c>
      <c r="F511" s="220">
        <f>'SEGUIMIENTO Y EVALUACIÓN'!AW123</f>
        <v>1</v>
      </c>
      <c r="G511" t="str">
        <f t="shared" si="17"/>
        <v>L3M3</v>
      </c>
    </row>
    <row r="512" spans="5:7">
      <c r="E512" t="str">
        <f>'SEGUIMIENTO Y EVALUACIÓN'!AL124</f>
        <v>L3M4P1</v>
      </c>
      <c r="F512" s="220">
        <f>'SEGUIMIENTO Y EVALUACIÓN'!AW124</f>
        <v>0</v>
      </c>
      <c r="G512" t="str">
        <f t="shared" si="17"/>
        <v>L3M4</v>
      </c>
    </row>
    <row r="513" spans="5:7">
      <c r="E513" t="str">
        <f>'SEGUIMIENTO Y EVALUACIÓN'!AL125</f>
        <v>L3M4P1</v>
      </c>
      <c r="F513" s="220">
        <f>'SEGUIMIENTO Y EVALUACIÓN'!AW125</f>
        <v>1</v>
      </c>
      <c r="G513" t="str">
        <f t="shared" si="17"/>
        <v>L3M4</v>
      </c>
    </row>
    <row r="514" spans="5:7">
      <c r="E514" t="str">
        <f>'SEGUIMIENTO Y EVALUACIÓN'!AL126</f>
        <v>L3M4P2</v>
      </c>
      <c r="F514" s="220">
        <f>'SEGUIMIENTO Y EVALUACIÓN'!AW126</f>
        <v>1</v>
      </c>
      <c r="G514" t="str">
        <f t="shared" si="17"/>
        <v>L3M4</v>
      </c>
    </row>
    <row r="515" spans="5:7">
      <c r="E515" t="str">
        <f>'SEGUIMIENTO Y EVALUACIÓN'!AL127</f>
        <v>L3M4P2</v>
      </c>
      <c r="F515" s="220">
        <f>'SEGUIMIENTO Y EVALUACIÓN'!AW127</f>
        <v>1</v>
      </c>
      <c r="G515" t="str">
        <f t="shared" si="17"/>
        <v>L3M4</v>
      </c>
    </row>
    <row r="516" spans="5:7">
      <c r="E516" t="str">
        <f>'SEGUIMIENTO Y EVALUACIÓN'!AL128</f>
        <v>L3M4P2</v>
      </c>
      <c r="F516" s="220">
        <f>'SEGUIMIENTO Y EVALUACIÓN'!AW128</f>
        <v>0</v>
      </c>
      <c r="G516" t="str">
        <f t="shared" si="17"/>
        <v>L3M4</v>
      </c>
    </row>
    <row r="517" spans="5:7">
      <c r="E517" t="str">
        <f>'SEGUIMIENTO Y EVALUACIÓN'!AL129</f>
        <v>L4M1P1</v>
      </c>
      <c r="F517" s="220">
        <f>'SEGUIMIENTO Y EVALUACIÓN'!AW129</f>
        <v>1</v>
      </c>
      <c r="G517" t="str">
        <f t="shared" si="17"/>
        <v>L4M1</v>
      </c>
    </row>
    <row r="518" spans="5:7">
      <c r="E518" t="str">
        <f>'SEGUIMIENTO Y EVALUACIÓN'!AL130</f>
        <v>L4M1P1</v>
      </c>
      <c r="F518" s="220">
        <f>'SEGUIMIENTO Y EVALUACIÓN'!AW130</f>
        <v>0.94736842105263153</v>
      </c>
      <c r="G518" t="str">
        <f t="shared" si="17"/>
        <v>L4M1</v>
      </c>
    </row>
    <row r="519" spans="5:7">
      <c r="E519" t="str">
        <f>'SEGUIMIENTO Y EVALUACIÓN'!AL131</f>
        <v>L4M1P1</v>
      </c>
      <c r="F519" s="220">
        <f>'SEGUIMIENTO Y EVALUACIÓN'!AW131</f>
        <v>0</v>
      </c>
      <c r="G519" t="str">
        <f t="shared" si="17"/>
        <v>L4M1</v>
      </c>
    </row>
    <row r="520" spans="5:7">
      <c r="E520" t="str">
        <f>'SEGUIMIENTO Y EVALUACIÓN'!AL132</f>
        <v>L4M1P2</v>
      </c>
      <c r="F520" s="220">
        <f>'SEGUIMIENTO Y EVALUACIÓN'!AW132</f>
        <v>0.4</v>
      </c>
      <c r="G520" t="str">
        <f t="shared" si="17"/>
        <v>L4M1</v>
      </c>
    </row>
    <row r="521" spans="5:7">
      <c r="E521" t="str">
        <f>'SEGUIMIENTO Y EVALUACIÓN'!AL133</f>
        <v>L4M2P1</v>
      </c>
      <c r="F521" s="220">
        <f>'SEGUIMIENTO Y EVALUACIÓN'!AW133</f>
        <v>0</v>
      </c>
      <c r="G521" t="str">
        <f t="shared" si="17"/>
        <v>L4M2</v>
      </c>
    </row>
    <row r="522" spans="5:7">
      <c r="E522" t="str">
        <f>'SEGUIMIENTO Y EVALUACIÓN'!AL134</f>
        <v>L4M2P1</v>
      </c>
      <c r="F522" s="220">
        <f>'SEGUIMIENTO Y EVALUACIÓN'!AW134</f>
        <v>1</v>
      </c>
      <c r="G522" t="str">
        <f t="shared" si="17"/>
        <v>L4M2</v>
      </c>
    </row>
    <row r="523" spans="5:7">
      <c r="E523" t="str">
        <f>'SEGUIMIENTO Y EVALUACIÓN'!AL135</f>
        <v>L4M2P1</v>
      </c>
      <c r="F523" s="220">
        <f>'SEGUIMIENTO Y EVALUACIÓN'!AW135</f>
        <v>0</v>
      </c>
      <c r="G523" t="str">
        <f t="shared" si="17"/>
        <v>L4M2</v>
      </c>
    </row>
    <row r="524" spans="5:7">
      <c r="E524" t="str">
        <f>'SEGUIMIENTO Y EVALUACIÓN'!AL136</f>
        <v>L4M2P1</v>
      </c>
      <c r="F524" s="220">
        <f>'SEGUIMIENTO Y EVALUACIÓN'!AW136</f>
        <v>1</v>
      </c>
      <c r="G524" t="str">
        <f t="shared" si="17"/>
        <v>L4M2</v>
      </c>
    </row>
    <row r="525" spans="5:7">
      <c r="E525" t="str">
        <f>'SEGUIMIENTO Y EVALUACIÓN'!AL137</f>
        <v>L4M2P1</v>
      </c>
      <c r="F525" s="220">
        <f>'SEGUIMIENTO Y EVALUACIÓN'!AW137</f>
        <v>1</v>
      </c>
      <c r="G525" t="str">
        <f t="shared" si="17"/>
        <v>L4M2</v>
      </c>
    </row>
    <row r="526" spans="5:7">
      <c r="E526" t="str">
        <f>'SEGUIMIENTO Y EVALUACIÓN'!AL138</f>
        <v>L4M3P1</v>
      </c>
      <c r="F526" s="220">
        <f>'SEGUIMIENTO Y EVALUACIÓN'!AW138</f>
        <v>1</v>
      </c>
      <c r="G526" t="str">
        <f t="shared" si="17"/>
        <v>L4M3</v>
      </c>
    </row>
    <row r="527" spans="5:7">
      <c r="E527" t="str">
        <f>'SEGUIMIENTO Y EVALUACIÓN'!AL139</f>
        <v>L5M1P1</v>
      </c>
      <c r="F527" s="220">
        <f>'SEGUIMIENTO Y EVALUACIÓN'!AW139</f>
        <v>1</v>
      </c>
      <c r="G527" t="str">
        <f t="shared" si="17"/>
        <v>L5M1</v>
      </c>
    </row>
    <row r="528" spans="5:7">
      <c r="E528" t="str">
        <f>'SEGUIMIENTO Y EVALUACIÓN'!AL140</f>
        <v>L5M1P1</v>
      </c>
      <c r="F528" s="220">
        <f>'SEGUIMIENTO Y EVALUACIÓN'!AW140</f>
        <v>1</v>
      </c>
      <c r="G528" t="str">
        <f t="shared" si="17"/>
        <v>L5M1</v>
      </c>
    </row>
    <row r="529" spans="5:7">
      <c r="E529" t="str">
        <f>'SEGUIMIENTO Y EVALUACIÓN'!AL141</f>
        <v>L5M1P2</v>
      </c>
      <c r="F529" s="220">
        <f>'SEGUIMIENTO Y EVALUACIÓN'!AW141</f>
        <v>1</v>
      </c>
      <c r="G529" t="str">
        <f t="shared" ref="G529:G592" si="18">LEFT(E529,4)</f>
        <v>L5M1</v>
      </c>
    </row>
    <row r="530" spans="5:7">
      <c r="E530" t="str">
        <f>'SEGUIMIENTO Y EVALUACIÓN'!AL142</f>
        <v>L5M1P2</v>
      </c>
      <c r="F530" s="220">
        <f>'SEGUIMIENTO Y EVALUACIÓN'!AW142</f>
        <v>1</v>
      </c>
      <c r="G530" t="str">
        <f t="shared" si="18"/>
        <v>L5M1</v>
      </c>
    </row>
    <row r="531" spans="5:7">
      <c r="E531" t="str">
        <f>'SEGUIMIENTO Y EVALUACIÓN'!AL143</f>
        <v>L5M1P2</v>
      </c>
      <c r="F531" s="220">
        <f>'SEGUIMIENTO Y EVALUACIÓN'!AW143</f>
        <v>1</v>
      </c>
      <c r="G531" t="str">
        <f t="shared" si="18"/>
        <v>L5M1</v>
      </c>
    </row>
    <row r="532" spans="5:7">
      <c r="E532" t="str">
        <f>'SEGUIMIENTO Y EVALUACIÓN'!AL144</f>
        <v>L5M1P3</v>
      </c>
      <c r="F532" s="220">
        <f>'SEGUIMIENTO Y EVALUACIÓN'!AW144</f>
        <v>1</v>
      </c>
      <c r="G532" t="str">
        <f t="shared" si="18"/>
        <v>L5M1</v>
      </c>
    </row>
    <row r="533" spans="5:7">
      <c r="E533" t="str">
        <f>'SEGUIMIENTO Y EVALUACIÓN'!AL145</f>
        <v>L5M1P3</v>
      </c>
      <c r="F533" s="220">
        <f>'SEGUIMIENTO Y EVALUACIÓN'!AW145</f>
        <v>0.99290780141843993</v>
      </c>
      <c r="G533" t="str">
        <f t="shared" si="18"/>
        <v>L5M1</v>
      </c>
    </row>
    <row r="534" spans="5:7">
      <c r="E534" t="str">
        <f>'SEGUIMIENTO Y EVALUACIÓN'!AL146</f>
        <v>L5M1P3</v>
      </c>
      <c r="F534" s="220">
        <f>'SEGUIMIENTO Y EVALUACIÓN'!AW146</f>
        <v>1</v>
      </c>
      <c r="G534" t="str">
        <f t="shared" si="18"/>
        <v>L5M1</v>
      </c>
    </row>
    <row r="535" spans="5:7">
      <c r="E535" t="str">
        <f>'SEGUIMIENTO Y EVALUACIÓN'!AL147</f>
        <v>L5M1P4</v>
      </c>
      <c r="F535" s="220">
        <f>'SEGUIMIENTO Y EVALUACIÓN'!AW147</f>
        <v>1</v>
      </c>
      <c r="G535" t="str">
        <f t="shared" si="18"/>
        <v>L5M1</v>
      </c>
    </row>
    <row r="536" spans="5:7">
      <c r="E536" t="str">
        <f>'SEGUIMIENTO Y EVALUACIÓN'!AL148</f>
        <v>L5M1P6</v>
      </c>
      <c r="F536" s="220">
        <f>'SEGUIMIENTO Y EVALUACIÓN'!AW148</f>
        <v>1</v>
      </c>
      <c r="G536" t="str">
        <f t="shared" si="18"/>
        <v>L5M1</v>
      </c>
    </row>
    <row r="537" spans="5:7">
      <c r="E537" t="str">
        <f>'SEGUIMIENTO Y EVALUACIÓN'!AL149</f>
        <v>L5M1P6</v>
      </c>
      <c r="F537" s="220">
        <f>'SEGUIMIENTO Y EVALUACIÓN'!AW149</f>
        <v>0.8666666666666667</v>
      </c>
      <c r="G537" t="str">
        <f t="shared" si="18"/>
        <v>L5M1</v>
      </c>
    </row>
    <row r="538" spans="5:7">
      <c r="E538" t="str">
        <f>'SEGUIMIENTO Y EVALUACIÓN'!AL150</f>
        <v>L5M2P1</v>
      </c>
      <c r="F538" s="220">
        <f>'SEGUIMIENTO Y EVALUACIÓN'!AW150</f>
        <v>1</v>
      </c>
      <c r="G538" t="str">
        <f t="shared" si="18"/>
        <v>L5M2</v>
      </c>
    </row>
    <row r="539" spans="5:7">
      <c r="E539" t="str">
        <f>'SEGUIMIENTO Y EVALUACIÓN'!AL151</f>
        <v>L5M2P1</v>
      </c>
      <c r="F539" s="220">
        <f>'SEGUIMIENTO Y EVALUACIÓN'!AW151</f>
        <v>1</v>
      </c>
      <c r="G539" t="str">
        <f t="shared" si="18"/>
        <v>L5M2</v>
      </c>
    </row>
    <row r="540" spans="5:7">
      <c r="E540" t="str">
        <f>'SEGUIMIENTO Y EVALUACIÓN'!AL152</f>
        <v>L5M2P1</v>
      </c>
      <c r="F540" s="220">
        <f>'SEGUIMIENTO Y EVALUACIÓN'!AW152</f>
        <v>1</v>
      </c>
      <c r="G540" t="str">
        <f t="shared" si="18"/>
        <v>L5M2</v>
      </c>
    </row>
    <row r="541" spans="5:7">
      <c r="E541" t="str">
        <f>'SEGUIMIENTO Y EVALUACIÓN'!AL153</f>
        <v>L5M3P1</v>
      </c>
      <c r="F541" s="220">
        <f>'SEGUIMIENTO Y EVALUACIÓN'!AW153</f>
        <v>0</v>
      </c>
      <c r="G541" t="str">
        <f t="shared" si="18"/>
        <v>L5M3</v>
      </c>
    </row>
    <row r="542" spans="5:7">
      <c r="E542" t="str">
        <f>'SEGUIMIENTO Y EVALUACIÓN'!AL154</f>
        <v>L5M3P1</v>
      </c>
      <c r="F542" s="220">
        <f>'SEGUIMIENTO Y EVALUACIÓN'!AW154</f>
        <v>1</v>
      </c>
      <c r="G542" t="str">
        <f t="shared" si="18"/>
        <v>L5M3</v>
      </c>
    </row>
    <row r="543" spans="5:7">
      <c r="E543" t="str">
        <f>'SEGUIMIENTO Y EVALUACIÓN'!AL155</f>
        <v>L5M3P2</v>
      </c>
      <c r="F543" s="220">
        <f>'SEGUIMIENTO Y EVALUACIÓN'!AW155</f>
        <v>1</v>
      </c>
      <c r="G543" t="str">
        <f t="shared" si="18"/>
        <v>L5M3</v>
      </c>
    </row>
    <row r="544" spans="5:7">
      <c r="E544" t="str">
        <f>'SEGUIMIENTO Y EVALUACIÓN'!AL156</f>
        <v>L5M3P3</v>
      </c>
      <c r="F544" s="220">
        <f>'SEGUIMIENTO Y EVALUACIÓN'!AW156</f>
        <v>1</v>
      </c>
      <c r="G544" t="str">
        <f t="shared" si="18"/>
        <v>L5M3</v>
      </c>
    </row>
    <row r="545" spans="5:7">
      <c r="E545" t="str">
        <f>'SEGUIMIENTO Y EVALUACIÓN'!AL157</f>
        <v/>
      </c>
      <c r="F545" s="220"/>
      <c r="G545" t="str">
        <f t="shared" si="18"/>
        <v/>
      </c>
    </row>
    <row r="546" spans="5:7">
      <c r="E546" t="str">
        <f>'SEGUIMIENTO Y EVALUACIÓN'!AL158</f>
        <v/>
      </c>
      <c r="F546" s="220"/>
      <c r="G546" t="str">
        <f t="shared" si="18"/>
        <v/>
      </c>
    </row>
    <row r="547" spans="5:7">
      <c r="E547" t="str">
        <f>'SEGUIMIENTO Y EVALUACIÓN'!AL159</f>
        <v/>
      </c>
      <c r="F547" s="220"/>
      <c r="G547" t="str">
        <f t="shared" si="18"/>
        <v/>
      </c>
    </row>
    <row r="548" spans="5:7">
      <c r="E548" t="str">
        <f>'SEGUIMIENTO Y EVALUACIÓN'!AL160</f>
        <v/>
      </c>
      <c r="F548" s="220"/>
      <c r="G548" t="str">
        <f t="shared" si="18"/>
        <v/>
      </c>
    </row>
    <row r="549" spans="5:7">
      <c r="E549" t="str">
        <f>'SEGUIMIENTO Y EVALUACIÓN'!AL161</f>
        <v/>
      </c>
      <c r="F549" s="220"/>
      <c r="G549" t="str">
        <f t="shared" si="18"/>
        <v/>
      </c>
    </row>
    <row r="550" spans="5:7">
      <c r="E550" t="str">
        <f>'SEGUIMIENTO Y EVALUACIÓN'!AL162</f>
        <v/>
      </c>
      <c r="F550" s="220"/>
      <c r="G550" t="str">
        <f t="shared" si="18"/>
        <v/>
      </c>
    </row>
    <row r="551" spans="5:7">
      <c r="E551" t="str">
        <f>'SEGUIMIENTO Y EVALUACIÓN'!AL163</f>
        <v/>
      </c>
      <c r="F551" s="220"/>
      <c r="G551" t="str">
        <f t="shared" si="18"/>
        <v/>
      </c>
    </row>
    <row r="552" spans="5:7">
      <c r="E552" t="str">
        <f>'SEGUIMIENTO Y EVALUACIÓN'!AL164</f>
        <v/>
      </c>
      <c r="F552" s="220"/>
      <c r="G552" t="str">
        <f t="shared" si="18"/>
        <v/>
      </c>
    </row>
    <row r="553" spans="5:7">
      <c r="E553" t="str">
        <f>'SEGUIMIENTO Y EVALUACIÓN'!AL165</f>
        <v/>
      </c>
      <c r="F553" s="220"/>
      <c r="G553" t="str">
        <f t="shared" si="18"/>
        <v/>
      </c>
    </row>
    <row r="554" spans="5:7">
      <c r="E554" t="str">
        <f>'SEGUIMIENTO Y EVALUACIÓN'!AL166</f>
        <v/>
      </c>
      <c r="F554" s="220"/>
      <c r="G554" t="str">
        <f t="shared" si="18"/>
        <v/>
      </c>
    </row>
    <row r="555" spans="5:7">
      <c r="E555" t="str">
        <f>'SEGUIMIENTO Y EVALUACIÓN'!AL167</f>
        <v/>
      </c>
      <c r="F555" s="220"/>
      <c r="G555" t="str">
        <f t="shared" si="18"/>
        <v/>
      </c>
    </row>
    <row r="556" spans="5:7">
      <c r="E556" t="str">
        <f>'SEGUIMIENTO Y EVALUACIÓN'!AL168</f>
        <v/>
      </c>
      <c r="F556" s="220"/>
      <c r="G556" t="str">
        <f t="shared" si="18"/>
        <v/>
      </c>
    </row>
    <row r="557" spans="5:7">
      <c r="E557" t="str">
        <f>'SEGUIMIENTO Y EVALUACIÓN'!AL169</f>
        <v/>
      </c>
      <c r="F557" s="220"/>
      <c r="G557" t="str">
        <f t="shared" si="18"/>
        <v/>
      </c>
    </row>
    <row r="558" spans="5:7">
      <c r="E558" t="str">
        <f>'SEGUIMIENTO Y EVALUACIÓN'!AL170</f>
        <v/>
      </c>
      <c r="F558" s="220"/>
      <c r="G558" t="str">
        <f t="shared" si="18"/>
        <v/>
      </c>
    </row>
    <row r="559" spans="5:7">
      <c r="E559" t="str">
        <f>'SEGUIMIENTO Y EVALUACIÓN'!AL171</f>
        <v/>
      </c>
      <c r="F559" s="220"/>
      <c r="G559" t="str">
        <f t="shared" si="18"/>
        <v/>
      </c>
    </row>
    <row r="560" spans="5:7">
      <c r="E560" t="str">
        <f>'SEGUIMIENTO Y EVALUACIÓN'!AL172</f>
        <v/>
      </c>
      <c r="F560" s="220"/>
      <c r="G560" t="str">
        <f t="shared" si="18"/>
        <v/>
      </c>
    </row>
    <row r="561" spans="5:7">
      <c r="E561" t="str">
        <f>'SEGUIMIENTO Y EVALUACIÓN'!AL173</f>
        <v/>
      </c>
      <c r="F561" s="220"/>
      <c r="G561" t="str">
        <f t="shared" si="18"/>
        <v/>
      </c>
    </row>
    <row r="562" spans="5:7">
      <c r="E562" t="str">
        <f>'SEGUIMIENTO Y EVALUACIÓN'!AL174</f>
        <v/>
      </c>
      <c r="F562" s="220"/>
      <c r="G562" t="str">
        <f t="shared" si="18"/>
        <v/>
      </c>
    </row>
    <row r="563" spans="5:7">
      <c r="E563" t="str">
        <f>'SEGUIMIENTO Y EVALUACIÓN'!AL175</f>
        <v/>
      </c>
      <c r="F563" s="220"/>
      <c r="G563" t="str">
        <f t="shared" si="18"/>
        <v/>
      </c>
    </row>
    <row r="564" spans="5:7">
      <c r="E564" t="str">
        <f>'SEGUIMIENTO Y EVALUACIÓN'!AL176</f>
        <v/>
      </c>
      <c r="F564" s="220"/>
      <c r="G564" t="str">
        <f t="shared" si="18"/>
        <v/>
      </c>
    </row>
    <row r="565" spans="5:7">
      <c r="E565" t="str">
        <f>'SEGUIMIENTO Y EVALUACIÓN'!AL177</f>
        <v/>
      </c>
      <c r="F565" s="220"/>
      <c r="G565" t="str">
        <f t="shared" si="18"/>
        <v/>
      </c>
    </row>
    <row r="566" spans="5:7">
      <c r="E566" t="str">
        <f>'SEGUIMIENTO Y EVALUACIÓN'!AL178</f>
        <v/>
      </c>
      <c r="F566" s="220"/>
      <c r="G566" t="str">
        <f t="shared" si="18"/>
        <v/>
      </c>
    </row>
    <row r="567" spans="5:7">
      <c r="E567" t="str">
        <f>'SEGUIMIENTO Y EVALUACIÓN'!AL179</f>
        <v/>
      </c>
      <c r="F567" s="220"/>
      <c r="G567" t="str">
        <f t="shared" si="18"/>
        <v/>
      </c>
    </row>
    <row r="568" spans="5:7">
      <c r="E568" t="str">
        <f>'SEGUIMIENTO Y EVALUACIÓN'!AL180</f>
        <v/>
      </c>
      <c r="F568" s="220"/>
      <c r="G568" t="str">
        <f t="shared" si="18"/>
        <v/>
      </c>
    </row>
    <row r="569" spans="5:7">
      <c r="E569" t="str">
        <f>'SEGUIMIENTO Y EVALUACIÓN'!AL181</f>
        <v/>
      </c>
      <c r="F569" s="220"/>
      <c r="G569" t="str">
        <f t="shared" si="18"/>
        <v/>
      </c>
    </row>
    <row r="570" spans="5:7">
      <c r="E570" t="str">
        <f>'SEGUIMIENTO Y EVALUACIÓN'!AL182</f>
        <v/>
      </c>
      <c r="F570" s="220"/>
      <c r="G570" t="str">
        <f t="shared" si="18"/>
        <v/>
      </c>
    </row>
    <row r="571" spans="5:7">
      <c r="E571" t="str">
        <f>'SEGUIMIENTO Y EVALUACIÓN'!AL183</f>
        <v/>
      </c>
      <c r="F571" s="220"/>
      <c r="G571" t="str">
        <f t="shared" si="18"/>
        <v/>
      </c>
    </row>
    <row r="572" spans="5:7">
      <c r="E572" t="str">
        <f>'SEGUIMIENTO Y EVALUACIÓN'!AL184</f>
        <v/>
      </c>
      <c r="F572" s="220"/>
      <c r="G572" t="str">
        <f t="shared" si="18"/>
        <v/>
      </c>
    </row>
    <row r="573" spans="5:7">
      <c r="E573" t="str">
        <f>'SEGUIMIENTO Y EVALUACIÓN'!AL185</f>
        <v/>
      </c>
      <c r="F573" s="220"/>
      <c r="G573" t="str">
        <f t="shared" si="18"/>
        <v/>
      </c>
    </row>
    <row r="574" spans="5:7">
      <c r="E574" t="str">
        <f>'SEGUIMIENTO Y EVALUACIÓN'!AL186</f>
        <v/>
      </c>
      <c r="F574" s="220"/>
      <c r="G574" t="str">
        <f t="shared" si="18"/>
        <v/>
      </c>
    </row>
    <row r="575" spans="5:7">
      <c r="E575" t="str">
        <f>'SEGUIMIENTO Y EVALUACIÓN'!AL187</f>
        <v/>
      </c>
      <c r="F575" s="220"/>
      <c r="G575" t="str">
        <f t="shared" si="18"/>
        <v/>
      </c>
    </row>
    <row r="576" spans="5:7">
      <c r="E576" t="str">
        <f>'SEGUIMIENTO Y EVALUACIÓN'!AL188</f>
        <v/>
      </c>
      <c r="F576" s="220"/>
      <c r="G576" t="str">
        <f t="shared" si="18"/>
        <v/>
      </c>
    </row>
    <row r="577" spans="5:7">
      <c r="E577" t="str">
        <f>'SEGUIMIENTO Y EVALUACIÓN'!AL189</f>
        <v/>
      </c>
      <c r="F577" s="220"/>
      <c r="G577" t="str">
        <f t="shared" si="18"/>
        <v/>
      </c>
    </row>
    <row r="578" spans="5:7">
      <c r="E578" t="str">
        <f>'SEGUIMIENTO Y EVALUACIÓN'!AL190</f>
        <v/>
      </c>
      <c r="F578" s="220"/>
      <c r="G578" t="str">
        <f t="shared" si="18"/>
        <v/>
      </c>
    </row>
    <row r="579" spans="5:7">
      <c r="E579" t="str">
        <f>'SEGUIMIENTO Y EVALUACIÓN'!AL191</f>
        <v/>
      </c>
      <c r="F579" s="220"/>
      <c r="G579" t="str">
        <f t="shared" si="18"/>
        <v/>
      </c>
    </row>
    <row r="580" spans="5:7">
      <c r="E580" t="str">
        <f>'SEGUIMIENTO Y EVALUACIÓN'!AL192</f>
        <v/>
      </c>
      <c r="F580" s="220"/>
      <c r="G580" t="str">
        <f t="shared" si="18"/>
        <v/>
      </c>
    </row>
    <row r="581" spans="5:7">
      <c r="E581" t="str">
        <f>'SEGUIMIENTO Y EVALUACIÓN'!AL193</f>
        <v/>
      </c>
      <c r="F581" s="220"/>
      <c r="G581" t="str">
        <f t="shared" si="18"/>
        <v/>
      </c>
    </row>
    <row r="582" spans="5:7">
      <c r="E582" t="str">
        <f>'SEGUIMIENTO Y EVALUACIÓN'!AL194</f>
        <v/>
      </c>
      <c r="F582" s="220"/>
      <c r="G582" t="str">
        <f t="shared" si="18"/>
        <v/>
      </c>
    </row>
    <row r="583" spans="5:7">
      <c r="E583" t="str">
        <f>'SEGUIMIENTO Y EVALUACIÓN'!AL195</f>
        <v/>
      </c>
      <c r="F583" s="220"/>
      <c r="G583" t="str">
        <f t="shared" si="18"/>
        <v/>
      </c>
    </row>
    <row r="584" spans="5:7">
      <c r="E584" t="str">
        <f>'SEGUIMIENTO Y EVALUACIÓN'!AL196</f>
        <v/>
      </c>
      <c r="F584" s="220"/>
      <c r="G584" t="str">
        <f t="shared" si="18"/>
        <v/>
      </c>
    </row>
    <row r="585" spans="5:7">
      <c r="E585" t="str">
        <f>'SEGUIMIENTO Y EVALUACIÓN'!AL197</f>
        <v/>
      </c>
      <c r="F585" s="220"/>
      <c r="G585" t="str">
        <f t="shared" si="18"/>
        <v/>
      </c>
    </row>
    <row r="586" spans="5:7">
      <c r="E586" t="str">
        <f>'SEGUIMIENTO Y EVALUACIÓN'!AL198</f>
        <v/>
      </c>
      <c r="F586" s="220"/>
      <c r="G586" t="str">
        <f t="shared" si="18"/>
        <v/>
      </c>
    </row>
    <row r="587" spans="5:7">
      <c r="E587" t="str">
        <f>'SEGUIMIENTO Y EVALUACIÓN'!AL199</f>
        <v/>
      </c>
      <c r="F587" s="220"/>
      <c r="G587" t="str">
        <f t="shared" si="18"/>
        <v/>
      </c>
    </row>
    <row r="588" spans="5:7">
      <c r="E588" t="str">
        <f>'SEGUIMIENTO Y EVALUACIÓN'!AL200</f>
        <v/>
      </c>
      <c r="F588" s="220"/>
      <c r="G588" t="str">
        <f t="shared" si="18"/>
        <v/>
      </c>
    </row>
    <row r="589" spans="5:7">
      <c r="E589" t="str">
        <f>'SEGUIMIENTO Y EVALUACIÓN'!AL201</f>
        <v/>
      </c>
      <c r="F589" s="220"/>
      <c r="G589" t="str">
        <f t="shared" si="18"/>
        <v/>
      </c>
    </row>
    <row r="590" spans="5:7">
      <c r="E590" t="str">
        <f>'SEGUIMIENTO Y EVALUACIÓN'!AL202</f>
        <v/>
      </c>
      <c r="F590" s="220"/>
      <c r="G590" t="str">
        <f t="shared" si="18"/>
        <v/>
      </c>
    </row>
    <row r="591" spans="5:7">
      <c r="E591" t="str">
        <f>'SEGUIMIENTO Y EVALUACIÓN'!AL203</f>
        <v/>
      </c>
      <c r="F591" s="220"/>
      <c r="G591" t="str">
        <f t="shared" si="18"/>
        <v/>
      </c>
    </row>
    <row r="592" spans="5:7">
      <c r="E592" t="str">
        <f>'SEGUIMIENTO Y EVALUACIÓN'!AL204</f>
        <v/>
      </c>
      <c r="F592" s="220"/>
      <c r="G592" t="str">
        <f t="shared" si="18"/>
        <v/>
      </c>
    </row>
    <row r="593" spans="5:7">
      <c r="E593" t="str">
        <f>'SEGUIMIENTO Y EVALUACIÓN'!AL205</f>
        <v/>
      </c>
      <c r="F593" s="220"/>
      <c r="G593" t="str">
        <f t="shared" ref="G593:G651" si="19">LEFT(E593,4)</f>
        <v/>
      </c>
    </row>
    <row r="594" spans="5:7">
      <c r="E594" t="str">
        <f>'SEGUIMIENTO Y EVALUACIÓN'!AL206</f>
        <v/>
      </c>
      <c r="F594" s="220"/>
      <c r="G594" t="str">
        <f t="shared" si="19"/>
        <v/>
      </c>
    </row>
    <row r="595" spans="5:7">
      <c r="E595" t="str">
        <f>'SEGUIMIENTO Y EVALUACIÓN'!AL207</f>
        <v/>
      </c>
      <c r="F595" s="220"/>
      <c r="G595" t="str">
        <f t="shared" si="19"/>
        <v/>
      </c>
    </row>
    <row r="596" spans="5:7">
      <c r="E596" t="str">
        <f>'SEGUIMIENTO Y EVALUACIÓN'!AL208</f>
        <v/>
      </c>
      <c r="F596" s="220"/>
      <c r="G596" t="str">
        <f t="shared" si="19"/>
        <v/>
      </c>
    </row>
    <row r="597" spans="5:7">
      <c r="E597" t="str">
        <f>'SEGUIMIENTO Y EVALUACIÓN'!AL209</f>
        <v/>
      </c>
      <c r="F597" s="220"/>
      <c r="G597" t="str">
        <f t="shared" si="19"/>
        <v/>
      </c>
    </row>
    <row r="598" spans="5:7">
      <c r="E598" t="str">
        <f>'SEGUIMIENTO Y EVALUACIÓN'!AL210</f>
        <v/>
      </c>
      <c r="F598" s="220"/>
      <c r="G598" t="str">
        <f t="shared" si="19"/>
        <v/>
      </c>
    </row>
    <row r="599" spans="5:7">
      <c r="E599" t="str">
        <f>'SEGUIMIENTO Y EVALUACIÓN'!AL211</f>
        <v/>
      </c>
      <c r="F599" s="220"/>
      <c r="G599" t="str">
        <f t="shared" si="19"/>
        <v/>
      </c>
    </row>
    <row r="600" spans="5:7">
      <c r="E600" t="str">
        <f>'SEGUIMIENTO Y EVALUACIÓN'!AL212</f>
        <v/>
      </c>
      <c r="F600" s="220"/>
      <c r="G600" t="str">
        <f t="shared" si="19"/>
        <v/>
      </c>
    </row>
    <row r="601" spans="5:7">
      <c r="E601" t="str">
        <f>'SEGUIMIENTO Y EVALUACIÓN'!AL213</f>
        <v/>
      </c>
      <c r="F601" s="220"/>
      <c r="G601" t="str">
        <f t="shared" si="19"/>
        <v/>
      </c>
    </row>
    <row r="602" spans="5:7">
      <c r="E602" t="str">
        <f>'SEGUIMIENTO Y EVALUACIÓN'!AL214</f>
        <v/>
      </c>
      <c r="F602" s="220"/>
      <c r="G602" t="str">
        <f t="shared" si="19"/>
        <v/>
      </c>
    </row>
    <row r="603" spans="5:7">
      <c r="E603" t="str">
        <f>'SEGUIMIENTO Y EVALUACIÓN'!AL215</f>
        <v/>
      </c>
      <c r="F603" s="220"/>
      <c r="G603" t="str">
        <f t="shared" si="19"/>
        <v/>
      </c>
    </row>
    <row r="604" spans="5:7">
      <c r="E604" t="str">
        <f>'SEGUIMIENTO Y EVALUACIÓN'!AL216</f>
        <v/>
      </c>
      <c r="F604" s="220"/>
      <c r="G604" t="str">
        <f t="shared" si="19"/>
        <v/>
      </c>
    </row>
    <row r="605" spans="5:7">
      <c r="E605" t="str">
        <f>'SEGUIMIENTO Y EVALUACIÓN'!AL217</f>
        <v/>
      </c>
      <c r="F605" s="220"/>
      <c r="G605" t="str">
        <f t="shared" si="19"/>
        <v/>
      </c>
    </row>
    <row r="606" spans="5:7">
      <c r="E606" t="str">
        <f>'SEGUIMIENTO Y EVALUACIÓN'!AL218</f>
        <v/>
      </c>
      <c r="F606" s="220"/>
      <c r="G606" t="str">
        <f t="shared" si="19"/>
        <v/>
      </c>
    </row>
    <row r="607" spans="5:7">
      <c r="E607" t="str">
        <f>'SEGUIMIENTO Y EVALUACIÓN'!AL219</f>
        <v/>
      </c>
      <c r="F607" s="220"/>
      <c r="G607" t="str">
        <f t="shared" si="19"/>
        <v/>
      </c>
    </row>
    <row r="608" spans="5:7">
      <c r="E608" t="str">
        <f>'SEGUIMIENTO Y EVALUACIÓN'!AL220</f>
        <v/>
      </c>
      <c r="F608" s="220"/>
      <c r="G608" t="str">
        <f t="shared" si="19"/>
        <v/>
      </c>
    </row>
    <row r="609" spans="5:7">
      <c r="E609" t="str">
        <f>'SEGUIMIENTO Y EVALUACIÓN'!AL221</f>
        <v/>
      </c>
      <c r="F609" s="220"/>
      <c r="G609" t="str">
        <f t="shared" si="19"/>
        <v/>
      </c>
    </row>
    <row r="610" spans="5:7">
      <c r="E610" t="str">
        <f>'SEGUIMIENTO Y EVALUACIÓN'!AL222</f>
        <v/>
      </c>
      <c r="F610" s="220"/>
      <c r="G610" t="str">
        <f t="shared" si="19"/>
        <v/>
      </c>
    </row>
    <row r="611" spans="5:7">
      <c r="E611" t="str">
        <f>'SEGUIMIENTO Y EVALUACIÓN'!AL223</f>
        <v/>
      </c>
      <c r="F611" s="220"/>
      <c r="G611" t="str">
        <f t="shared" si="19"/>
        <v/>
      </c>
    </row>
    <row r="612" spans="5:7">
      <c r="E612" t="str">
        <f>'SEGUIMIENTO Y EVALUACIÓN'!AL224</f>
        <v/>
      </c>
      <c r="F612" s="220"/>
      <c r="G612" t="str">
        <f t="shared" si="19"/>
        <v/>
      </c>
    </row>
    <row r="613" spans="5:7">
      <c r="E613" t="str">
        <f>'SEGUIMIENTO Y EVALUACIÓN'!AL225</f>
        <v/>
      </c>
      <c r="F613" s="220"/>
      <c r="G613" t="str">
        <f t="shared" si="19"/>
        <v/>
      </c>
    </row>
    <row r="614" spans="5:7">
      <c r="E614" t="str">
        <f>'SEGUIMIENTO Y EVALUACIÓN'!AL226</f>
        <v/>
      </c>
      <c r="F614" s="220"/>
      <c r="G614" t="str">
        <f t="shared" si="19"/>
        <v/>
      </c>
    </row>
    <row r="615" spans="5:7">
      <c r="E615" t="str">
        <f>'SEGUIMIENTO Y EVALUACIÓN'!AL227</f>
        <v/>
      </c>
      <c r="F615" s="220"/>
      <c r="G615" t="str">
        <f t="shared" si="19"/>
        <v/>
      </c>
    </row>
    <row r="616" spans="5:7">
      <c r="E616" t="str">
        <f>'SEGUIMIENTO Y EVALUACIÓN'!AL228</f>
        <v/>
      </c>
      <c r="F616" s="220"/>
      <c r="G616" t="str">
        <f t="shared" si="19"/>
        <v/>
      </c>
    </row>
    <row r="617" spans="5:7">
      <c r="E617" t="str">
        <f>'SEGUIMIENTO Y EVALUACIÓN'!AL229</f>
        <v/>
      </c>
      <c r="F617" s="220"/>
      <c r="G617" t="str">
        <f t="shared" si="19"/>
        <v/>
      </c>
    </row>
    <row r="618" spans="5:7">
      <c r="E618" t="str">
        <f>'SEGUIMIENTO Y EVALUACIÓN'!AL230</f>
        <v/>
      </c>
      <c r="F618" s="220"/>
      <c r="G618" t="str">
        <f t="shared" si="19"/>
        <v/>
      </c>
    </row>
    <row r="619" spans="5:7">
      <c r="E619" t="str">
        <f>'SEGUIMIENTO Y EVALUACIÓN'!AL231</f>
        <v/>
      </c>
      <c r="F619" s="220"/>
      <c r="G619" t="str">
        <f t="shared" si="19"/>
        <v/>
      </c>
    </row>
    <row r="620" spans="5:7">
      <c r="E620" t="str">
        <f>'SEGUIMIENTO Y EVALUACIÓN'!AL232</f>
        <v/>
      </c>
      <c r="F620" s="220"/>
      <c r="G620" t="str">
        <f t="shared" si="19"/>
        <v/>
      </c>
    </row>
    <row r="621" spans="5:7">
      <c r="E621" t="str">
        <f>'SEGUIMIENTO Y EVALUACIÓN'!AL233</f>
        <v/>
      </c>
      <c r="F621" s="220"/>
      <c r="G621" t="str">
        <f t="shared" si="19"/>
        <v/>
      </c>
    </row>
    <row r="622" spans="5:7">
      <c r="E622" t="str">
        <f>'SEGUIMIENTO Y EVALUACIÓN'!AL234</f>
        <v/>
      </c>
      <c r="F622" s="220"/>
      <c r="G622" t="str">
        <f t="shared" si="19"/>
        <v/>
      </c>
    </row>
    <row r="623" spans="5:7">
      <c r="E623" t="str">
        <f>'SEGUIMIENTO Y EVALUACIÓN'!AL235</f>
        <v/>
      </c>
      <c r="F623" s="220"/>
      <c r="G623" t="str">
        <f t="shared" si="19"/>
        <v/>
      </c>
    </row>
    <row r="624" spans="5:7">
      <c r="E624" t="str">
        <f>'SEGUIMIENTO Y EVALUACIÓN'!AL236</f>
        <v/>
      </c>
      <c r="F624" s="220"/>
      <c r="G624" t="str">
        <f t="shared" si="19"/>
        <v/>
      </c>
    </row>
    <row r="625" spans="5:7">
      <c r="E625" t="str">
        <f>'SEGUIMIENTO Y EVALUACIÓN'!AL237</f>
        <v/>
      </c>
      <c r="F625" s="220"/>
      <c r="G625" t="str">
        <f t="shared" si="19"/>
        <v/>
      </c>
    </row>
    <row r="626" spans="5:7">
      <c r="E626" t="str">
        <f>'SEGUIMIENTO Y EVALUACIÓN'!AL238</f>
        <v/>
      </c>
      <c r="F626" s="220"/>
      <c r="G626" t="str">
        <f t="shared" si="19"/>
        <v/>
      </c>
    </row>
    <row r="627" spans="5:7">
      <c r="E627" t="str">
        <f>'SEGUIMIENTO Y EVALUACIÓN'!AL239</f>
        <v/>
      </c>
      <c r="F627" s="220"/>
      <c r="G627" t="str">
        <f t="shared" si="19"/>
        <v/>
      </c>
    </row>
    <row r="628" spans="5:7">
      <c r="E628" t="str">
        <f>'SEGUIMIENTO Y EVALUACIÓN'!AL240</f>
        <v/>
      </c>
      <c r="F628" s="220"/>
      <c r="G628" t="str">
        <f t="shared" si="19"/>
        <v/>
      </c>
    </row>
    <row r="629" spans="5:7">
      <c r="E629" t="str">
        <f>'SEGUIMIENTO Y EVALUACIÓN'!AL241</f>
        <v/>
      </c>
      <c r="F629" s="220"/>
      <c r="G629" t="str">
        <f t="shared" si="19"/>
        <v/>
      </c>
    </row>
    <row r="630" spans="5:7">
      <c r="E630" t="str">
        <f>'SEGUIMIENTO Y EVALUACIÓN'!AL242</f>
        <v/>
      </c>
      <c r="F630" s="220"/>
      <c r="G630" t="str">
        <f t="shared" si="19"/>
        <v/>
      </c>
    </row>
    <row r="631" spans="5:7">
      <c r="E631" t="str">
        <f>'SEGUIMIENTO Y EVALUACIÓN'!AL243</f>
        <v/>
      </c>
      <c r="F631" s="220"/>
      <c r="G631" t="str">
        <f t="shared" si="19"/>
        <v/>
      </c>
    </row>
    <row r="632" spans="5:7">
      <c r="E632" t="str">
        <f>'SEGUIMIENTO Y EVALUACIÓN'!AL244</f>
        <v/>
      </c>
      <c r="F632" s="220"/>
      <c r="G632" t="str">
        <f t="shared" si="19"/>
        <v/>
      </c>
    </row>
    <row r="633" spans="5:7">
      <c r="E633" t="str">
        <f>'SEGUIMIENTO Y EVALUACIÓN'!AL245</f>
        <v/>
      </c>
      <c r="F633" s="220"/>
      <c r="G633" t="str">
        <f t="shared" si="19"/>
        <v/>
      </c>
    </row>
    <row r="634" spans="5:7">
      <c r="E634" t="str">
        <f>'SEGUIMIENTO Y EVALUACIÓN'!AL246</f>
        <v/>
      </c>
      <c r="F634" s="220"/>
      <c r="G634" t="str">
        <f t="shared" si="19"/>
        <v/>
      </c>
    </row>
    <row r="635" spans="5:7">
      <c r="E635" t="str">
        <f>'SEGUIMIENTO Y EVALUACIÓN'!AL247</f>
        <v/>
      </c>
      <c r="F635" s="220"/>
      <c r="G635" t="str">
        <f t="shared" si="19"/>
        <v/>
      </c>
    </row>
    <row r="636" spans="5:7">
      <c r="E636" t="str">
        <f>'SEGUIMIENTO Y EVALUACIÓN'!AL248</f>
        <v/>
      </c>
      <c r="F636" s="220"/>
      <c r="G636" t="str">
        <f t="shared" si="19"/>
        <v/>
      </c>
    </row>
    <row r="637" spans="5:7">
      <c r="E637" t="str">
        <f>'SEGUIMIENTO Y EVALUACIÓN'!AL249</f>
        <v/>
      </c>
      <c r="F637" s="220"/>
      <c r="G637" t="str">
        <f t="shared" si="19"/>
        <v/>
      </c>
    </row>
    <row r="638" spans="5:7">
      <c r="E638" t="str">
        <f>'SEGUIMIENTO Y EVALUACIÓN'!AL250</f>
        <v/>
      </c>
      <c r="F638" s="220"/>
      <c r="G638" t="str">
        <f t="shared" si="19"/>
        <v/>
      </c>
    </row>
    <row r="639" spans="5:7">
      <c r="E639" t="str">
        <f>'SEGUIMIENTO Y EVALUACIÓN'!AL251</f>
        <v/>
      </c>
      <c r="F639" s="220"/>
      <c r="G639" t="str">
        <f t="shared" si="19"/>
        <v/>
      </c>
    </row>
    <row r="640" spans="5:7">
      <c r="E640" t="str">
        <f>'SEGUIMIENTO Y EVALUACIÓN'!AL252</f>
        <v/>
      </c>
      <c r="F640" s="220"/>
      <c r="G640" t="str">
        <f t="shared" si="19"/>
        <v/>
      </c>
    </row>
    <row r="641" spans="5:7">
      <c r="E641" t="str">
        <f>'SEGUIMIENTO Y EVALUACIÓN'!AL253</f>
        <v/>
      </c>
      <c r="F641" s="220"/>
      <c r="G641" t="str">
        <f t="shared" si="19"/>
        <v/>
      </c>
    </row>
    <row r="642" spans="5:7">
      <c r="E642" t="str">
        <f>'SEGUIMIENTO Y EVALUACIÓN'!AL254</f>
        <v/>
      </c>
      <c r="F642" s="220"/>
      <c r="G642" t="str">
        <f t="shared" si="19"/>
        <v/>
      </c>
    </row>
    <row r="643" spans="5:7">
      <c r="E643" t="str">
        <f>'SEGUIMIENTO Y EVALUACIÓN'!AL255</f>
        <v/>
      </c>
      <c r="F643" s="220"/>
      <c r="G643" t="str">
        <f t="shared" si="19"/>
        <v/>
      </c>
    </row>
    <row r="644" spans="5:7">
      <c r="E644" t="str">
        <f>'SEGUIMIENTO Y EVALUACIÓN'!AL256</f>
        <v/>
      </c>
      <c r="F644" s="220"/>
      <c r="G644" t="str">
        <f t="shared" si="19"/>
        <v/>
      </c>
    </row>
    <row r="645" spans="5:7">
      <c r="E645" t="str">
        <f>'SEGUIMIENTO Y EVALUACIÓN'!AL257</f>
        <v/>
      </c>
      <c r="F645" s="220"/>
      <c r="G645" t="str">
        <f t="shared" si="19"/>
        <v/>
      </c>
    </row>
    <row r="646" spans="5:7">
      <c r="E646" t="str">
        <f>'SEGUIMIENTO Y EVALUACIÓN'!AL258</f>
        <v/>
      </c>
      <c r="F646" s="220"/>
      <c r="G646" t="str">
        <f t="shared" si="19"/>
        <v/>
      </c>
    </row>
    <row r="647" spans="5:7">
      <c r="E647" t="str">
        <f>'SEGUIMIENTO Y EVALUACIÓN'!AL259</f>
        <v/>
      </c>
      <c r="F647" s="220"/>
      <c r="G647" t="str">
        <f t="shared" si="19"/>
        <v/>
      </c>
    </row>
    <row r="648" spans="5:7">
      <c r="E648" t="str">
        <f>'SEGUIMIENTO Y EVALUACIÓN'!AL260</f>
        <v/>
      </c>
      <c r="F648" s="220"/>
      <c r="G648" t="str">
        <f t="shared" si="19"/>
        <v/>
      </c>
    </row>
    <row r="649" spans="5:7">
      <c r="E649" t="str">
        <f>'SEGUIMIENTO Y EVALUACIÓN'!AL261</f>
        <v/>
      </c>
      <c r="F649" s="220"/>
      <c r="G649" t="str">
        <f t="shared" si="19"/>
        <v/>
      </c>
    </row>
    <row r="650" spans="5:7">
      <c r="E650">
        <f>'SEGUIMIENTO Y EVALUACIÓN'!AL262</f>
        <v>0</v>
      </c>
      <c r="F650" s="220">
        <f>'SEGUIMIENTO Y EVALUACIÓN'!AW262</f>
        <v>0</v>
      </c>
      <c r="G650" t="str">
        <f t="shared" si="19"/>
        <v>0</v>
      </c>
    </row>
    <row r="651" spans="5:7">
      <c r="E651" t="str">
        <f>'SEGUIMIENTO Y EVALUACIÓN'!AL263</f>
        <v>xxxxx</v>
      </c>
      <c r="F651" s="220">
        <f>'SEGUIMIENTO Y EVALUACIÓN'!AW263</f>
        <v>0</v>
      </c>
      <c r="G651" t="str">
        <f t="shared" si="19"/>
        <v>xxxx</v>
      </c>
    </row>
    <row r="652" spans="5:7">
      <c r="F652" s="220"/>
    </row>
    <row r="653" spans="5:7">
      <c r="F653" s="220"/>
    </row>
    <row r="654" spans="5:7">
      <c r="F654" s="220"/>
    </row>
    <row r="655" spans="5:7">
      <c r="F655" s="220"/>
    </row>
    <row r="656" spans="5:7">
      <c r="F656" s="220"/>
    </row>
    <row r="657" spans="6:6">
      <c r="F657" s="220"/>
    </row>
    <row r="658" spans="6:6">
      <c r="F658" s="220"/>
    </row>
    <row r="659" spans="6:6">
      <c r="F659" s="220"/>
    </row>
    <row r="660" spans="6:6">
      <c r="F660" s="220"/>
    </row>
    <row r="661" spans="6:6">
      <c r="F661" s="220"/>
    </row>
    <row r="662" spans="6:6">
      <c r="F662" s="220"/>
    </row>
    <row r="663" spans="6:6">
      <c r="F663" s="220"/>
    </row>
    <row r="664" spans="6:6">
      <c r="F664" s="220"/>
    </row>
    <row r="665" spans="6:6">
      <c r="F665" s="220"/>
    </row>
    <row r="666" spans="6:6">
      <c r="F666" s="220"/>
    </row>
    <row r="667" spans="6:6">
      <c r="F667" s="220"/>
    </row>
    <row r="668" spans="6:6">
      <c r="F668" s="220"/>
    </row>
    <row r="669" spans="6:6">
      <c r="F669" s="220"/>
    </row>
    <row r="670" spans="6:6">
      <c r="F670" s="220"/>
    </row>
    <row r="671" spans="6:6">
      <c r="F671" s="220"/>
    </row>
    <row r="672" spans="6:6">
      <c r="F672" s="220"/>
    </row>
    <row r="673" spans="6:6">
      <c r="F673" s="220"/>
    </row>
    <row r="674" spans="6:6">
      <c r="F674" s="220"/>
    </row>
    <row r="675" spans="6:6">
      <c r="F675" s="220"/>
    </row>
    <row r="676" spans="6:6">
      <c r="F676" s="220"/>
    </row>
    <row r="677" spans="6:6">
      <c r="F677" s="220"/>
    </row>
    <row r="678" spans="6:6">
      <c r="F678" s="220"/>
    </row>
    <row r="679" spans="6:6">
      <c r="F679" s="220"/>
    </row>
    <row r="680" spans="6:6">
      <c r="F680" s="220"/>
    </row>
    <row r="681" spans="6:6">
      <c r="F681" s="220"/>
    </row>
    <row r="682" spans="6:6">
      <c r="F682" s="220"/>
    </row>
    <row r="683" spans="6:6">
      <c r="F683" s="220"/>
    </row>
    <row r="684" spans="6:6">
      <c r="F684" s="220"/>
    </row>
    <row r="685" spans="6:6">
      <c r="F685" s="220"/>
    </row>
    <row r="686" spans="6:6">
      <c r="F686" s="220"/>
    </row>
    <row r="687" spans="6:6">
      <c r="F687" s="220"/>
    </row>
    <row r="688" spans="6:6">
      <c r="F688" s="220"/>
    </row>
    <row r="689" spans="6:6">
      <c r="F689" s="220"/>
    </row>
    <row r="690" spans="6:6">
      <c r="F690" s="220"/>
    </row>
    <row r="691" spans="6:6">
      <c r="F691" s="220"/>
    </row>
    <row r="692" spans="6:6">
      <c r="F692" s="220"/>
    </row>
    <row r="693" spans="6:6">
      <c r="F693" s="220"/>
    </row>
    <row r="694" spans="6:6">
      <c r="F694" s="220"/>
    </row>
    <row r="695" spans="6:6">
      <c r="F695" s="220"/>
    </row>
    <row r="696" spans="6:6">
      <c r="F696" s="220"/>
    </row>
    <row r="697" spans="6:6">
      <c r="F697" s="220"/>
    </row>
    <row r="698" spans="6:6">
      <c r="F698" s="220"/>
    </row>
  </sheetData>
  <sortState xmlns:xlrd2="http://schemas.microsoft.com/office/spreadsheetml/2017/richdata2" ref="L3:M6">
    <sortCondition ref="L3:L6"/>
  </sortState>
  <mergeCells count="2">
    <mergeCell ref="C1:G1"/>
    <mergeCell ref="I1:M1"/>
  </mergeCells>
  <phoneticPr fontId="20" type="noConversion"/>
  <pageMargins left="0.7" right="0.7" top="0.75" bottom="0.75" header="0.3" footer="0.3"/>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8EA9A-4C12-43AF-AEE1-37CB488C34E7}">
  <dimension ref="A2:U422"/>
  <sheetViews>
    <sheetView topLeftCell="J23" zoomScaleNormal="100" workbookViewId="0">
      <selection activeCell="S31" sqref="S31:S48"/>
    </sheetView>
  </sheetViews>
  <sheetFormatPr baseColWidth="10" defaultColWidth="11.42578125" defaultRowHeight="12.75"/>
  <cols>
    <col min="1" max="1" width="15.85546875" customWidth="1"/>
    <col min="2" max="2" width="11.140625" customWidth="1"/>
    <col min="3" max="3" width="48.28515625" customWidth="1"/>
    <col min="4" max="4" width="16.140625" style="100" customWidth="1"/>
    <col min="5" max="5" width="6.42578125" customWidth="1"/>
    <col min="6" max="6" width="9.140625" customWidth="1"/>
    <col min="7" max="7" width="41.28515625" customWidth="1"/>
    <col min="8" max="8" width="11.28515625" customWidth="1"/>
    <col min="9" max="9" width="24.85546875" style="100" customWidth="1"/>
    <col min="10" max="10" width="13" customWidth="1"/>
    <col min="11" max="11" width="67.140625" customWidth="1"/>
    <col min="12" max="12" width="13.7109375" style="100" customWidth="1"/>
    <col min="13" max="13" width="8.7109375" customWidth="1"/>
    <col min="14" max="14" width="4.85546875" customWidth="1"/>
    <col min="15" max="15" width="18.42578125" bestFit="1" customWidth="1"/>
    <col min="16" max="16" width="13.42578125" customWidth="1"/>
    <col min="17" max="17" width="8.140625" customWidth="1"/>
    <col min="18" max="18" width="3.42578125" customWidth="1"/>
    <col min="19" max="19" width="9.42578125" customWidth="1"/>
    <col min="20" max="20" width="52.42578125" customWidth="1"/>
    <col min="21" max="21" width="13.140625" bestFit="1" customWidth="1"/>
    <col min="22" max="25" width="23.42578125" bestFit="1" customWidth="1"/>
    <col min="26" max="26" width="19.42578125" bestFit="1" customWidth="1"/>
    <col min="27" max="27" width="21.42578125" bestFit="1" customWidth="1"/>
  </cols>
  <sheetData>
    <row r="2" spans="1:18">
      <c r="A2" s="87" t="str">
        <f>IFERROR(RIGHT(Lists!A50,LEN(Lists!A50)),"")</f>
        <v>M1 - Internacionalización y multilingüismo.</v>
      </c>
      <c r="B2" s="87" t="str">
        <f>IFERROR(RIGHT(Lists!B50,LEN(Lists!B50)),"")</f>
        <v>M2 - Transformación digital</v>
      </c>
      <c r="C2" s="87" t="str">
        <f>IFERROR(RIGHT(Lists!C50,LEN(Lists!C50)),"")</f>
        <v>M3 - Regionalización en contexto</v>
      </c>
      <c r="D2" s="101" t="str">
        <f>IFERROR(RIGHT(Lists!D50,LEN(Lists!D50)),"")</f>
        <v>M4 - Procesos académicos inclusivos e interculturales</v>
      </c>
      <c r="E2" s="87" t="str">
        <f>IFERROR(RIGHT(Lists!E50,LEN(Lists!E50)),"")</f>
        <v>M5 - Autoevaluación y acreditación Institucional y de programas académicos en el contexto nacional e internacional</v>
      </c>
      <c r="F2" s="87" t="str">
        <f>IFERROR(RIGHT(Lists!F50,LEN(Lists!F50)),"")</f>
        <v>M1 - Creación o investigación creación.</v>
      </c>
      <c r="G2" s="87" t="str">
        <f>IFERROR(RIGHT(Lists!G50,LEN(Lists!G50)),"")</f>
        <v xml:space="preserve">M2 - Investigación y desarrollo científico. </v>
      </c>
      <c r="H2" s="87" t="str">
        <f>IFERROR(RIGHT(Lists!H50,LEN(Lists!H50)),"")</f>
        <v>M3 - Innovación y desarrollo tecnológico.</v>
      </c>
      <c r="I2" s="101" t="str">
        <f>IFERROR(RIGHT(Lists!I50,LEN(Lists!I50)),"")</f>
        <v xml:space="preserve">M1 - Educación continua y formación avanzada con enfoque global. </v>
      </c>
      <c r="J2" s="87" t="str">
        <f>IFERROR(RIGHT(Lists!J50,LEN(Lists!J50)),"")</f>
        <v>M2 - Articulación con el sector productivo y sociedad.</v>
      </c>
      <c r="K2" s="87" t="str">
        <f>IFERROR(RIGHT(Lists!K50,LEN(Lists!K50)),"")</f>
        <v>M3 - Gestión social, artística y cultural</v>
      </c>
      <c r="L2" s="101" t="str">
        <f>IFERROR(RIGHT(Lists!L50,LEN(Lists!L50)),"")</f>
        <v xml:space="preserve">M4 - Responsabilidad social universitaria RSU.  </v>
      </c>
      <c r="M2" s="87" t="str">
        <f>IFERROR(RIGHT(Lists!M50,LEN(Lists!M50)),"")</f>
        <v>M1 - Fortalecimiento para la permanencia y graduación oportuna</v>
      </c>
      <c r="N2" s="87" t="str">
        <f>IFERROR(RIGHT(Lists!N50,LEN(Lists!N50)),"")</f>
        <v>M2 - Cultura ciudadana, cultura política, equidad de género e inclusión</v>
      </c>
      <c r="O2" s="87" t="str">
        <f>IFERROR(RIGHT(Lists!O50,LEN(Lists!O50)),"")</f>
        <v>M3 - Salud mental positiva y Desarrollo humano integral</v>
      </c>
      <c r="P2" s="87" t="str">
        <f>IFERROR(RIGHT(Lists!P50,LEN(Lists!P50)),"")</f>
        <v>M1 - Fortalecimiento institucional</v>
      </c>
      <c r="Q2" s="87" t="str">
        <f>IFERROR(RIGHT(Lists!Q50,LEN(Lists!Q50)),"")</f>
        <v>M2 - Fortalecimiento de la estructura organizativa y del talento humano.</v>
      </c>
      <c r="R2" s="87" t="str">
        <f>IFERROR(RIGHT(Lists!R50,LEN(Lists!R50)),"")</f>
        <v>M3 - Infraestructura y dotación adecuada</v>
      </c>
    </row>
    <row r="3" spans="1:18">
      <c r="A3" t="str">
        <f>IFERROR(RIGHT(Lists!A51,LEN(Lists!A51)-5),"")</f>
        <v>Multilingüismo e interculturalidad</v>
      </c>
      <c r="B3" t="str">
        <f>IFERROR(RIGHT(Lists!B51,LEN(Lists!B51)-5),"")</f>
        <v>Competencias digitales</v>
      </c>
      <c r="C3" t="str">
        <f>IFERROR(RIGHT(Lists!C51,LEN(Lists!C51)-5),"")</f>
        <v>Programas académicos con calidad y pertinencia regional</v>
      </c>
      <c r="D3" s="100" t="str">
        <f>IFERROR(RIGHT(Lists!D51,LEN(Lists!D51)-5),"")</f>
        <v>Política de Educación Inclusiva e Intercultural</v>
      </c>
      <c r="E3" t="str">
        <f>IFERROR(RIGHT(Lists!E51,LEN(Lists!E51)-5),"")</f>
        <v>Excelencia académica</v>
      </c>
      <c r="F3" t="str">
        <f>IFERROR(RIGHT(Lists!F51,LEN(Lists!F51)-5),"")</f>
        <v>Desarrollo de las artes, la creación y la investigación creación</v>
      </c>
      <c r="G3" t="str">
        <f>IFERROR(RIGHT(Lists!G51,LEN(Lists!G51)-5),"")</f>
        <v>Desarrollo de la investigación básica y aplicada con impacto en  aspectos sociales, políticos, culturales, económicos y/o tecnológicos en los contextos regional, nacional e internacional</v>
      </c>
      <c r="H3" t="str">
        <f>IFERROR(RIGHT(Lists!H51,LEN(Lists!H51)-5),"")</f>
        <v>Apropiación de proyectos de investigación de base tecnológica</v>
      </c>
      <c r="I3" s="100" t="str">
        <f>IFERROR(RIGHT(Lists!I51,LEN(Lists!I51)-5),"")</f>
        <v xml:space="preserve">Fortalecimiento de los programas de educación contínua con  pertinencia regional, nacional e internacional a través de la modernización de los procesos. </v>
      </c>
      <c r="J3" t="str">
        <f>IFERROR(RIGHT(Lists!J51,LEN(Lists!J51)-5),"")</f>
        <v>Gestión de alianzas, convenios y proyectos para el  fomento del desarrollo  sostenible según la agenda (ODS), regional, nacional e internacional</v>
      </c>
      <c r="K3" t="str">
        <f>IFERROR(RIGHT(Lists!K51,LEN(Lists!K51)-5),"")</f>
        <v>Fortalecimiento de los procesos de promoción y acceso a la cultura de la población.</v>
      </c>
      <c r="L3" s="100" t="str">
        <f>IFERROR(RIGHT(Lists!L51,LEN(Lists!L51)-5),"")</f>
        <v>Creación de políticas institucionales en RSU</v>
      </c>
      <c r="M3" t="str">
        <f>IFERROR(RIGHT(Lists!M51,LEN(Lists!M51)-5),"")</f>
        <v>Promoción al acceso, permanencia y graduación estudiantil</v>
      </c>
      <c r="N3" t="str">
        <f>IFERROR(RIGHT(Lists!N51,LEN(Lists!N51)-5),"")</f>
        <v>Cultura ciudadana, equidad y convivencia</v>
      </c>
      <c r="O3" t="str">
        <f>IFERROR(RIGHT(Lists!O51,LEN(Lists!O51)-5),"")</f>
        <v>Promoción y mantenimiento de la salud en la comunidad universitaria</v>
      </c>
      <c r="P3" t="str">
        <f>IFERROR(RIGHT(Lists!P51,LEN(Lists!P51)-5),"")</f>
        <v xml:space="preserve">Mejoramiento y efectividad de procesos administrativos y académicos. </v>
      </c>
      <c r="Q3" t="str">
        <f>IFERROR(RIGHT(Lists!Q51,LEN(Lists!Q51)-5),"")</f>
        <v>Equidad, bienestar y desarrollo laboral</v>
      </c>
      <c r="R3" t="str">
        <f>IFERROR(RIGHT(Lists!R51,LEN(Lists!R51)-5),"")</f>
        <v>Diseño y adecuación de infraestructura inclusiva, sostenible y especializada en todas las sedes.</v>
      </c>
    </row>
    <row r="4" spans="1:18">
      <c r="A4" t="str">
        <f>IFERROR(RIGHT(Lists!A52,LEN(Lists!A52)-5),"")</f>
        <v>Movilidad académica estudiantil y docente</v>
      </c>
      <c r="B4" t="str">
        <f>IFERROR(RIGHT(Lists!B52,LEN(Lists!B52)-5),"")</f>
        <v>Fortalecimiento de recursos digitales para la docencia</v>
      </c>
      <c r="C4" t="str">
        <f>IFERROR(RIGHT(Lists!C52,LEN(Lists!C52)-5),"")</f>
        <v>Acceso de población rural a programas académicos</v>
      </c>
      <c r="D4" s="100" t="str">
        <f>IFERROR(RIGHT(Lists!D52,LEN(Lists!D52)-5),"")</f>
        <v>Articulación con la educación básica y media para el fortalecimiento de los procesos de educación inclusiva</v>
      </c>
      <c r="E4" t="str">
        <f>IFERROR(RIGHT(Lists!E52,LEN(Lists!E52)-5),"")</f>
        <v>Ampliación y diversificación de la oferta académica</v>
      </c>
      <c r="F4" t="str">
        <f>IFERROR(RIGHT(Lists!F52,LEN(Lists!F52)-5),"")</f>
        <v xml:space="preserve">Laboratorio de investigación creación </v>
      </c>
      <c r="G4" t="str">
        <f>IFERROR(RIGHT(Lists!G52,LEN(Lists!G52)-5),"")</f>
        <v>Movilidad docente para el fortalecimiento de la investigación</v>
      </c>
      <c r="H4" t="str">
        <f>IFERROR(RIGHT(Lists!H52,LEN(Lists!H52)-5),"")</f>
        <v>Consolidación del Centro de Investigaciones Científicas y Tecnológicas de la Universidad del Atlántico</v>
      </c>
      <c r="I4" s="100" t="str">
        <f>IFERROR(RIGHT(Lists!I52,LEN(Lists!I52)-5),"")</f>
        <v/>
      </c>
      <c r="J4" t="str">
        <f>IFERROR(RIGHT(Lists!J52,LEN(Lists!J52)-5),"")</f>
        <v>Fortalecimiento de la gestión de la Innovación y emprendimiento</v>
      </c>
      <c r="K4" t="str">
        <f>IFERROR(RIGHT(Lists!K52,LEN(Lists!K52)-5),"")</f>
        <v>Divulgación y posicionamiento de productos artísticos y museográficos.</v>
      </c>
      <c r="L4" s="100" t="str">
        <f>IFERROR(RIGHT(Lists!L52,LEN(Lists!L52)-5),"")</f>
        <v xml:space="preserve">Fortalecer la participación en las iniciativas locales y globales de la agenda 2030 para el desarrollo sostenible. </v>
      </c>
      <c r="M4" t="str">
        <f>IFERROR(RIGHT(Lists!M52,LEN(Lists!M52)-5),"")</f>
        <v>Fortalecimiento de ayudas socioeconómicas para el éxito estudiantil</v>
      </c>
      <c r="N4" t="str">
        <f>IFERROR(RIGHT(Lists!N52,LEN(Lists!N52)-5),"")</f>
        <v>Territorio artístico y cultural que construye una sociedad diversa e inclusiva</v>
      </c>
      <c r="O4" t="str">
        <f>IFERROR(RIGHT(Lists!O52,LEN(Lists!O52)-5),"")</f>
        <v>Yo trabajo con bienestar integral</v>
      </c>
      <c r="P4" t="str">
        <f>IFERROR(RIGHT(Lists!P52,LEN(Lists!P52)-5),"")</f>
        <v>Modernización de las herramientas tecnológicas y los sistemas de gestión.</v>
      </c>
      <c r="Q4" t="str">
        <f>IFERROR(RIGHT(Lists!Q52,LEN(Lists!Q52)-5),"")</f>
        <v/>
      </c>
      <c r="R4" t="str">
        <f>IFERROR(RIGHT(Lists!R52,LEN(Lists!R52)-5),"")</f>
        <v xml:space="preserve">Sostenimiento de la infraestructura física en todas las sedes. </v>
      </c>
    </row>
    <row r="5" spans="1:18">
      <c r="A5" t="str">
        <f>IFERROR(RIGHT(Lists!A53,LEN(Lists!A53)-5),"")</f>
        <v>Internacionalización en casa y curricular</v>
      </c>
      <c r="B5" t="str">
        <f>IFERROR(RIGHT(Lists!B53,LEN(Lists!B53)-5),"")</f>
        <v>Ampliación de la educación digital</v>
      </c>
      <c r="C5" t="str">
        <f>IFERROR(RIGHT(Lists!C53,LEN(Lists!C53)-5),"")</f>
        <v>Articulación de la docencia con la investigación y extensión en región</v>
      </c>
      <c r="D5" s="100" t="str">
        <f>IFERROR(RIGHT(Lists!D53,LEN(Lists!D53)-5),"")</f>
        <v>Materiales accesibles diseñados, creados y adaptados para población diversa</v>
      </c>
      <c r="E5" t="str">
        <f>IFERROR(RIGHT(Lists!E53,LEN(Lists!E53)-5),"")</f>
        <v xml:space="preserve">Gestión y mejoramiento curricular </v>
      </c>
      <c r="F5" t="str">
        <f>IFERROR(RIGHT(Lists!F53,LEN(Lists!F53)-5),"")</f>
        <v/>
      </c>
      <c r="G5" t="str">
        <f>IFERROR(RIGHT(Lists!G53,LEN(Lists!G53)-5),"")</f>
        <v>Articulación con el sector externo para el fortalecimiento de la investigación</v>
      </c>
      <c r="H5" t="str">
        <f>IFERROR(RIGHT(Lists!H53,LEN(Lists!H53)-5),"")</f>
        <v/>
      </c>
      <c r="I5" s="100" t="str">
        <f>IFERROR(RIGHT(Lists!I53,LEN(Lists!I53)-5),"")</f>
        <v/>
      </c>
      <c r="J5" t="str">
        <f>IFERROR(RIGHT(Lists!J53,LEN(Lists!J53)-5),"")</f>
        <v>Proyección de los egresados como generadores de transformación y construcción social.</v>
      </c>
      <c r="K5" t="str">
        <f>IFERROR(RIGHT(Lists!K53,LEN(Lists!K53)-5),"")</f>
        <v>Fortalecimiento a la gestión de actividades, proyectos y programas de proyección social.</v>
      </c>
      <c r="L5" s="100" t="str">
        <f>IFERROR(RIGHT(Lists!L53,LEN(Lists!L53)-5),"")</f>
        <v xml:space="preserve">Posicionamiento del servicio social  de  asesoría  jurídica, representación  legal  y  litigio  estratégico del  consultorio  jurídico  y Centro de  Conciliación como solucionadores y mediadores de conflictos socio-jurídicos.  </v>
      </c>
      <c r="M5" t="str">
        <f>IFERROR(RIGHT(Lists!M53,LEN(Lists!M53)-5),"")</f>
        <v/>
      </c>
      <c r="N5" t="str">
        <f>IFERROR(RIGHT(Lists!N53,LEN(Lists!N53)-5),"")</f>
        <v/>
      </c>
      <c r="O5" t="str">
        <f>IFERROR(RIGHT(Lists!O53,LEN(Lists!O53)-5),"")</f>
        <v>Integración deportiva y participación en la sociedad</v>
      </c>
      <c r="P5" t="str">
        <f>IFERROR(RIGHT(Lists!P53,LEN(Lists!P53)-5),"")</f>
        <v xml:space="preserve">Planeación estratégica y fortalecimiento de los sistemas de gestión. </v>
      </c>
      <c r="Q5" t="str">
        <f>IFERROR(RIGHT(Lists!Q53,LEN(Lists!Q53)-5),"")</f>
        <v/>
      </c>
      <c r="R5" t="str">
        <f>IFERROR(RIGHT(Lists!R53,LEN(Lists!R53)-5),"")</f>
        <v xml:space="preserve">Campus atractivo armónico con el medio ambiente. </v>
      </c>
    </row>
    <row r="6" spans="1:18">
      <c r="A6" t="str">
        <f>IFERROR(RIGHT(Lists!A54,LEN(Lists!A54)-5),"")</f>
        <v/>
      </c>
      <c r="B6" t="str">
        <f>IFERROR(RIGHT(Lists!B54,LEN(Lists!B54)-5),"")</f>
        <v/>
      </c>
      <c r="C6" t="str">
        <f>IFERROR(RIGHT(Lists!C54,LEN(Lists!C54)-5),"")</f>
        <v/>
      </c>
      <c r="D6" s="100" t="str">
        <f>IFERROR(RIGHT(Lists!D54,LEN(Lists!D54)-5),"")</f>
        <v>Formación para la transformación institucional basado en educación inclusiva, intercultural y pluridiversa</v>
      </c>
      <c r="E6" t="str">
        <f>IFERROR(RIGHT(Lists!E54,LEN(Lists!E54)-5),"")</f>
        <v>Fortalecimiento de las capacidades del capital humano docente</v>
      </c>
      <c r="F6" t="str">
        <f>IFERROR(RIGHT(Lists!F54,LEN(Lists!F54)-5),"")</f>
        <v/>
      </c>
      <c r="G6" t="str">
        <f>IFERROR(RIGHT(Lists!G54,LEN(Lists!G54)-5),"")</f>
        <v/>
      </c>
      <c r="H6" t="str">
        <f>IFERROR(RIGHT(Lists!H54,LEN(Lists!H54)-5),"")</f>
        <v/>
      </c>
      <c r="I6" s="100" t="str">
        <f>IFERROR(RIGHT(Lists!I54,LEN(Lists!I54)-5),"")</f>
        <v/>
      </c>
      <c r="J6" t="str">
        <f>IFERROR(RIGHT(Lists!J54,LEN(Lists!J54)-5),"")</f>
        <v>Creación del Observatorio de Productividad y Desarrollo Social</v>
      </c>
      <c r="K6" t="str">
        <f>IFERROR(RIGHT(Lists!K54,LEN(Lists!K54)-5),"")</f>
        <v/>
      </c>
      <c r="L6" s="100" t="str">
        <f>IFERROR(RIGHT(Lists!L54,LEN(Lists!L54)-5),"")</f>
        <v>Fortalecimiento de la función social de la universidad, en temas de memoria, identidad y patrimonio.</v>
      </c>
      <c r="M6" t="str">
        <f>IFERROR(RIGHT(Lists!M54,LEN(Lists!M54)-5),"")</f>
        <v/>
      </c>
      <c r="N6" t="str">
        <f>IFERROR(RIGHT(Lists!N54,LEN(Lists!N54)-5),"")</f>
        <v/>
      </c>
      <c r="O6" t="str">
        <f>IFERROR(RIGHT(Lists!O54,LEN(Lists!O54)-5),"")</f>
        <v/>
      </c>
      <c r="P6" t="str">
        <f>IFERROR(RIGHT(Lists!P54,LEN(Lists!P54)-5),"")</f>
        <v xml:space="preserve">Fomento de sostenibilidad ambiental.  </v>
      </c>
      <c r="Q6" t="str">
        <f>IFERROR(RIGHT(Lists!Q54,LEN(Lists!Q54)-5),"")</f>
        <v/>
      </c>
      <c r="R6" t="str">
        <f>IFERROR(RIGHT(Lists!R54,LEN(Lists!R54)-5),"")</f>
        <v>Dotación y mantenimiento de infraestructura de redes de comunicación e infraestructura computacional.</v>
      </c>
    </row>
    <row r="7" spans="1:18">
      <c r="A7" t="str">
        <f>IFERROR(RIGHT(Lists!A55,LEN(Lists!A55)-5),"")</f>
        <v/>
      </c>
      <c r="B7" t="str">
        <f>IFERROR(RIGHT(Lists!B55,LEN(Lists!B55)-5),"")</f>
        <v/>
      </c>
      <c r="C7" t="str">
        <f>IFERROR(RIGHT(Lists!C55,LEN(Lists!C55)-5),"")</f>
        <v/>
      </c>
      <c r="D7" s="100" t="str">
        <f>IFERROR(RIGHT(Lists!D55,LEN(Lists!D55)-5),"")</f>
        <v/>
      </c>
      <c r="E7" t="str">
        <f>IFERROR(RIGHT(Lists!E55,LEN(Lists!E55)-5),"")</f>
        <v/>
      </c>
      <c r="F7" t="str">
        <f>IFERROR(RIGHT(Lists!F55,LEN(Lists!F55)-5),"")</f>
        <v/>
      </c>
      <c r="G7" t="str">
        <f>IFERROR(RIGHT(Lists!G55,LEN(Lists!G55)-5),"")</f>
        <v/>
      </c>
      <c r="H7" t="str">
        <f>IFERROR(RIGHT(Lists!H55,LEN(Lists!H55)-5),"")</f>
        <v/>
      </c>
      <c r="I7" s="100" t="str">
        <f>IFERROR(RIGHT(Lists!I55,LEN(Lists!I55)-5),"")</f>
        <v/>
      </c>
      <c r="J7" t="str">
        <f>IFERROR(RIGHT(Lists!J55,LEN(Lists!J55)-5),"")</f>
        <v/>
      </c>
      <c r="K7" t="str">
        <f>IFERROR(RIGHT(Lists!K55,LEN(Lists!K55)-5),"")</f>
        <v/>
      </c>
      <c r="L7" s="100" t="str">
        <f>IFERROR(RIGHT(Lists!L55,LEN(Lists!L55)-5),"")</f>
        <v/>
      </c>
      <c r="M7" t="str">
        <f>IFERROR(RIGHT(Lists!M55,LEN(Lists!M55)-5),"")</f>
        <v/>
      </c>
      <c r="N7" t="str">
        <f>IFERROR(RIGHT(Lists!N55,LEN(Lists!N55)-5),"")</f>
        <v/>
      </c>
      <c r="O7" t="str">
        <f>IFERROR(RIGHT(Lists!O55,LEN(Lists!O55)-5),"")</f>
        <v/>
      </c>
      <c r="P7" t="str">
        <f>IFERROR(RIGHT(Lists!P55,LEN(Lists!P55)-5),"")</f>
        <v>Comunicación organizacional y logística institucional.</v>
      </c>
      <c r="Q7" t="str">
        <f>IFERROR(RIGHT(Lists!Q55,LEN(Lists!Q55)-5),"")</f>
        <v/>
      </c>
      <c r="R7" t="str">
        <f>IFERROR(RIGHT(Lists!R55,LEN(Lists!R55)-5),"")</f>
        <v>Dotación de espacios administrativos y académicos.</v>
      </c>
    </row>
    <row r="8" spans="1:18">
      <c r="A8" t="str">
        <f>IFERROR(RIGHT(Lists!A56,LEN(Lists!A56)-5),"")</f>
        <v/>
      </c>
      <c r="B8" t="str">
        <f>IFERROR(RIGHT(Lists!B56,LEN(Lists!B56)-5),"")</f>
        <v/>
      </c>
      <c r="C8" t="str">
        <f>IFERROR(RIGHT(Lists!C56,LEN(Lists!C56)-5),"")</f>
        <v/>
      </c>
      <c r="D8" s="100" t="str">
        <f>IFERROR(RIGHT(Lists!D56,LEN(Lists!D56)-5),"")</f>
        <v/>
      </c>
      <c r="E8" t="str">
        <f>IFERROR(RIGHT(Lists!E56,LEN(Lists!E56)-5),"")</f>
        <v/>
      </c>
      <c r="F8" t="str">
        <f>IFERROR(RIGHT(Lists!F56,LEN(Lists!F56)-5),"")</f>
        <v/>
      </c>
      <c r="G8" t="str">
        <f>IFERROR(RIGHT(Lists!G56,LEN(Lists!G56)-5),"")</f>
        <v/>
      </c>
      <c r="H8" t="str">
        <f>IFERROR(RIGHT(Lists!H56,LEN(Lists!H56)-5),"")</f>
        <v/>
      </c>
      <c r="I8" s="100" t="str">
        <f>IFERROR(RIGHT(Lists!I56,LEN(Lists!I56)-5),"")</f>
        <v/>
      </c>
      <c r="J8" t="str">
        <f>IFERROR(RIGHT(Lists!J56,LEN(Lists!J56)-5),"")</f>
        <v/>
      </c>
      <c r="K8" t="str">
        <f>IFERROR(RIGHT(Lists!K56,LEN(Lists!K56)-5),"")</f>
        <v/>
      </c>
      <c r="L8" s="100" t="str">
        <f>IFERROR(RIGHT(Lists!L56,LEN(Lists!L56)-5),"")</f>
        <v/>
      </c>
      <c r="M8" t="str">
        <f>IFERROR(RIGHT(Lists!M56,LEN(Lists!M56)-5),"")</f>
        <v/>
      </c>
      <c r="N8" t="str">
        <f>IFERROR(RIGHT(Lists!N56,LEN(Lists!N56)-5),"")</f>
        <v/>
      </c>
      <c r="O8" t="str">
        <f>IFERROR(RIGHT(Lists!O56,LEN(Lists!O56)-5),"")</f>
        <v/>
      </c>
      <c r="P8" t="str">
        <f>IFERROR(RIGHT(Lists!P56,LEN(Lists!P56)-5),"")</f>
        <v>Cooperación internacional y relacionamiento estratégico.</v>
      </c>
      <c r="Q8" t="str">
        <f>IFERROR(RIGHT(Lists!Q56,LEN(Lists!Q56)-5),"")</f>
        <v/>
      </c>
      <c r="R8" t="str">
        <f>IFERROR(RIGHT(Lists!R56,LEN(Lists!R56)-5),"")</f>
        <v/>
      </c>
    </row>
    <row r="9" spans="1:18">
      <c r="A9" t="str">
        <f>IFERROR(RIGHT(Lists!A57,LEN(Lists!A57)-5),"")</f>
        <v/>
      </c>
      <c r="B9" t="str">
        <f>IFERROR(RIGHT(Lists!B57,LEN(Lists!B57)-5),"")</f>
        <v/>
      </c>
      <c r="C9" t="str">
        <f>IFERROR(RIGHT(Lists!C57,LEN(Lists!C57)-5),"")</f>
        <v/>
      </c>
      <c r="D9" s="100" t="str">
        <f>IFERROR(RIGHT(Lists!D57,LEN(Lists!D57)-5),"")</f>
        <v/>
      </c>
      <c r="E9" t="str">
        <f>IFERROR(RIGHT(Lists!E57,LEN(Lists!E57)-5),"")</f>
        <v/>
      </c>
      <c r="F9" t="str">
        <f>IFERROR(RIGHT(Lists!F57,LEN(Lists!F57)-5),"")</f>
        <v/>
      </c>
      <c r="G9" t="str">
        <f>IFERROR(RIGHT(Lists!G57,LEN(Lists!G57)-5),"")</f>
        <v/>
      </c>
      <c r="H9" t="str">
        <f>IFERROR(RIGHT(Lists!H57,LEN(Lists!H57)-5),"")</f>
        <v/>
      </c>
      <c r="I9" s="100" t="str">
        <f>IFERROR(RIGHT(Lists!I57,LEN(Lists!I57)-5),"")</f>
        <v/>
      </c>
      <c r="J9" t="str">
        <f>IFERROR(RIGHT(Lists!J57,LEN(Lists!J57)-5),"")</f>
        <v/>
      </c>
      <c r="K9" t="str">
        <f>IFERROR(RIGHT(Lists!K57,LEN(Lists!K57)-5),"")</f>
        <v/>
      </c>
      <c r="L9" s="100" t="str">
        <f>IFERROR(RIGHT(Lists!L57,LEN(Lists!L57)-5),"")</f>
        <v/>
      </c>
      <c r="M9" t="str">
        <f>IFERROR(RIGHT(Lists!M57,LEN(Lists!M57)-5),"")</f>
        <v/>
      </c>
      <c r="N9" t="str">
        <f>IFERROR(RIGHT(Lists!N57,LEN(Lists!N57)-5),"")</f>
        <v/>
      </c>
      <c r="O9" t="str">
        <f>IFERROR(RIGHT(Lists!O57,LEN(Lists!O57)-5),"")</f>
        <v/>
      </c>
      <c r="P9" t="str">
        <f>IFERROR(RIGHT(Lists!P57,LEN(Lists!P57)-5),"")</f>
        <v/>
      </c>
      <c r="Q9" t="str">
        <f>IFERROR(RIGHT(Lists!Q57,LEN(Lists!Q57)-5),"")</f>
        <v/>
      </c>
      <c r="R9" t="str">
        <f>IFERROR(RIGHT(Lists!R57,LEN(Lists!R57)-5),"")</f>
        <v/>
      </c>
    </row>
    <row r="10" spans="1:18">
      <c r="A10" t="str">
        <f>IFERROR(RIGHT(Lists!A58,LEN(Lists!A58)-5),"")</f>
        <v/>
      </c>
      <c r="B10" t="str">
        <f>IFERROR(RIGHT(Lists!B58,LEN(Lists!B58)-5),"")</f>
        <v/>
      </c>
      <c r="C10" t="str">
        <f>IFERROR(RIGHT(Lists!C58,LEN(Lists!C58)-5),"")</f>
        <v/>
      </c>
      <c r="D10" s="100" t="str">
        <f>IFERROR(RIGHT(Lists!D58,LEN(Lists!D58)-5),"")</f>
        <v/>
      </c>
      <c r="E10" t="str">
        <f>IFERROR(RIGHT(Lists!E58,LEN(Lists!E58)-5),"")</f>
        <v/>
      </c>
      <c r="F10" t="str">
        <f>IFERROR(RIGHT(Lists!F58,LEN(Lists!F58)-5),"")</f>
        <v/>
      </c>
      <c r="G10" t="str">
        <f>IFERROR(RIGHT(Lists!G58,LEN(Lists!G58)-5),"")</f>
        <v/>
      </c>
      <c r="H10" t="str">
        <f>IFERROR(RIGHT(Lists!H58,LEN(Lists!H58)-5),"")</f>
        <v/>
      </c>
      <c r="I10" s="100" t="str">
        <f>IFERROR(RIGHT(Lists!I58,LEN(Lists!I58)-5),"")</f>
        <v/>
      </c>
      <c r="J10" t="str">
        <f>IFERROR(RIGHT(Lists!J58,LEN(Lists!J58)-5),"")</f>
        <v/>
      </c>
      <c r="K10" t="str">
        <f>IFERROR(RIGHT(Lists!K58,LEN(Lists!K58)-5),"")</f>
        <v/>
      </c>
      <c r="L10" s="100" t="str">
        <f>IFERROR(RIGHT(Lists!L58,LEN(Lists!L58)-5),"")</f>
        <v/>
      </c>
      <c r="M10" t="str">
        <f>IFERROR(RIGHT(Lists!M58,LEN(Lists!M58)-5),"")</f>
        <v/>
      </c>
      <c r="N10" t="str">
        <f>IFERROR(RIGHT(Lists!N58,LEN(Lists!N58)-5),"")</f>
        <v/>
      </c>
      <c r="O10" t="str">
        <f>IFERROR(RIGHT(Lists!O58,LEN(Lists!O58)-5),"")</f>
        <v/>
      </c>
      <c r="P10" t="str">
        <f>IFERROR(RIGHT(Lists!P58,LEN(Lists!P58)-5),"")</f>
        <v/>
      </c>
      <c r="Q10" t="str">
        <f>IFERROR(RIGHT(Lists!Q58,LEN(Lists!Q58)-5),"")</f>
        <v/>
      </c>
      <c r="R10" t="str">
        <f>IFERROR(RIGHT(Lists!R58,LEN(Lists!R58)-5),"")</f>
        <v/>
      </c>
    </row>
    <row r="11" spans="1:18">
      <c r="A11" t="str">
        <f>IFERROR(RIGHT(Lists!A59,LEN(Lists!A59)-5),"")</f>
        <v/>
      </c>
      <c r="B11" t="str">
        <f>IFERROR(RIGHT(Lists!B59,LEN(Lists!B59)-5),"")</f>
        <v/>
      </c>
      <c r="C11" t="str">
        <f>IFERROR(RIGHT(Lists!C59,LEN(Lists!C59)-5),"")</f>
        <v/>
      </c>
      <c r="D11" s="102" t="str">
        <f>IFERROR(RIGHT(Lists!D59,LEN(Lists!D59)-5),"")</f>
        <v/>
      </c>
      <c r="E11" t="str">
        <f>IFERROR(RIGHT(Lists!E59,LEN(Lists!E59)-5),"")</f>
        <v/>
      </c>
      <c r="F11" t="str">
        <f>IFERROR(RIGHT(Lists!F59,LEN(Lists!F59)-5),"")</f>
        <v/>
      </c>
      <c r="G11" t="str">
        <f>IFERROR(RIGHT(Lists!G59,LEN(Lists!G59)-5),"")</f>
        <v/>
      </c>
      <c r="H11" t="str">
        <f>IFERROR(RIGHT(Lists!H59,LEN(Lists!H59)-5),"")</f>
        <v/>
      </c>
      <c r="I11" s="102" t="str">
        <f>IFERROR(RIGHT(Lists!#REF!,LEN(Lists!#REF!)-5),"")</f>
        <v/>
      </c>
      <c r="J11" t="s">
        <v>669</v>
      </c>
      <c r="K11">
        <v>1</v>
      </c>
      <c r="L11" s="102"/>
      <c r="M11" t="s">
        <v>672</v>
      </c>
      <c r="N11" t="s">
        <v>784</v>
      </c>
      <c r="O11" t="str">
        <f>IFERROR(RIGHT(Lists!N59,LEN(Lists!N59)-5),"")</f>
        <v/>
      </c>
      <c r="P11" t="str">
        <f>IFERROR(RIGHT(Lists!O59,LEN(Lists!O59)-5),"")</f>
        <v/>
      </c>
      <c r="Q11" t="str">
        <f>IFERROR(RIGHT(Lists!P59,LEN(Lists!P59)-5),"")</f>
        <v/>
      </c>
      <c r="R11" t="str">
        <f>IFERROR(RIGHT(Lists!Q59,LEN(Lists!Q59)-5),"")</f>
        <v/>
      </c>
    </row>
    <row r="12" spans="1:18">
      <c r="D12" s="102"/>
      <c r="I12" s="102"/>
      <c r="J12" t="s">
        <v>670</v>
      </c>
      <c r="K12">
        <v>2</v>
      </c>
      <c r="L12" s="102"/>
    </row>
    <row r="13" spans="1:18">
      <c r="D13" s="102"/>
      <c r="I13" s="102"/>
      <c r="J13" t="s">
        <v>671</v>
      </c>
      <c r="K13">
        <v>3</v>
      </c>
      <c r="L13" s="102"/>
    </row>
    <row r="14" spans="1:18">
      <c r="A14" t="str">
        <f>IFERROR(RIGHT(Lists!I2,LEN(Lists!I2)),"")</f>
        <v>L1 - Formación Académica Integral</v>
      </c>
      <c r="B14" t="str">
        <f>IFERROR(RIGHT(Lists!J2,LEN(Lists!J2)),"")</f>
        <v>L2 - Investigación y Redes de conocimiento para el desarrollo de la sociedad</v>
      </c>
      <c r="C14" t="str">
        <f>IFERROR(RIGHT(Lists!K2,LEN(Lists!K2)),"")</f>
        <v>L3 - Impacto regional, Nacional e Internacional desde la Extensión y proyección social</v>
      </c>
      <c r="D14" s="102" t="str">
        <f>IFERROR(RIGHT(Lists!L2,LEN(Lists!L2)),"")</f>
        <v>L4 - Bienestar Universitario, Salud mental positiva, Inclusión y Democracia.</v>
      </c>
      <c r="E14" t="str">
        <f>IFERROR(RIGHT(Lists!M2,LEN(Lists!M2)),"")</f>
        <v xml:space="preserve">L5 - Modernización de la Gestión Administrativa </v>
      </c>
      <c r="J14" t="s">
        <v>672</v>
      </c>
      <c r="K14">
        <v>4</v>
      </c>
    </row>
    <row r="15" spans="1:18" ht="18.95" customHeight="1">
      <c r="A15" s="88" t="str">
        <f>IFERROR(RIGHT(Lists!I3,LEN(Lists!I3)-5),"")</f>
        <v>Internacionalización y multilingüismo.</v>
      </c>
      <c r="B15" s="88" t="str">
        <f>IFERROR(RIGHT(Lists!J3,LEN(Lists!J3)-5),"")</f>
        <v>Creación o investigación creación.</v>
      </c>
      <c r="C15" s="88" t="str">
        <f>IFERROR(RIGHT(Lists!K3,LEN(Lists!K3)-5),"")</f>
        <v xml:space="preserve">Educación continua y formación avanzada con enfoque global. </v>
      </c>
      <c r="D15" s="105" t="str">
        <f>IFERROR(RIGHT(Lists!L3,LEN(Lists!L3)-5),"")</f>
        <v>Fortalecimiento para la permanencia y graduación oportuna</v>
      </c>
      <c r="E15" s="88" t="str">
        <f>IFERROR(RIGHT(Lists!M3,LEN(Lists!M3)-5),"")</f>
        <v>Fortalecimiento institucional</v>
      </c>
      <c r="F15" s="88"/>
      <c r="J15" t="s">
        <v>784</v>
      </c>
      <c r="K15">
        <v>7</v>
      </c>
    </row>
    <row r="16" spans="1:18" ht="13.5" customHeight="1">
      <c r="A16" t="str">
        <f>IFERROR(RIGHT(Lists!I4,LEN(Lists!I4)-5),"")</f>
        <v>Transformación digital</v>
      </c>
      <c r="B16" t="str">
        <f>IFERROR(RIGHT(Lists!J4,LEN(Lists!J4)-5),"")</f>
        <v xml:space="preserve">Investigación y desarrollo científico. </v>
      </c>
      <c r="C16" t="str">
        <f>IFERROR(RIGHT(Lists!K4,LEN(Lists!K4)-5),"")</f>
        <v>Articulación con el sector productivo y sociedad.</v>
      </c>
      <c r="D16" s="100" t="str">
        <f>IFERROR(RIGHT(Lists!L4,LEN(Lists!L4)-5),"")</f>
        <v>Cultura ciudadana, cultura política, equidad de género e inclusión</v>
      </c>
      <c r="E16" t="str">
        <f>IFERROR(RIGHT(Lists!M4,LEN(Lists!M4)-5),"")</f>
        <v>Fortalecimiento de la estructura organizativa y del talento humano.</v>
      </c>
    </row>
    <row r="17" spans="1:21" ht="15.6" customHeight="1">
      <c r="A17" t="str">
        <f>IFERROR(RIGHT(Lists!I5,LEN(Lists!I5)-5),"")</f>
        <v>Regionalización en contexto</v>
      </c>
      <c r="B17" t="str">
        <f>IFERROR(RIGHT(Lists!J5,LEN(Lists!J5)-5),"")</f>
        <v>Innovación y desarrollo tecnológico.</v>
      </c>
      <c r="C17" t="str">
        <f>IFERROR(RIGHT(Lists!K5,LEN(Lists!K5)-5),"")</f>
        <v>Gestión social, artística y cultural</v>
      </c>
      <c r="D17" s="100" t="str">
        <f>IFERROR(RIGHT(Lists!L5,LEN(Lists!L5)-5),"")</f>
        <v>Salud mental positiva y Desarrollo humano integral</v>
      </c>
      <c r="E17" t="str">
        <f>IFERROR(RIGHT(Lists!M5,LEN(Lists!M5)-5),"")</f>
        <v>Infraestructura y dotación adecuada</v>
      </c>
    </row>
    <row r="18" spans="1:21" ht="13.5" customHeight="1">
      <c r="A18" t="str">
        <f>IFERROR(RIGHT(Lists!I6,LEN(Lists!I6)-5),"")</f>
        <v>Procesos académicos inclusivos e interculturales</v>
      </c>
      <c r="B18" t="str">
        <f>IFERROR(RIGHT(Lists!J6,LEN(Lists!J6)-5),"")</f>
        <v/>
      </c>
      <c r="C18" t="str">
        <f>IFERROR(RIGHT(Lists!K6,LEN(Lists!K6)-5),"")</f>
        <v xml:space="preserve">Responsabilidad social universitaria RSU.  </v>
      </c>
      <c r="D18" s="100" t="str">
        <f>IFERROR(RIGHT(Lists!L6,LEN(Lists!L6)-5),"")</f>
        <v/>
      </c>
      <c r="E18" t="str">
        <f>IFERROR(RIGHT(Lists!M6,LEN(Lists!M6)-5),"")</f>
        <v/>
      </c>
    </row>
    <row r="19" spans="1:21" ht="12" customHeight="1">
      <c r="A19" t="str">
        <f>IFERROR(RIGHT(Lists!I7,LEN(Lists!I7)-5),"")</f>
        <v>Autoevaluación y acreditación Institucional y de programas académicos en el contexto nacional e internacional</v>
      </c>
      <c r="B19" t="str">
        <f>IFERROR(RIGHT(Lists!J7,LEN(Lists!J7)-5),"")</f>
        <v/>
      </c>
      <c r="C19" t="str">
        <f>IFERROR(RIGHT(Lists!K7,LEN(Lists!K7)-5),"")</f>
        <v/>
      </c>
      <c r="D19" s="100" t="str">
        <f>IFERROR(RIGHT(Lists!L7,LEN(Lists!L7)-5),"")</f>
        <v/>
      </c>
      <c r="E19" t="str">
        <f>IFERROR(RIGHT(Lists!M7,LEN(Lists!M7)-5),"")</f>
        <v/>
      </c>
    </row>
    <row r="20" spans="1:21" ht="13.5" customHeight="1" thickBot="1">
      <c r="A20" s="89" t="str">
        <f>IFERROR(RIGHT(Lists!I8,LEN(Lists!I8)-5),"")</f>
        <v/>
      </c>
      <c r="B20" s="89" t="str">
        <f>IFERROR(RIGHT(Lists!J8,LEN(Lists!J8)-5),"")</f>
        <v/>
      </c>
      <c r="C20" s="89" t="str">
        <f>IFERROR(RIGHT(Lists!K8,LEN(Lists!K8)-5),"")</f>
        <v/>
      </c>
      <c r="D20" s="106" t="str">
        <f>IFERROR(RIGHT(Lists!L8,LEN(Lists!L8)-5),"")</f>
        <v/>
      </c>
      <c r="E20" s="89" t="str">
        <f>IFERROR(RIGHT(Lists!M8,LEN(Lists!M8)-5),"")</f>
        <v/>
      </c>
      <c r="F20" s="89"/>
    </row>
    <row r="27" spans="1:21">
      <c r="B27">
        <f>MATCH(RIGHT(G31,LEN(G31)-5),$A$15:$E$15,0)</f>
        <v>1</v>
      </c>
    </row>
    <row r="29" spans="1:21">
      <c r="K29" t="str">
        <f>"Proyectos "&amp;CHAR(10)&amp;SUBTOTAL(103,K31:K223)</f>
        <v>Proyectos 
55</v>
      </c>
    </row>
    <row r="30" spans="1:21">
      <c r="A30" t="s">
        <v>768</v>
      </c>
      <c r="B30" t="s">
        <v>769</v>
      </c>
      <c r="C30" t="s">
        <v>689</v>
      </c>
      <c r="D30" s="100" t="s">
        <v>770</v>
      </c>
      <c r="E30" t="s">
        <v>771</v>
      </c>
      <c r="F30" t="s">
        <v>772</v>
      </c>
      <c r="G30" t="s">
        <v>690</v>
      </c>
      <c r="H30" t="s">
        <v>773</v>
      </c>
      <c r="I30" s="100" t="s">
        <v>774</v>
      </c>
      <c r="J30" t="s">
        <v>775</v>
      </c>
      <c r="K30" t="s">
        <v>691</v>
      </c>
      <c r="L30" s="100" t="s">
        <v>776</v>
      </c>
      <c r="M30" s="100" t="s">
        <v>777</v>
      </c>
      <c r="N30" s="100" t="s">
        <v>778</v>
      </c>
    </row>
    <row r="31" spans="1:21">
      <c r="A31" t="str">
        <f t="shared" ref="A31:A74" si="0">LEFT(C31,2)</f>
        <v>L1</v>
      </c>
      <c r="B31">
        <f>COUNTIF($C31:C$231,C31)</f>
        <v>17</v>
      </c>
      <c r="C31" t="str">
        <f t="shared" ref="C31:C63" si="1">IFERROR(INDEX($A$14:$E$20,1,IFERROR(MATCH(RIGHT(G31,LEN(G31)-5),$A$15:$E$15,0),0)+IFERROR(MATCH(RIGHT(G31,LEN(G31)-5),$A$16:$E$16,0),0)+IFERROR(MATCH(RIGHT(G31,LEN(G31)-5),$A$17:$E$17,0),0)+IFERROR(MATCH(RIGHT(G31,LEN(G31)-5),$A$18:$E$18,0),0)+IFERROR(MATCH(RIGHT(G31,LEN(G31)-5),$A$19:$E$19,0),0)),"!!!!!!!")</f>
        <v>L1 - Formación Académica Integral</v>
      </c>
      <c r="D31" s="100" t="str">
        <f t="shared" ref="D31:D62" si="2">IFERROR(IF(B31=1,SUMIF($C$31:$C$231,C31,$I$31:$I$231),""),"")</f>
        <v/>
      </c>
      <c r="E31" t="str">
        <f>A31&amp;LEFT(G31,2)</f>
        <v>L1M1</v>
      </c>
      <c r="F31">
        <f>COUNTIF(G31:$G$231,G31)</f>
        <v>3</v>
      </c>
      <c r="G31" t="str">
        <f t="shared" ref="G31:G74" si="3">IFERROR(INDEX(rang,IF(H31=0,0,1),H31),"!!!!!!!")</f>
        <v>M1 - Internacionalización y multilingüismo.</v>
      </c>
      <c r="H31">
        <f t="shared" ref="H31:H74" si="4">(IFERROR(MATCH(RIGHT($K31,LEN($K31)-5),$A$3:$R$3,0),0)+IFERROR(MATCH(RIGHT($K31,LEN($K31)-5),$A$4:$R$4,0),0)+IFERROR(MATCH(RIGHT($K31,LEN($K31)-5),$A$5:$R$5,0),0)+IFERROR(MATCH(RIGHT($K31,LEN($K31)-5),$A$6:$R$6,0),0)+IFERROR(MATCH(RIGHT($K31,LEN($K31)-5),$A$7:$R$7,0),0)+IFERROR(MATCH(RIGHT($K31,LEN($K31)-5),$A$8:$R$8,0),0)+IFERROR(MATCH(RIGHT(RIGHT($K31,LEN($K31)-5),LEN($K31)-5),$A$9:$R$9,0),0)+IFERROR(MATCH(RIGHT($K31,LEN($K31)-5),$A$10:$R$10,0),0)+IFERROR(MATCH(RIGHT($K31,LEN($K31)-5),$A$11:$R$11,0),0))</f>
        <v>1</v>
      </c>
      <c r="I31" s="100" t="str">
        <f t="shared" ref="I31:I62" si="5">IFERROR(IF(F31=1,VLOOKUP(E31,$S$31:$U$63,3,FALSE)*SUMIF($G$31:$G$85,G31,$L$31:$L$85),""),"")</f>
        <v/>
      </c>
      <c r="J31" t="str">
        <f>E31&amp;LEFT(K31,2)</f>
        <v>L1M1P1</v>
      </c>
      <c r="K31" s="27" t="s">
        <v>162</v>
      </c>
      <c r="L31" s="100">
        <f ca="1">SUMIF('SEGUIMIENTO Y EVALUACIÓN'!$AL$12:$AL$261,J31,'SEGUIMIENTO Y EVALUACIÓN'!$AV$12:$AV$261)</f>
        <v>1.7090989010989009E-2</v>
      </c>
      <c r="M31" s="116">
        <v>1</v>
      </c>
      <c r="N31" s="116" t="str">
        <f>IF(F31=1,Tabla1[[#This Row],['#]],"")</f>
        <v/>
      </c>
      <c r="R31" s="189" t="s">
        <v>754</v>
      </c>
      <c r="S31" s="189" t="str">
        <f>R31&amp;LEFT(T31,2)</f>
        <v>L1M1</v>
      </c>
      <c r="T31" s="189" t="s">
        <v>156</v>
      </c>
      <c r="U31" s="90">
        <f>100%/COUNTIF($R$31:$R$48,R31)</f>
        <v>0.2</v>
      </c>
    </row>
    <row r="32" spans="1:21">
      <c r="A32" t="str">
        <f t="shared" si="0"/>
        <v>L1</v>
      </c>
      <c r="B32">
        <f>COUNTIF($C32:C$231,C32)</f>
        <v>16</v>
      </c>
      <c r="C32" t="str">
        <f t="shared" si="1"/>
        <v>L1 - Formación Académica Integral</v>
      </c>
      <c r="D32" s="100" t="str">
        <f t="shared" si="2"/>
        <v/>
      </c>
      <c r="E32" t="str">
        <f t="shared" ref="E32:E85" si="6">A32&amp;LEFT(G32,2)</f>
        <v>L1M1</v>
      </c>
      <c r="F32">
        <f>COUNTIF(G32:$G$231,G32)</f>
        <v>2</v>
      </c>
      <c r="G32" t="str">
        <f t="shared" si="3"/>
        <v>M1 - Internacionalización y multilingüismo.</v>
      </c>
      <c r="H32">
        <f t="shared" si="4"/>
        <v>1</v>
      </c>
      <c r="I32" s="100" t="str">
        <f t="shared" si="5"/>
        <v/>
      </c>
      <c r="J32" t="str">
        <f t="shared" ref="J32:J85" si="7">E32&amp;LEFT(K32,2)</f>
        <v>L1M1P2</v>
      </c>
      <c r="K32" t="s">
        <v>174</v>
      </c>
      <c r="L32" s="100">
        <f ca="1">SUMIF('SEGUIMIENTO Y EVALUACIÓN'!$AL$12:$AL$261,J32,'SEGUIMIENTO Y EVALUACIÓN'!$AV$12:$AV$261)</f>
        <v>0.10728</v>
      </c>
      <c r="M32" s="116">
        <f>1+M31</f>
        <v>2</v>
      </c>
      <c r="N32" s="116" t="str">
        <f>IF(F32=1,Tabla1[[#This Row],['#]],"")</f>
        <v/>
      </c>
      <c r="R32" s="189" t="s">
        <v>754</v>
      </c>
      <c r="S32" s="189" t="str">
        <f t="shared" ref="S32:S48" si="8">R32&amp;LEFT(T32,2)</f>
        <v>L1M2</v>
      </c>
      <c r="T32" s="190" t="s">
        <v>195</v>
      </c>
      <c r="U32" s="90">
        <f t="shared" ref="U32:U48" si="9">100%/COUNTIF($R$31:$R$48,R32)</f>
        <v>0.2</v>
      </c>
    </row>
    <row r="33" spans="1:21">
      <c r="A33" t="str">
        <f t="shared" si="0"/>
        <v>L1</v>
      </c>
      <c r="B33">
        <f>COUNTIF($C33:C$231,C33)</f>
        <v>15</v>
      </c>
      <c r="C33" t="str">
        <f t="shared" si="1"/>
        <v>L1 - Formación Académica Integral</v>
      </c>
      <c r="D33" s="100" t="str">
        <f t="shared" si="2"/>
        <v/>
      </c>
      <c r="E33" t="str">
        <f t="shared" si="6"/>
        <v>L1M1</v>
      </c>
      <c r="F33">
        <f>COUNTIF(G33:$G$231,G33)</f>
        <v>1</v>
      </c>
      <c r="G33" t="str">
        <f t="shared" si="3"/>
        <v>M1 - Internacionalización y multilingüismo.</v>
      </c>
      <c r="H33">
        <f t="shared" si="4"/>
        <v>1</v>
      </c>
      <c r="I33" s="100">
        <f t="shared" ca="1" si="5"/>
        <v>2.8477122378903805E-2</v>
      </c>
      <c r="J33" t="str">
        <f t="shared" si="7"/>
        <v>L1M1P3</v>
      </c>
      <c r="K33" t="s">
        <v>189</v>
      </c>
      <c r="L33" s="100">
        <f ca="1">SUMIF('SEGUIMIENTO Y EVALUACIÓN'!$AL$12:$AL$261,J33,'SEGUIMIENTO Y EVALUACIÓN'!$AV$12:$AV$261)</f>
        <v>1.8014622883530017E-2</v>
      </c>
      <c r="M33" s="116">
        <f t="shared" ref="M33:M85" si="10">1+M32</f>
        <v>3</v>
      </c>
      <c r="N33" s="116">
        <f>IF(F33=1,Tabla1[[#This Row],['#]],"")</f>
        <v>3</v>
      </c>
      <c r="R33" s="189" t="s">
        <v>754</v>
      </c>
      <c r="S33" s="189" t="str">
        <f t="shared" si="8"/>
        <v>L1M3</v>
      </c>
      <c r="T33" s="190" t="s">
        <v>214</v>
      </c>
      <c r="U33" s="90">
        <f t="shared" si="9"/>
        <v>0.2</v>
      </c>
    </row>
    <row r="34" spans="1:21">
      <c r="A34" t="str">
        <f t="shared" si="0"/>
        <v>L1</v>
      </c>
      <c r="B34">
        <f>COUNTIF($C34:C$231,C34)</f>
        <v>14</v>
      </c>
      <c r="C34" t="str">
        <f t="shared" si="1"/>
        <v>L1 - Formación Académica Integral</v>
      </c>
      <c r="D34" s="100" t="str">
        <f t="shared" si="2"/>
        <v/>
      </c>
      <c r="E34" t="str">
        <f t="shared" si="6"/>
        <v>L1M2</v>
      </c>
      <c r="F34">
        <f>COUNTIF(G34:$G$231,G34)</f>
        <v>3</v>
      </c>
      <c r="G34" t="str">
        <f t="shared" si="3"/>
        <v>M2 - Transformación digital</v>
      </c>
      <c r="H34">
        <f t="shared" si="4"/>
        <v>2</v>
      </c>
      <c r="I34" s="100" t="str">
        <f t="shared" si="5"/>
        <v/>
      </c>
      <c r="J34" t="str">
        <f t="shared" si="7"/>
        <v>L1M2P1</v>
      </c>
      <c r="K34" t="s">
        <v>199</v>
      </c>
      <c r="L34" s="100">
        <f ca="1">SUMIF('SEGUIMIENTO Y EVALUACIÓN'!$AL$12:$AL$261,J34,'SEGUIMIENTO Y EVALUACIÓN'!$AV$12:$AV$261)</f>
        <v>2.2840000000000006E-2</v>
      </c>
      <c r="M34" s="116">
        <f t="shared" si="10"/>
        <v>4</v>
      </c>
      <c r="N34" s="116" t="str">
        <f>IF(F34=1,Tabla1[[#This Row],['#]],"")</f>
        <v/>
      </c>
      <c r="R34" s="189" t="s">
        <v>754</v>
      </c>
      <c r="S34" s="189" t="str">
        <f t="shared" si="8"/>
        <v>L1M4</v>
      </c>
      <c r="T34" s="190" t="s">
        <v>234</v>
      </c>
      <c r="U34" s="90">
        <f t="shared" si="9"/>
        <v>0.2</v>
      </c>
    </row>
    <row r="35" spans="1:21">
      <c r="A35" t="str">
        <f t="shared" si="0"/>
        <v>L1</v>
      </c>
      <c r="B35">
        <f>COUNTIF($C35:C$231,C35)</f>
        <v>13</v>
      </c>
      <c r="C35" t="str">
        <f t="shared" si="1"/>
        <v>L1 - Formación Académica Integral</v>
      </c>
      <c r="D35" s="100" t="str">
        <f t="shared" si="2"/>
        <v/>
      </c>
      <c r="E35" t="str">
        <f t="shared" si="6"/>
        <v>L1M2</v>
      </c>
      <c r="F35">
        <f>COUNTIF(G35:$G$231,G35)</f>
        <v>2</v>
      </c>
      <c r="G35" t="str">
        <f t="shared" si="3"/>
        <v>M2 - Transformación digital</v>
      </c>
      <c r="H35">
        <f t="shared" si="4"/>
        <v>2</v>
      </c>
      <c r="I35" s="100" t="str">
        <f t="shared" si="5"/>
        <v/>
      </c>
      <c r="J35" t="str">
        <f t="shared" si="7"/>
        <v>L1M2P2</v>
      </c>
      <c r="K35" t="s">
        <v>206</v>
      </c>
      <c r="L35" s="100">
        <f ca="1">SUMIF('SEGUIMIENTO Y EVALUACIÓN'!$AL$12:$AL$261,J35,'SEGUIMIENTO Y EVALUACIÓN'!$AV$12:$AV$261)</f>
        <v>3.0754464285714288E-2</v>
      </c>
      <c r="M35" s="116">
        <f t="shared" si="10"/>
        <v>5</v>
      </c>
      <c r="N35" s="116" t="str">
        <f>IF(F35=1,Tabla1[[#This Row],['#]],"")</f>
        <v/>
      </c>
      <c r="R35" s="189" t="s">
        <v>754</v>
      </c>
      <c r="S35" s="189" t="str">
        <f t="shared" si="8"/>
        <v>L1M5</v>
      </c>
      <c r="T35" s="190" t="s">
        <v>260</v>
      </c>
      <c r="U35" s="90">
        <f t="shared" si="9"/>
        <v>0.2</v>
      </c>
    </row>
    <row r="36" spans="1:21">
      <c r="A36" t="str">
        <f t="shared" si="0"/>
        <v>L1</v>
      </c>
      <c r="B36">
        <f>COUNTIF($C36:C$231,C36)</f>
        <v>12</v>
      </c>
      <c r="C36" t="str">
        <f t="shared" si="1"/>
        <v>L1 - Formación Académica Integral</v>
      </c>
      <c r="D36" s="100" t="str">
        <f t="shared" si="2"/>
        <v/>
      </c>
      <c r="E36" t="str">
        <f t="shared" si="6"/>
        <v>L1M2</v>
      </c>
      <c r="F36">
        <f>COUNTIF(G36:$G$231,G36)</f>
        <v>1</v>
      </c>
      <c r="G36" t="str">
        <f t="shared" si="3"/>
        <v>M2 - Transformación digital</v>
      </c>
      <c r="H36">
        <f t="shared" si="4"/>
        <v>2</v>
      </c>
      <c r="I36" s="100">
        <f t="shared" ca="1" si="5"/>
        <v>1.2052226190476193E-2</v>
      </c>
      <c r="J36" t="str">
        <f t="shared" si="7"/>
        <v>L1M2P3</v>
      </c>
      <c r="K36" t="s">
        <v>212</v>
      </c>
      <c r="L36" s="100">
        <f ca="1">SUMIF('SEGUIMIENTO Y EVALUACIÓN'!$AL$12:$AL$261,J36,'SEGUIMIENTO Y EVALUACIÓN'!$AV$12:$AV$261)</f>
        <v>6.6666666666666662E-3</v>
      </c>
      <c r="M36" s="116">
        <f t="shared" si="10"/>
        <v>6</v>
      </c>
      <c r="N36" s="116">
        <f>IF(F36=1,Tabla1[[#This Row],['#]],"")</f>
        <v>6</v>
      </c>
      <c r="R36" s="29" t="s">
        <v>755</v>
      </c>
      <c r="S36" s="29" t="str">
        <f t="shared" si="8"/>
        <v>L2M1</v>
      </c>
      <c r="T36" s="31" t="s">
        <v>345</v>
      </c>
      <c r="U36" s="90">
        <f t="shared" si="9"/>
        <v>0.33333333333333331</v>
      </c>
    </row>
    <row r="37" spans="1:21">
      <c r="A37" t="str">
        <f t="shared" si="0"/>
        <v>L1</v>
      </c>
      <c r="B37">
        <f>COUNTIF($C37:C$231,C37)</f>
        <v>11</v>
      </c>
      <c r="C37" t="str">
        <f t="shared" si="1"/>
        <v>L1 - Formación Académica Integral</v>
      </c>
      <c r="D37" s="100" t="str">
        <f t="shared" si="2"/>
        <v/>
      </c>
      <c r="E37" t="str">
        <f t="shared" si="6"/>
        <v>L1M3</v>
      </c>
      <c r="F37">
        <f>COUNTIF(G37:$G$231,G37)</f>
        <v>3</v>
      </c>
      <c r="G37" t="str">
        <f t="shared" si="3"/>
        <v>M3 - Regionalización en contexto</v>
      </c>
      <c r="H37">
        <f t="shared" si="4"/>
        <v>3</v>
      </c>
      <c r="I37" s="100" t="str">
        <f t="shared" si="5"/>
        <v/>
      </c>
      <c r="J37" t="str">
        <f t="shared" si="7"/>
        <v>L1M3P1</v>
      </c>
      <c r="K37" t="s">
        <v>218</v>
      </c>
      <c r="L37" s="100">
        <f ca="1">SUMIF('SEGUIMIENTO Y EVALUACIÓN'!$AL$12:$AL$261,J37,'SEGUIMIENTO Y EVALUACIÓN'!$AV$12:$AV$261)</f>
        <v>4.9796190476190473E-2</v>
      </c>
      <c r="M37" s="116">
        <f t="shared" si="10"/>
        <v>7</v>
      </c>
      <c r="N37" s="116" t="str">
        <f>IF(F37=1,Tabla1[[#This Row],['#]],"")</f>
        <v/>
      </c>
      <c r="R37" s="29" t="s">
        <v>755</v>
      </c>
      <c r="S37" s="29" t="str">
        <f t="shared" si="8"/>
        <v>L2M2</v>
      </c>
      <c r="T37" s="31" t="s">
        <v>361</v>
      </c>
      <c r="U37" s="90">
        <f t="shared" si="9"/>
        <v>0.33333333333333331</v>
      </c>
    </row>
    <row r="38" spans="1:21">
      <c r="A38" t="str">
        <f t="shared" si="0"/>
        <v>L1</v>
      </c>
      <c r="B38">
        <f>COUNTIF($C38:C$231,C38)</f>
        <v>10</v>
      </c>
      <c r="C38" t="str">
        <f t="shared" si="1"/>
        <v>L1 - Formación Académica Integral</v>
      </c>
      <c r="D38" s="100" t="str">
        <f t="shared" si="2"/>
        <v/>
      </c>
      <c r="E38" t="str">
        <f t="shared" si="6"/>
        <v>L1M3</v>
      </c>
      <c r="F38">
        <f>COUNTIF(G38:$G$231,G38)</f>
        <v>2</v>
      </c>
      <c r="G38" t="str">
        <f t="shared" si="3"/>
        <v>M3 - Regionalización en contexto</v>
      </c>
      <c r="H38">
        <f t="shared" si="4"/>
        <v>3</v>
      </c>
      <c r="I38" s="100" t="str">
        <f t="shared" si="5"/>
        <v/>
      </c>
      <c r="J38" t="str">
        <f t="shared" si="7"/>
        <v>L1M3P2</v>
      </c>
      <c r="K38" t="s">
        <v>230</v>
      </c>
      <c r="L38" s="100">
        <f ca="1">SUMIF('SEGUIMIENTO Y EVALUACIÓN'!$AL$12:$AL$261,J38,'SEGUIMIENTO Y EVALUACIÓN'!$AV$12:$AV$261)</f>
        <v>0.04</v>
      </c>
      <c r="M38" s="116">
        <f t="shared" si="10"/>
        <v>8</v>
      </c>
      <c r="N38" s="116" t="str">
        <f>IF(F38=1,Tabla1[[#This Row],['#]],"")</f>
        <v/>
      </c>
      <c r="R38" s="29" t="s">
        <v>755</v>
      </c>
      <c r="S38" s="29" t="str">
        <f t="shared" si="8"/>
        <v>L2M3</v>
      </c>
      <c r="T38" s="31" t="s">
        <v>394</v>
      </c>
      <c r="U38" s="90">
        <f t="shared" si="9"/>
        <v>0.33333333333333331</v>
      </c>
    </row>
    <row r="39" spans="1:21">
      <c r="A39" t="str">
        <f t="shared" si="0"/>
        <v>L1</v>
      </c>
      <c r="B39">
        <f>COUNTIF($C39:C$231,C39)</f>
        <v>9</v>
      </c>
      <c r="C39" t="str">
        <f t="shared" si="1"/>
        <v>L1 - Formación Académica Integral</v>
      </c>
      <c r="D39" s="100" t="str">
        <f t="shared" si="2"/>
        <v/>
      </c>
      <c r="E39" t="str">
        <f t="shared" si="6"/>
        <v>L1M3</v>
      </c>
      <c r="F39">
        <f>COUNTIF(G39:$G$231,G39)</f>
        <v>1</v>
      </c>
      <c r="G39" t="str">
        <f t="shared" si="3"/>
        <v>M3 - Regionalización en contexto</v>
      </c>
      <c r="H39">
        <f t="shared" si="4"/>
        <v>3</v>
      </c>
      <c r="I39" s="100">
        <f t="shared" ca="1" si="5"/>
        <v>2.1709238095238097E-2</v>
      </c>
      <c r="J39" t="str">
        <f t="shared" si="7"/>
        <v>L1M3P3</v>
      </c>
      <c r="K39" t="s">
        <v>233</v>
      </c>
      <c r="L39" s="100">
        <f ca="1">SUMIF('SEGUIMIENTO Y EVALUACIÓN'!$AL$12:$AL$261,J39,'SEGUIMIENTO Y EVALUACIÓN'!$AV$12:$AV$261)</f>
        <v>1.8750000000000003E-2</v>
      </c>
      <c r="M39" s="116">
        <f t="shared" si="10"/>
        <v>9</v>
      </c>
      <c r="N39" s="116">
        <f>IF(F39=1,Tabla1[[#This Row],['#]],"")</f>
        <v>9</v>
      </c>
      <c r="R39" s="191" t="s">
        <v>756</v>
      </c>
      <c r="S39" s="191" t="str">
        <f t="shared" si="8"/>
        <v>L3M1</v>
      </c>
      <c r="T39" s="191" t="s">
        <v>413</v>
      </c>
      <c r="U39" s="90">
        <f t="shared" si="9"/>
        <v>0.25</v>
      </c>
    </row>
    <row r="40" spans="1:21">
      <c r="A40" t="str">
        <f t="shared" si="0"/>
        <v>L1</v>
      </c>
      <c r="B40">
        <f>COUNTIF($C40:C$231,C40)</f>
        <v>8</v>
      </c>
      <c r="C40" t="str">
        <f t="shared" si="1"/>
        <v>L1 - Formación Académica Integral</v>
      </c>
      <c r="D40" s="100" t="str">
        <f t="shared" si="2"/>
        <v/>
      </c>
      <c r="E40" t="str">
        <f t="shared" si="6"/>
        <v>L1M4</v>
      </c>
      <c r="F40">
        <f>COUNTIF(G40:$G$231,G40)</f>
        <v>4</v>
      </c>
      <c r="G40" t="str">
        <f t="shared" si="3"/>
        <v>M4 - Procesos académicos inclusivos e interculturales</v>
      </c>
      <c r="H40">
        <f t="shared" si="4"/>
        <v>4</v>
      </c>
      <c r="I40" s="100" t="str">
        <f t="shared" si="5"/>
        <v/>
      </c>
      <c r="J40" t="str">
        <f t="shared" si="7"/>
        <v>L1M4P1</v>
      </c>
      <c r="K40" t="s">
        <v>238</v>
      </c>
      <c r="L40" s="100">
        <f ca="1">SUMIF('SEGUIMIENTO Y EVALUACIÓN'!$AL$12:$AL$261,J40,'SEGUIMIENTO Y EVALUACIÓN'!$AV$12:$AV$261)</f>
        <v>1.4999999999999999E-2</v>
      </c>
      <c r="M40" s="116">
        <f t="shared" si="10"/>
        <v>10</v>
      </c>
      <c r="N40" s="116" t="str">
        <f>IF(F40=1,Tabla1[[#This Row],['#]],"")</f>
        <v/>
      </c>
      <c r="R40" s="191" t="s">
        <v>756</v>
      </c>
      <c r="S40" s="191" t="str">
        <f t="shared" si="8"/>
        <v>L3M2</v>
      </c>
      <c r="T40" s="191" t="s">
        <v>433</v>
      </c>
      <c r="U40" s="90">
        <f t="shared" si="9"/>
        <v>0.25</v>
      </c>
    </row>
    <row r="41" spans="1:21">
      <c r="A41" t="str">
        <f t="shared" si="0"/>
        <v>L1</v>
      </c>
      <c r="B41">
        <f>COUNTIF($C41:C$231,C41)</f>
        <v>7</v>
      </c>
      <c r="C41" t="str">
        <f t="shared" si="1"/>
        <v>L1 - Formación Académica Integral</v>
      </c>
      <c r="D41" s="100" t="str">
        <f t="shared" si="2"/>
        <v/>
      </c>
      <c r="E41" t="str">
        <f t="shared" si="6"/>
        <v>L1M4</v>
      </c>
      <c r="F41">
        <f>COUNTIF(G41:$G$231,G41)</f>
        <v>3</v>
      </c>
      <c r="G41" t="str">
        <f t="shared" si="3"/>
        <v>M4 - Procesos académicos inclusivos e interculturales</v>
      </c>
      <c r="H41">
        <f t="shared" si="4"/>
        <v>4</v>
      </c>
      <c r="I41" s="100" t="str">
        <f t="shared" si="5"/>
        <v/>
      </c>
      <c r="J41" t="str">
        <f t="shared" si="7"/>
        <v>L1M4P2</v>
      </c>
      <c r="K41" t="s">
        <v>245</v>
      </c>
      <c r="L41" s="100">
        <f ca="1">SUMIF('SEGUIMIENTO Y EVALUACIÓN'!$AL$12:$AL$261,J41,'SEGUIMIENTO Y EVALUACIÓN'!$AV$12:$AV$261)</f>
        <v>1.2E-2</v>
      </c>
      <c r="M41" s="116">
        <f t="shared" si="10"/>
        <v>11</v>
      </c>
      <c r="N41" s="116" t="str">
        <f>IF(F41=1,Tabla1[[#This Row],['#]],"")</f>
        <v/>
      </c>
      <c r="R41" s="191" t="s">
        <v>756</v>
      </c>
      <c r="S41" s="191" t="str">
        <f t="shared" si="8"/>
        <v>L3M3</v>
      </c>
      <c r="T41" s="191" t="s">
        <v>470</v>
      </c>
      <c r="U41" s="90">
        <f t="shared" si="9"/>
        <v>0.25</v>
      </c>
    </row>
    <row r="42" spans="1:21">
      <c r="A42" t="str">
        <f t="shared" si="0"/>
        <v>L1</v>
      </c>
      <c r="B42">
        <f>COUNTIF($C42:C$231,C42)</f>
        <v>6</v>
      </c>
      <c r="C42" t="str">
        <f t="shared" si="1"/>
        <v>L1 - Formación Académica Integral</v>
      </c>
      <c r="D42" s="100" t="str">
        <f t="shared" si="2"/>
        <v/>
      </c>
      <c r="E42" t="str">
        <f t="shared" si="6"/>
        <v>L1M4</v>
      </c>
      <c r="F42">
        <f>COUNTIF(G42:$G$231,G42)</f>
        <v>2</v>
      </c>
      <c r="G42" t="str">
        <f t="shared" si="3"/>
        <v>M4 - Procesos académicos inclusivos e interculturales</v>
      </c>
      <c r="H42">
        <f t="shared" si="4"/>
        <v>4</v>
      </c>
      <c r="I42" s="100" t="str">
        <f t="shared" si="5"/>
        <v/>
      </c>
      <c r="J42" t="str">
        <f t="shared" si="7"/>
        <v>L1M4P3</v>
      </c>
      <c r="K42" t="s">
        <v>250</v>
      </c>
      <c r="L42" s="100">
        <f ca="1">SUMIF('SEGUIMIENTO Y EVALUACIÓN'!$AL$12:$AL$261,J42,'SEGUIMIENTO Y EVALUACIÓN'!$AV$12:$AV$261)</f>
        <v>9.3750000000000014E-3</v>
      </c>
      <c r="M42" s="116">
        <f t="shared" si="10"/>
        <v>12</v>
      </c>
      <c r="N42" s="116" t="str">
        <f>IF(F42=1,Tabla1[[#This Row],['#]],"")</f>
        <v/>
      </c>
      <c r="R42" s="191" t="s">
        <v>756</v>
      </c>
      <c r="S42" s="191" t="str">
        <f t="shared" si="8"/>
        <v>L3M4</v>
      </c>
      <c r="T42" s="191" t="s">
        <v>495</v>
      </c>
      <c r="U42" s="90">
        <f t="shared" si="9"/>
        <v>0.25</v>
      </c>
    </row>
    <row r="43" spans="1:21">
      <c r="A43" t="str">
        <f t="shared" si="0"/>
        <v>L1</v>
      </c>
      <c r="B43">
        <f>COUNTIF($C43:C$231,C43)</f>
        <v>5</v>
      </c>
      <c r="C43" t="str">
        <f t="shared" si="1"/>
        <v>L1 - Formación Académica Integral</v>
      </c>
      <c r="D43" s="100" t="str">
        <f t="shared" si="2"/>
        <v/>
      </c>
      <c r="E43" t="str">
        <f t="shared" si="6"/>
        <v>L1M4</v>
      </c>
      <c r="F43">
        <f>COUNTIF(G43:$G$231,G43)</f>
        <v>1</v>
      </c>
      <c r="G43" t="str">
        <f t="shared" si="3"/>
        <v>M4 - Procesos académicos inclusivos e interculturales</v>
      </c>
      <c r="H43">
        <f t="shared" si="4"/>
        <v>4</v>
      </c>
      <c r="I43" s="100">
        <f t="shared" ca="1" si="5"/>
        <v>7.3150000000000012E-3</v>
      </c>
      <c r="J43" t="str">
        <f t="shared" si="7"/>
        <v>L1M4P4</v>
      </c>
      <c r="K43" t="s">
        <v>255</v>
      </c>
      <c r="L43" s="100">
        <f ca="1">SUMIF('SEGUIMIENTO Y EVALUACIÓN'!$AL$12:$AL$261,J43,'SEGUIMIENTO Y EVALUACIÓN'!$AV$12:$AV$261)</f>
        <v>2.0000000000000001E-4</v>
      </c>
      <c r="M43" s="116">
        <f t="shared" si="10"/>
        <v>13</v>
      </c>
      <c r="N43" s="116">
        <f>IF(F43=1,Tabla1[[#This Row],['#]],"")</f>
        <v>13</v>
      </c>
      <c r="R43" s="192" t="s">
        <v>757</v>
      </c>
      <c r="S43" s="192" t="str">
        <f t="shared" si="8"/>
        <v>L4M1</v>
      </c>
      <c r="T43" s="193" t="s">
        <v>513</v>
      </c>
      <c r="U43" s="90">
        <f t="shared" si="9"/>
        <v>0.33333333333333331</v>
      </c>
    </row>
    <row r="44" spans="1:21">
      <c r="A44" t="str">
        <f t="shared" si="0"/>
        <v>L1</v>
      </c>
      <c r="B44">
        <f>COUNTIF($C44:C$231,C44)</f>
        <v>4</v>
      </c>
      <c r="C44" t="str">
        <f t="shared" si="1"/>
        <v>L1 - Formación Académica Integral</v>
      </c>
      <c r="D44" s="100" t="str">
        <f t="shared" si="2"/>
        <v/>
      </c>
      <c r="E44" t="str">
        <f t="shared" si="6"/>
        <v>L1M5</v>
      </c>
      <c r="F44">
        <f>COUNTIF(G44:$G$231,G44)</f>
        <v>4</v>
      </c>
      <c r="G44" t="str">
        <f t="shared" si="3"/>
        <v>M5 - Autoevaluación y acreditación Institucional y de programas académicos en el contexto nacional e internacional</v>
      </c>
      <c r="H44">
        <f t="shared" si="4"/>
        <v>5</v>
      </c>
      <c r="I44" s="100" t="str">
        <f t="shared" si="5"/>
        <v/>
      </c>
      <c r="J44" t="str">
        <f t="shared" si="7"/>
        <v>L1M5P1</v>
      </c>
      <c r="K44" t="s">
        <v>264</v>
      </c>
      <c r="L44" s="100">
        <f ca="1">SUMIF('SEGUIMIENTO Y EVALUACIÓN'!$AL$12:$AL$261,J44,'SEGUIMIENTO Y EVALUACIÓN'!$AV$12:$AV$261)</f>
        <v>5.8714285714285719E-2</v>
      </c>
      <c r="M44" s="116">
        <f t="shared" si="10"/>
        <v>14</v>
      </c>
      <c r="N44" s="116" t="str">
        <f>IF(F44=1,Tabla1[[#This Row],['#]],"")</f>
        <v/>
      </c>
      <c r="R44" s="192" t="s">
        <v>757</v>
      </c>
      <c r="S44" s="192" t="str">
        <f t="shared" si="8"/>
        <v>L4M2</v>
      </c>
      <c r="T44" s="193" t="s">
        <v>531</v>
      </c>
      <c r="U44" s="90">
        <f t="shared" si="9"/>
        <v>0.33333333333333331</v>
      </c>
    </row>
    <row r="45" spans="1:21">
      <c r="A45" t="str">
        <f t="shared" si="0"/>
        <v>L1</v>
      </c>
      <c r="B45">
        <f>COUNTIF($C45:C$231,C45)</f>
        <v>3</v>
      </c>
      <c r="C45" t="str">
        <f t="shared" si="1"/>
        <v>L1 - Formación Académica Integral</v>
      </c>
      <c r="D45" s="100" t="str">
        <f t="shared" si="2"/>
        <v/>
      </c>
      <c r="E45" t="str">
        <f t="shared" si="6"/>
        <v>L1M5</v>
      </c>
      <c r="F45">
        <f>COUNTIF(G45:$G$231,G45)</f>
        <v>3</v>
      </c>
      <c r="G45" t="str">
        <f t="shared" si="3"/>
        <v>M5 - Autoevaluación y acreditación Institucional y de programas académicos en el contexto nacional e internacional</v>
      </c>
      <c r="H45">
        <f t="shared" si="4"/>
        <v>5</v>
      </c>
      <c r="I45" s="100" t="str">
        <f t="shared" si="5"/>
        <v/>
      </c>
      <c r="J45" t="str">
        <f t="shared" si="7"/>
        <v>L1M5P2</v>
      </c>
      <c r="K45" t="s">
        <v>281</v>
      </c>
      <c r="L45" s="100">
        <f ca="1">SUMIF('SEGUIMIENTO Y EVALUACIÓN'!$AL$12:$AL$261,J45,'SEGUIMIENTO Y EVALUACIÓN'!$AV$12:$AV$261)</f>
        <v>4.0539393939393938E-2</v>
      </c>
      <c r="M45" s="116">
        <f t="shared" si="10"/>
        <v>15</v>
      </c>
      <c r="N45" s="116" t="str">
        <f>IF(F45=1,Tabla1[[#This Row],['#]],"")</f>
        <v/>
      </c>
      <c r="R45" s="192" t="s">
        <v>757</v>
      </c>
      <c r="S45" s="192" t="str">
        <f t="shared" si="8"/>
        <v>L4M3</v>
      </c>
      <c r="T45" s="193" t="s">
        <v>548</v>
      </c>
      <c r="U45" s="90">
        <f t="shared" si="9"/>
        <v>0.33333333333333331</v>
      </c>
    </row>
    <row r="46" spans="1:21">
      <c r="A46" t="str">
        <f t="shared" si="0"/>
        <v>L1</v>
      </c>
      <c r="B46">
        <f>COUNTIF($C46:C$231,C46)</f>
        <v>2</v>
      </c>
      <c r="C46" t="str">
        <f t="shared" si="1"/>
        <v>L1 - Formación Académica Integral</v>
      </c>
      <c r="D46" s="100" t="str">
        <f t="shared" si="2"/>
        <v/>
      </c>
      <c r="E46" t="str">
        <f t="shared" si="6"/>
        <v>L1M5</v>
      </c>
      <c r="F46">
        <f>COUNTIF(G46:$G$231,G46)</f>
        <v>2</v>
      </c>
      <c r="G46" t="str">
        <f t="shared" si="3"/>
        <v>M5 - Autoevaluación y acreditación Institucional y de programas académicos en el contexto nacional e internacional</v>
      </c>
      <c r="H46">
        <f t="shared" si="4"/>
        <v>5</v>
      </c>
      <c r="I46" s="100" t="str">
        <f t="shared" si="5"/>
        <v/>
      </c>
      <c r="J46" t="str">
        <f t="shared" si="7"/>
        <v>L1M5P3</v>
      </c>
      <c r="K46" t="s">
        <v>293</v>
      </c>
      <c r="L46" s="100">
        <f ca="1">SUMIF('SEGUIMIENTO Y EVALUACIÓN'!$AL$12:$AL$261,J46,'SEGUIMIENTO Y EVALUACIÓN'!$AV$12:$AV$261)</f>
        <v>1.1209539223153086E-2</v>
      </c>
      <c r="M46" s="116">
        <f t="shared" si="10"/>
        <v>16</v>
      </c>
      <c r="N46" s="116" t="str">
        <f>IF(F46=1,Tabla1[[#This Row],['#]],"")</f>
        <v/>
      </c>
      <c r="R46" s="194" t="s">
        <v>758</v>
      </c>
      <c r="S46" s="194" t="str">
        <f t="shared" si="8"/>
        <v>L5M1</v>
      </c>
      <c r="T46" s="194" t="s">
        <v>555</v>
      </c>
      <c r="U46" s="90">
        <f t="shared" si="9"/>
        <v>0.33333333333333331</v>
      </c>
    </row>
    <row r="47" spans="1:21">
      <c r="A47" t="str">
        <f t="shared" si="0"/>
        <v>L1</v>
      </c>
      <c r="B47">
        <f>COUNTIF($C47:C$231,C47)</f>
        <v>1</v>
      </c>
      <c r="C47" t="str">
        <f t="shared" si="1"/>
        <v>L1 - Formación Académica Integral</v>
      </c>
      <c r="D47" s="100">
        <f ca="1">IFERROR(IF(B47=1,SUMIF($C$31:$C$231,C47,$I$31:$I$231),""),"")</f>
        <v>9.3360516154270365E-2</v>
      </c>
      <c r="E47" t="str">
        <f t="shared" si="6"/>
        <v>L1M5</v>
      </c>
      <c r="F47">
        <f>COUNTIF(G47:$G$231,G47)</f>
        <v>1</v>
      </c>
      <c r="G47" t="str">
        <f t="shared" si="3"/>
        <v>M5 - Autoevaluación y acreditación Institucional y de programas académicos en el contexto nacional e internacional</v>
      </c>
      <c r="H47">
        <f t="shared" si="4"/>
        <v>5</v>
      </c>
      <c r="I47" s="100">
        <f t="shared" ca="1" si="5"/>
        <v>2.3806929489652264E-2</v>
      </c>
      <c r="J47" t="str">
        <f t="shared" si="7"/>
        <v>L1M5P4</v>
      </c>
      <c r="K47" t="s">
        <v>327</v>
      </c>
      <c r="L47" s="100">
        <f ca="1">SUMIF('SEGUIMIENTO Y EVALUACIÓN'!$AL$12:$AL$261,J47,'SEGUIMIENTO Y EVALUACIÓN'!$AV$12:$AV$261)</f>
        <v>8.5714285714285719E-3</v>
      </c>
      <c r="M47" s="116">
        <f t="shared" si="10"/>
        <v>17</v>
      </c>
      <c r="N47" s="116">
        <f>IF(F47=1,Tabla1[[#This Row],['#]],"")</f>
        <v>17</v>
      </c>
      <c r="R47" s="194" t="s">
        <v>758</v>
      </c>
      <c r="S47" s="194" t="str">
        <f t="shared" si="8"/>
        <v>L5M2</v>
      </c>
      <c r="T47" s="195" t="s">
        <v>601</v>
      </c>
      <c r="U47" s="90">
        <f t="shared" si="9"/>
        <v>0.33333333333333331</v>
      </c>
    </row>
    <row r="48" spans="1:21">
      <c r="A48" t="str">
        <f t="shared" si="0"/>
        <v>L2</v>
      </c>
      <c r="B48">
        <f>COUNTIF($C48:C$231,C48)</f>
        <v>7</v>
      </c>
      <c r="C48" t="str">
        <f t="shared" si="1"/>
        <v>L2 - Investigación y Redes de conocimiento para el desarrollo de la sociedad</v>
      </c>
      <c r="D48" s="100" t="str">
        <f t="shared" si="2"/>
        <v/>
      </c>
      <c r="E48" t="str">
        <f t="shared" si="6"/>
        <v>L2M1</v>
      </c>
      <c r="F48">
        <f>COUNTIF(G48:$G$231,G48)</f>
        <v>2</v>
      </c>
      <c r="G48" t="str">
        <f t="shared" si="3"/>
        <v>M1 - Creación o investigación creación.</v>
      </c>
      <c r="H48">
        <f t="shared" si="4"/>
        <v>6</v>
      </c>
      <c r="I48" s="100" t="str">
        <f t="shared" si="5"/>
        <v/>
      </c>
      <c r="J48" t="str">
        <f t="shared" si="7"/>
        <v>L2M1P1</v>
      </c>
      <c r="K48" t="s">
        <v>349</v>
      </c>
      <c r="L48" s="100">
        <f ca="1">SUMIF('SEGUIMIENTO Y EVALUACIÓN'!$AL$12:$AL$261,J48,'SEGUIMIENTO Y EVALUACIÓN'!$AV$12:$AV$261)</f>
        <v>0.125</v>
      </c>
      <c r="M48" s="116">
        <f t="shared" si="10"/>
        <v>18</v>
      </c>
      <c r="N48" s="116" t="str">
        <f>IF(F48=1,Tabla1[[#This Row],['#]],"")</f>
        <v/>
      </c>
      <c r="R48" s="194" t="s">
        <v>758</v>
      </c>
      <c r="S48" s="194" t="str">
        <f t="shared" si="8"/>
        <v>L5M3</v>
      </c>
      <c r="T48" s="195" t="s">
        <v>612</v>
      </c>
      <c r="U48" s="90">
        <f t="shared" si="9"/>
        <v>0.33333333333333331</v>
      </c>
    </row>
    <row r="49" spans="1:21">
      <c r="A49" t="str">
        <f t="shared" si="0"/>
        <v>L2</v>
      </c>
      <c r="B49">
        <f>COUNTIF($C49:C$231,C49)</f>
        <v>6</v>
      </c>
      <c r="C49" t="str">
        <f t="shared" si="1"/>
        <v>L2 - Investigación y Redes de conocimiento para el desarrollo de la sociedad</v>
      </c>
      <c r="D49" s="100" t="str">
        <f t="shared" si="2"/>
        <v/>
      </c>
      <c r="E49" t="str">
        <f t="shared" si="6"/>
        <v>L2M1</v>
      </c>
      <c r="F49">
        <f>COUNTIF(G49:$G$231,G49)</f>
        <v>1</v>
      </c>
      <c r="G49" t="str">
        <f t="shared" si="3"/>
        <v>M1 - Creación o investigación creación.</v>
      </c>
      <c r="H49">
        <f t="shared" si="4"/>
        <v>6</v>
      </c>
      <c r="I49" s="100">
        <f t="shared" ca="1" si="5"/>
        <v>6.5416666666666665E-2</v>
      </c>
      <c r="J49" t="str">
        <f t="shared" si="7"/>
        <v>L2M1P2</v>
      </c>
      <c r="K49" t="s">
        <v>359</v>
      </c>
      <c r="L49" s="100">
        <f ca="1">SUMIF('SEGUIMIENTO Y EVALUACIÓN'!$AL$12:$AL$261,J49,'SEGUIMIENTO Y EVALUACIÓN'!$AV$12:$AV$261)</f>
        <v>7.1250000000000008E-2</v>
      </c>
      <c r="M49" s="116">
        <f t="shared" si="10"/>
        <v>19</v>
      </c>
      <c r="N49" s="116">
        <f>IF(F49=1,Tabla1[[#This Row],['#]],"")</f>
        <v>19</v>
      </c>
      <c r="U49" s="90"/>
    </row>
    <row r="50" spans="1:21">
      <c r="A50" t="str">
        <f t="shared" si="0"/>
        <v>L2</v>
      </c>
      <c r="B50">
        <f>COUNTIF($C50:C$231,C50)</f>
        <v>5</v>
      </c>
      <c r="C50" t="str">
        <f t="shared" si="1"/>
        <v>L2 - Investigación y Redes de conocimiento para el desarrollo de la sociedad</v>
      </c>
      <c r="D50" s="100" t="str">
        <f t="shared" si="2"/>
        <v/>
      </c>
      <c r="E50" t="str">
        <f t="shared" si="6"/>
        <v>L2M2</v>
      </c>
      <c r="F50">
        <f>COUNTIF(G50:$G$231,G50)</f>
        <v>3</v>
      </c>
      <c r="G50" t="str">
        <f t="shared" si="3"/>
        <v xml:space="preserve">M2 - Investigación y desarrollo científico. </v>
      </c>
      <c r="H50">
        <f t="shared" si="4"/>
        <v>7</v>
      </c>
      <c r="I50" s="100" t="str">
        <f t="shared" si="5"/>
        <v/>
      </c>
      <c r="J50" t="str">
        <f t="shared" si="7"/>
        <v>L2M2P1</v>
      </c>
      <c r="K50" t="s">
        <v>365</v>
      </c>
      <c r="L50" s="100">
        <f ca="1">SUMIF('SEGUIMIENTO Y EVALUACIÓN'!$AL$12:$AL$261,J50,'SEGUIMIENTO Y EVALUACIÓN'!$AV$12:$AV$261)</f>
        <v>0.14200285714285715</v>
      </c>
      <c r="M50" s="116">
        <f t="shared" si="10"/>
        <v>20</v>
      </c>
      <c r="N50" s="116" t="str">
        <f>IF(F50=1,Tabla1[[#This Row],['#]],"")</f>
        <v/>
      </c>
    </row>
    <row r="51" spans="1:21">
      <c r="A51" t="str">
        <f>LEFT(C51,2)</f>
        <v>L2</v>
      </c>
      <c r="B51">
        <f>COUNTIF($C51:C$231,C51)</f>
        <v>4</v>
      </c>
      <c r="C51" t="str">
        <f>IFERROR(INDEX($A$14:$E$20,1,IFERROR(MATCH(RIGHT(G51,LEN(G51)-5),$A$15:$E$15,0),0)+IFERROR(MATCH(RIGHT(G51,LEN(G51)-5),$A$16:$E$16,0),0)+IFERROR(MATCH(RIGHT(G51,LEN(G51)-5),$A$17:$E$17,0),0)+IFERROR(MATCH(RIGHT(G51,LEN(G51)-5),$A$18:$E$18,0),0)+IFERROR(MATCH(RIGHT(G51,LEN(G51)-5),$A$19:$E$19,0),0)),"!!!!!!!")</f>
        <v>L2 - Investigación y Redes de conocimiento para el desarrollo de la sociedad</v>
      </c>
      <c r="D51" s="100" t="str">
        <f t="shared" si="2"/>
        <v/>
      </c>
      <c r="E51" t="str">
        <f>A51&amp;LEFT(G51,2)</f>
        <v>L2M2</v>
      </c>
      <c r="F51">
        <f>COUNTIF(G51:$G$231,G51)</f>
        <v>2</v>
      </c>
      <c r="G51" t="str">
        <f>IFERROR(INDEX(rang,IF(H51=0,0,1),H51),"!!!!!!!")</f>
        <v xml:space="preserve">M2 - Investigación y desarrollo científico. </v>
      </c>
      <c r="H51">
        <f>(IFERROR(MATCH(RIGHT($K51,LEN($K51)-5),$A$3:$R$3,0),0)+IFERROR(MATCH(RIGHT($K51,LEN($K51)-5),$A$4:$R$4,0),0)+IFERROR(MATCH(RIGHT($K51,LEN($K51)-5),$A$5:$R$5,0),0)+IFERROR(MATCH(RIGHT($K51,LEN($K51)-5),$A$6:$R$6,0),0)+IFERROR(MATCH(RIGHT($K51,LEN($K51)-5),$A$7:$R$7,0),0)+IFERROR(MATCH(RIGHT($K51,LEN($K51)-5),$A$8:$R$8,0),0)+IFERROR(MATCH(RIGHT(RIGHT($K51,LEN($K51)-5),LEN($K51)-5),$A$9:$R$9,0),0)+IFERROR(MATCH(RIGHT($K51,LEN($K51)-5),$A$10:$R$10,0),0)+IFERROR(MATCH(RIGHT($K51,LEN($K51)-5),$A$11:$R$11,0),0))</f>
        <v>7</v>
      </c>
      <c r="I51" s="100" t="str">
        <f t="shared" si="5"/>
        <v/>
      </c>
      <c r="J51" t="str">
        <f>E51&amp;LEFT(K51,2)</f>
        <v>L2M2P2</v>
      </c>
      <c r="K51" t="s">
        <v>383</v>
      </c>
      <c r="L51" s="100">
        <f ca="1">SUMIF('SEGUIMIENTO Y EVALUACIÓN'!$AL$12:$AL$261,J51,'SEGUIMIENTO Y EVALUACIÓN'!$AV$12:$AV$261)</f>
        <v>3.4019047619047622E-2</v>
      </c>
      <c r="M51" s="116">
        <f t="shared" si="10"/>
        <v>21</v>
      </c>
      <c r="N51" s="116" t="str">
        <f>IF(F51=1,Tabla1[[#This Row],['#]],"")</f>
        <v/>
      </c>
    </row>
    <row r="52" spans="1:21">
      <c r="A52" t="str">
        <f>LEFT(C52,2)</f>
        <v>L2</v>
      </c>
      <c r="B52">
        <f>COUNTIF($C52:C$231,C52)</f>
        <v>3</v>
      </c>
      <c r="C52" t="str">
        <f>IFERROR(INDEX($A$14:$E$20,1,IFERROR(MATCH(RIGHT(G52,LEN(G52)-5),$A$15:$E$15,0),0)+IFERROR(MATCH(RIGHT(G52,LEN(G52)-5),$A$16:$E$16,0),0)+IFERROR(MATCH(RIGHT(G52,LEN(G52)-5),$A$17:$E$17,0),0)+IFERROR(MATCH(RIGHT(G52,LEN(G52)-5),$A$18:$E$18,0),0)+IFERROR(MATCH(RIGHT(G52,LEN(G52)-5),$A$19:$E$19,0),0)),"!!!!!!!")</f>
        <v>L2 - Investigación y Redes de conocimiento para el desarrollo de la sociedad</v>
      </c>
      <c r="D52" s="100" t="str">
        <f t="shared" si="2"/>
        <v/>
      </c>
      <c r="E52" t="str">
        <f>A52&amp;LEFT(G52,2)</f>
        <v>L2M2</v>
      </c>
      <c r="F52">
        <f>COUNTIF(G52:$G$231,G52)</f>
        <v>1</v>
      </c>
      <c r="G52" t="str">
        <f>IFERROR(INDEX(rang,IF(H52=0,0,1),H52),"!!!!!!!")</f>
        <v xml:space="preserve">M2 - Investigación y desarrollo científico. </v>
      </c>
      <c r="H52">
        <f>(IFERROR(MATCH(RIGHT($K52,LEN($K52)-5),$A$3:$R$3,0),0)+IFERROR(MATCH(RIGHT($K52,LEN($K52)-5),$A$4:$R$4,0),0)+IFERROR(MATCH(RIGHT($K52,LEN($K52)-5),$A$5:$R$5,0),0)+IFERROR(MATCH(RIGHT($K52,LEN($K52)-5),$A$6:$R$6,0),0)+IFERROR(MATCH(RIGHT($K52,LEN($K52)-5),$A$7:$R$7,0),0)+IFERROR(MATCH(RIGHT($K52,LEN($K52)-5),$A$8:$R$8,0),0)+IFERROR(MATCH(RIGHT(RIGHT($K52,LEN($K52)-5),LEN($K52)-5),$A$9:$R$9,0),0)+IFERROR(MATCH(RIGHT($K52,LEN($K52)-5),$A$10:$R$10,0),0)+IFERROR(MATCH(RIGHT($K52,LEN($K52)-5),$A$11:$R$11,0),0))</f>
        <v>7</v>
      </c>
      <c r="I52" s="100">
        <f t="shared" ca="1" si="5"/>
        <v>7.5340634920634919E-2</v>
      </c>
      <c r="J52" t="str">
        <f>E52&amp;LEFT(K52,2)</f>
        <v>L2M2P3</v>
      </c>
      <c r="K52" t="s">
        <v>388</v>
      </c>
      <c r="L52" s="100">
        <f ca="1">SUMIF('SEGUIMIENTO Y EVALUACIÓN'!$AL$12:$AL$261,J52,'SEGUIMIENTO Y EVALUACIÓN'!$AV$12:$AV$261)</f>
        <v>0.05</v>
      </c>
      <c r="M52" s="116">
        <f t="shared" si="10"/>
        <v>22</v>
      </c>
      <c r="N52" s="116">
        <f>IF(F52=1,Tabla1[[#This Row],['#]],"")</f>
        <v>22</v>
      </c>
    </row>
    <row r="53" spans="1:21">
      <c r="A53" t="str">
        <f t="shared" si="0"/>
        <v>L2</v>
      </c>
      <c r="B53">
        <f>COUNTIF($C53:C$231,C53)</f>
        <v>2</v>
      </c>
      <c r="C53" t="str">
        <f t="shared" si="1"/>
        <v>L2 - Investigación y Redes de conocimiento para el desarrollo de la sociedad</v>
      </c>
      <c r="D53" s="100" t="str">
        <f t="shared" si="2"/>
        <v/>
      </c>
      <c r="E53" t="str">
        <f t="shared" si="6"/>
        <v>L2M3</v>
      </c>
      <c r="F53">
        <f>COUNTIF(G53:$G$231,G53)</f>
        <v>2</v>
      </c>
      <c r="G53" t="str">
        <f t="shared" si="3"/>
        <v>M3 - Innovación y desarrollo tecnológico.</v>
      </c>
      <c r="H53">
        <f t="shared" si="4"/>
        <v>8</v>
      </c>
      <c r="I53" s="100" t="str">
        <f t="shared" si="5"/>
        <v/>
      </c>
      <c r="J53" t="str">
        <f t="shared" si="7"/>
        <v>L2M3P1</v>
      </c>
      <c r="K53" s="27" t="s">
        <v>398</v>
      </c>
      <c r="L53" s="100">
        <f ca="1">SUMIF('SEGUIMIENTO Y EVALUACIÓN'!$AL$12:$AL$261,J53,'SEGUIMIENTO Y EVALUACIÓN'!$AV$12:$AV$261)</f>
        <v>8.1250000000000003E-2</v>
      </c>
      <c r="M53" s="116">
        <f t="shared" si="10"/>
        <v>23</v>
      </c>
      <c r="N53" s="116" t="str">
        <f>IF(F53=1,Tabla1[[#This Row],['#]],"")</f>
        <v/>
      </c>
    </row>
    <row r="54" spans="1:21">
      <c r="A54" t="str">
        <f t="shared" si="0"/>
        <v>L2</v>
      </c>
      <c r="B54">
        <f>COUNTIF($C54:C$231,C54)</f>
        <v>1</v>
      </c>
      <c r="C54" t="str">
        <f t="shared" si="1"/>
        <v>L2 - Investigación y Redes de conocimiento para el desarrollo de la sociedad</v>
      </c>
      <c r="D54" s="100">
        <f t="shared" ca="1" si="2"/>
        <v>0.19584063492063492</v>
      </c>
      <c r="E54" t="str">
        <f t="shared" si="6"/>
        <v>L2M3</v>
      </c>
      <c r="F54">
        <f>COUNTIF(G54:$G$231,G54)</f>
        <v>1</v>
      </c>
      <c r="G54" t="str">
        <f t="shared" si="3"/>
        <v>M3 - Innovación y desarrollo tecnológico.</v>
      </c>
      <c r="H54">
        <f t="shared" si="4"/>
        <v>8</v>
      </c>
      <c r="I54" s="100">
        <f t="shared" ca="1" si="5"/>
        <v>5.5083333333333331E-2</v>
      </c>
      <c r="J54" t="str">
        <f t="shared" si="7"/>
        <v>L2M3P2</v>
      </c>
      <c r="K54" s="27" t="s">
        <v>403</v>
      </c>
      <c r="L54" s="100">
        <f ca="1">SUMIF('SEGUIMIENTO Y EVALUACIÓN'!$AL$12:$AL$261,J54,'SEGUIMIENTO Y EVALUACIÓN'!$AV$12:$AV$261)</f>
        <v>8.4000000000000005E-2</v>
      </c>
      <c r="M54" s="116">
        <f t="shared" si="10"/>
        <v>24</v>
      </c>
      <c r="N54" s="116">
        <f>IF(F54=1,Tabla1[[#This Row],['#]],"")</f>
        <v>24</v>
      </c>
    </row>
    <row r="55" spans="1:21">
      <c r="A55" t="str">
        <f t="shared" si="0"/>
        <v>L3</v>
      </c>
      <c r="B55">
        <f>COUNTIF($C55:C$231,C55)</f>
        <v>12</v>
      </c>
      <c r="C55" t="str">
        <f t="shared" si="1"/>
        <v>L3 - Impacto regional, Nacional e Internacional desde la Extensión y proyección social</v>
      </c>
      <c r="D55" s="100" t="str">
        <f t="shared" si="2"/>
        <v/>
      </c>
      <c r="E55" t="str">
        <f t="shared" si="6"/>
        <v>L3M1</v>
      </c>
      <c r="F55">
        <f>COUNTIF(G55:$G$231,G55)</f>
        <v>1</v>
      </c>
      <c r="G55" t="str">
        <f t="shared" si="3"/>
        <v xml:space="preserve">M1 - Educación continua y formación avanzada con enfoque global. </v>
      </c>
      <c r="H55">
        <f t="shared" si="4"/>
        <v>9</v>
      </c>
      <c r="I55" s="100">
        <f t="shared" ca="1" si="5"/>
        <v>4.3749999999999997E-2</v>
      </c>
      <c r="J55" t="str">
        <f t="shared" si="7"/>
        <v>L3M1P1</v>
      </c>
      <c r="K55" s="27" t="s">
        <v>743</v>
      </c>
      <c r="L55" s="100">
        <f ca="1">SUMIF('SEGUIMIENTO Y EVALUACIÓN'!$AL$12:$AL$261,J55,'SEGUIMIENTO Y EVALUACIÓN'!$AV$12:$AV$261)</f>
        <v>0.17499999999999999</v>
      </c>
      <c r="M55" s="116">
        <f t="shared" si="10"/>
        <v>25</v>
      </c>
      <c r="N55" s="116">
        <f>IF(F55=1,Tabla1[[#This Row],['#]],"")</f>
        <v>25</v>
      </c>
    </row>
    <row r="56" spans="1:21">
      <c r="A56" t="str">
        <f t="shared" si="0"/>
        <v>L3</v>
      </c>
      <c r="B56">
        <f>COUNTIF($C56:C$231,C56)</f>
        <v>11</v>
      </c>
      <c r="C56" t="str">
        <f t="shared" si="1"/>
        <v>L3 - Impacto regional, Nacional e Internacional desde la Extensión y proyección social</v>
      </c>
      <c r="D56" s="100" t="str">
        <f t="shared" si="2"/>
        <v/>
      </c>
      <c r="E56" t="str">
        <f t="shared" si="6"/>
        <v>L3M2</v>
      </c>
      <c r="F56">
        <f>COUNTIF(G56:$G$231,G56)</f>
        <v>4</v>
      </c>
      <c r="G56" t="str">
        <f t="shared" si="3"/>
        <v>M2 - Articulación con el sector productivo y sociedad.</v>
      </c>
      <c r="H56">
        <f t="shared" si="4"/>
        <v>10</v>
      </c>
      <c r="I56" s="100" t="str">
        <f t="shared" si="5"/>
        <v/>
      </c>
      <c r="J56" t="str">
        <f t="shared" si="7"/>
        <v>L3M2P1</v>
      </c>
      <c r="K56" s="27" t="s">
        <v>437</v>
      </c>
      <c r="L56" s="100">
        <f ca="1">SUMIF('SEGUIMIENTO Y EVALUACIÓN'!$AL$12:$AL$261,J56,'SEGUIMIENTO Y EVALUACIÓN'!$AV$12:$AV$261)</f>
        <v>0.15</v>
      </c>
      <c r="M56" s="116">
        <f t="shared" si="10"/>
        <v>26</v>
      </c>
      <c r="N56" s="116" t="str">
        <f>IF(F56=1,Tabla1[[#This Row],['#]],"")</f>
        <v/>
      </c>
    </row>
    <row r="57" spans="1:21">
      <c r="A57" t="str">
        <f t="shared" si="0"/>
        <v>L3</v>
      </c>
      <c r="B57">
        <f>COUNTIF($C57:C$231,C57)</f>
        <v>10</v>
      </c>
      <c r="C57" t="str">
        <f t="shared" si="1"/>
        <v>L3 - Impacto regional, Nacional e Internacional desde la Extensión y proyección social</v>
      </c>
      <c r="D57" s="100" t="str">
        <f t="shared" si="2"/>
        <v/>
      </c>
      <c r="E57" t="str">
        <f t="shared" si="6"/>
        <v>L3M2</v>
      </c>
      <c r="F57">
        <f>COUNTIF(G57:$G$231,G57)</f>
        <v>3</v>
      </c>
      <c r="G57" t="str">
        <f t="shared" si="3"/>
        <v>M2 - Articulación con el sector productivo y sociedad.</v>
      </c>
      <c r="H57">
        <f t="shared" si="4"/>
        <v>10</v>
      </c>
      <c r="I57" s="100" t="str">
        <f t="shared" si="5"/>
        <v/>
      </c>
      <c r="J57" t="str">
        <f t="shared" si="7"/>
        <v>L3M2P2</v>
      </c>
      <c r="K57" s="27" t="s">
        <v>446</v>
      </c>
      <c r="L57" s="100">
        <f ca="1">SUMIF('SEGUIMIENTO Y EVALUACIÓN'!$AL$12:$AL$261,J57,'SEGUIMIENTO Y EVALUACIÓN'!$AV$12:$AV$261)</f>
        <v>0.05</v>
      </c>
      <c r="M57" s="116">
        <f t="shared" si="10"/>
        <v>27</v>
      </c>
      <c r="N57" s="116" t="str">
        <f>IF(F57=1,Tabla1[[#This Row],['#]],"")</f>
        <v/>
      </c>
    </row>
    <row r="58" spans="1:21">
      <c r="A58" t="str">
        <f t="shared" si="0"/>
        <v>L3</v>
      </c>
      <c r="B58">
        <f>COUNTIF($C58:C$231,C58)</f>
        <v>9</v>
      </c>
      <c r="C58" t="str">
        <f t="shared" si="1"/>
        <v>L3 - Impacto regional, Nacional e Internacional desde la Extensión y proyección social</v>
      </c>
      <c r="D58" s="100" t="str">
        <f t="shared" si="2"/>
        <v/>
      </c>
      <c r="E58" t="str">
        <f t="shared" si="6"/>
        <v>L3M2</v>
      </c>
      <c r="F58">
        <f>COUNTIF(G58:$G$231,G58)</f>
        <v>2</v>
      </c>
      <c r="G58" t="str">
        <f t="shared" si="3"/>
        <v>M2 - Articulación con el sector productivo y sociedad.</v>
      </c>
      <c r="H58">
        <f t="shared" si="4"/>
        <v>10</v>
      </c>
      <c r="I58" s="100" t="str">
        <f t="shared" si="5"/>
        <v/>
      </c>
      <c r="J58" t="str">
        <f t="shared" si="7"/>
        <v>L3M2P3</v>
      </c>
      <c r="K58" s="27" t="s">
        <v>462</v>
      </c>
      <c r="L58" s="100">
        <f ca="1">SUMIF('SEGUIMIENTO Y EVALUACIÓN'!$AL$12:$AL$261,J58,'SEGUIMIENTO Y EVALUACIÓN'!$AV$12:$AV$261)</f>
        <v>0.05</v>
      </c>
      <c r="M58" s="116">
        <f t="shared" si="10"/>
        <v>28</v>
      </c>
      <c r="N58" s="116" t="str">
        <f>IF(F58=1,Tabla1[[#This Row],['#]],"")</f>
        <v/>
      </c>
    </row>
    <row r="59" spans="1:21">
      <c r="A59" t="str">
        <f t="shared" si="0"/>
        <v>L3</v>
      </c>
      <c r="B59">
        <f>COUNTIF($C59:C$231,C59)</f>
        <v>8</v>
      </c>
      <c r="C59" t="str">
        <f t="shared" si="1"/>
        <v>L3 - Impacto regional, Nacional e Internacional desde la Extensión y proyección social</v>
      </c>
      <c r="D59" s="100" t="str">
        <f t="shared" si="2"/>
        <v/>
      </c>
      <c r="E59" t="str">
        <f t="shared" si="6"/>
        <v>L3M2</v>
      </c>
      <c r="F59">
        <f>COUNTIF(G59:$G$231,G59)</f>
        <v>1</v>
      </c>
      <c r="G59" t="str">
        <f t="shared" si="3"/>
        <v>M2 - Articulación con el sector productivo y sociedad.</v>
      </c>
      <c r="H59">
        <f t="shared" si="4"/>
        <v>10</v>
      </c>
      <c r="I59" s="100">
        <f t="shared" ca="1" si="5"/>
        <v>6.25E-2</v>
      </c>
      <c r="J59" t="str">
        <f t="shared" si="7"/>
        <v>L3M2P4</v>
      </c>
      <c r="K59" s="27" t="s">
        <v>468</v>
      </c>
      <c r="L59" s="100">
        <f ca="1">SUMIF('SEGUIMIENTO Y EVALUACIÓN'!$AL$12:$AL$261,J59,'SEGUIMIENTO Y EVALUACIÓN'!$AV$12:$AV$261)</f>
        <v>0</v>
      </c>
      <c r="M59" s="116">
        <f t="shared" si="10"/>
        <v>29</v>
      </c>
      <c r="N59" s="116">
        <f>IF(F59=1,Tabla1[[#This Row],['#]],"")</f>
        <v>29</v>
      </c>
    </row>
    <row r="60" spans="1:21">
      <c r="A60" t="str">
        <f t="shared" si="0"/>
        <v>L3</v>
      </c>
      <c r="B60">
        <f>COUNTIF($C60:C$231,C60)</f>
        <v>7</v>
      </c>
      <c r="C60" t="str">
        <f t="shared" si="1"/>
        <v>L3 - Impacto regional, Nacional e Internacional desde la Extensión y proyección social</v>
      </c>
      <c r="D60" s="100" t="str">
        <f t="shared" si="2"/>
        <v/>
      </c>
      <c r="E60" t="str">
        <f t="shared" si="6"/>
        <v>L3M3</v>
      </c>
      <c r="F60">
        <f>COUNTIF(G60:$G$231,G60)</f>
        <v>3</v>
      </c>
      <c r="G60" t="str">
        <f t="shared" si="3"/>
        <v>M3 - Gestión social, artística y cultural</v>
      </c>
      <c r="H60">
        <f t="shared" si="4"/>
        <v>11</v>
      </c>
      <c r="I60" s="100" t="str">
        <f t="shared" si="5"/>
        <v/>
      </c>
      <c r="J60" t="str">
        <f t="shared" si="7"/>
        <v>L3M3P1</v>
      </c>
      <c r="K60" s="27" t="s">
        <v>474</v>
      </c>
      <c r="L60" s="100">
        <f ca="1">SUMIF('SEGUIMIENTO Y EVALUACIÓN'!$AL$12:$AL$261,J60,'SEGUIMIENTO Y EVALUACIÓN'!$AV$12:$AV$261)</f>
        <v>3.6666666666666667E-2</v>
      </c>
      <c r="M60" s="116">
        <f t="shared" si="10"/>
        <v>30</v>
      </c>
      <c r="N60" s="116" t="str">
        <f>IF(F60=1,Tabla1[[#This Row],['#]],"")</f>
        <v/>
      </c>
    </row>
    <row r="61" spans="1:21">
      <c r="A61" t="str">
        <f t="shared" si="0"/>
        <v>L3</v>
      </c>
      <c r="B61">
        <f>COUNTIF($C61:C$231,C61)</f>
        <v>6</v>
      </c>
      <c r="C61" t="str">
        <f t="shared" si="1"/>
        <v>L3 - Impacto regional, Nacional e Internacional desde la Extensión y proyección social</v>
      </c>
      <c r="D61" s="100" t="str">
        <f t="shared" si="2"/>
        <v/>
      </c>
      <c r="E61" t="str">
        <f t="shared" si="6"/>
        <v>L3M3</v>
      </c>
      <c r="F61">
        <f>COUNTIF(G61:$G$231,G61)</f>
        <v>2</v>
      </c>
      <c r="G61" t="str">
        <f t="shared" si="3"/>
        <v>M3 - Gestión social, artística y cultural</v>
      </c>
      <c r="H61">
        <f t="shared" si="4"/>
        <v>11</v>
      </c>
      <c r="I61" s="100" t="str">
        <f t="shared" si="5"/>
        <v/>
      </c>
      <c r="J61" t="str">
        <f t="shared" si="7"/>
        <v>L3M3P2</v>
      </c>
      <c r="K61" s="27" t="s">
        <v>484</v>
      </c>
      <c r="L61" s="100">
        <f ca="1">SUMIF('SEGUIMIENTO Y EVALUACIÓN'!$AL$12:$AL$261,J61,'SEGUIMIENTO Y EVALUACIÓN'!$AV$12:$AV$261)</f>
        <v>0.03</v>
      </c>
      <c r="M61" s="116">
        <f t="shared" si="10"/>
        <v>31</v>
      </c>
      <c r="N61" s="116" t="str">
        <f>IF(F61=1,Tabla1[[#This Row],['#]],"")</f>
        <v/>
      </c>
    </row>
    <row r="62" spans="1:21">
      <c r="A62" t="str">
        <f t="shared" si="0"/>
        <v>L3</v>
      </c>
      <c r="B62">
        <f>COUNTIF($C62:C$231,C62)</f>
        <v>5</v>
      </c>
      <c r="C62" t="str">
        <f t="shared" si="1"/>
        <v>L3 - Impacto regional, Nacional e Internacional desde la Extensión y proyección social</v>
      </c>
      <c r="D62" s="100" t="str">
        <f t="shared" si="2"/>
        <v/>
      </c>
      <c r="E62" t="str">
        <f t="shared" si="6"/>
        <v>L3M3</v>
      </c>
      <c r="F62">
        <f>COUNTIF(G62:$G$231,G62)</f>
        <v>1</v>
      </c>
      <c r="G62" t="str">
        <f t="shared" si="3"/>
        <v>M3 - Gestión social, artística y cultural</v>
      </c>
      <c r="H62">
        <f t="shared" si="4"/>
        <v>11</v>
      </c>
      <c r="I62" s="100">
        <f t="shared" ca="1" si="5"/>
        <v>2.6247916666666666E-2</v>
      </c>
      <c r="J62" t="str">
        <f t="shared" si="7"/>
        <v>L3M3P3</v>
      </c>
      <c r="K62" s="27" t="s">
        <v>488</v>
      </c>
      <c r="L62" s="100">
        <f ca="1">SUMIF('SEGUIMIENTO Y EVALUACIÓN'!$AL$12:$AL$261,J62,'SEGUIMIENTO Y EVALUACIÓN'!$AV$12:$AV$261)</f>
        <v>3.8324999999999998E-2</v>
      </c>
      <c r="M62" s="116">
        <f t="shared" si="10"/>
        <v>32</v>
      </c>
      <c r="N62" s="116">
        <f>IF(F62=1,Tabla1[[#This Row],['#]],"")</f>
        <v>32</v>
      </c>
    </row>
    <row r="63" spans="1:21">
      <c r="A63" t="str">
        <f t="shared" si="0"/>
        <v>L3</v>
      </c>
      <c r="B63">
        <f>COUNTIF($C63:C$231,C63)</f>
        <v>4</v>
      </c>
      <c r="C63" t="str">
        <f t="shared" si="1"/>
        <v>L3 - Impacto regional, Nacional e Internacional desde la Extensión y proyección social</v>
      </c>
      <c r="D63" s="100" t="str">
        <f t="shared" ref="D63:D85" si="11">IFERROR(IF(B63=1,SUMIF($C$31:$C$231,C63,$I$31:$I$231),""),"")</f>
        <v/>
      </c>
      <c r="E63" t="str">
        <f t="shared" si="6"/>
        <v>L3M4</v>
      </c>
      <c r="F63">
        <f>COUNTIF(G63:$G$231,G63)</f>
        <v>4</v>
      </c>
      <c r="G63" t="str">
        <f t="shared" si="3"/>
        <v xml:space="preserve">M4 - Responsabilidad social universitaria RSU.  </v>
      </c>
      <c r="H63">
        <f t="shared" si="4"/>
        <v>12</v>
      </c>
      <c r="I63" s="100" t="str">
        <f t="shared" ref="I63:I85" si="12">IFERROR(IF(F63=1,VLOOKUP(E63,$S$31:$U$63,3,FALSE)*SUMIF($G$31:$G$85,G63,$L$31:$L$85),""),"")</f>
        <v/>
      </c>
      <c r="J63" t="str">
        <f t="shared" si="7"/>
        <v>L3M4P1</v>
      </c>
      <c r="K63" t="s">
        <v>499</v>
      </c>
      <c r="L63" s="100">
        <f ca="1">SUMIF('SEGUIMIENTO Y EVALUACIÓN'!$AL$12:$AL$261,J63,'SEGUIMIENTO Y EVALUACIÓN'!$AV$12:$AV$261)</f>
        <v>0</v>
      </c>
      <c r="M63" s="116">
        <f t="shared" si="10"/>
        <v>33</v>
      </c>
      <c r="N63" s="116" t="str">
        <f>IF(F63=1,Tabla1[[#This Row],['#]],"")</f>
        <v/>
      </c>
    </row>
    <row r="64" spans="1:21">
      <c r="A64" t="str">
        <f t="shared" si="0"/>
        <v>L3</v>
      </c>
      <c r="B64">
        <f>COUNTIF($C64:C$231,C64)</f>
        <v>3</v>
      </c>
      <c r="C64" t="str">
        <f t="shared" ref="C64:C71" si="13">IFERROR(INDEX($A$14:$E$20,1,IFERROR(MATCH(RIGHT(G64,LEN(G64)-5),$A$15:$E$15,0),0)+IFERROR(MATCH(RIGHT(G64,LEN(G64)-5),$A$16:$E$16,0),0)+IFERROR(MATCH(RIGHT(G64,LEN(G64)-5),$A$17:$E$17,0),0)+IFERROR(MATCH(RIGHT(G64,LEN(G64)-5),$A$18:$E$18,0),0)+IFERROR(MATCH(RIGHT(G64,LEN(G64)-5),$A$19:$E$19,0),0)),"!!!!!!!")</f>
        <v>L3 - Impacto regional, Nacional e Internacional desde la Extensión y proyección social</v>
      </c>
      <c r="D64" s="100" t="str">
        <f t="shared" si="11"/>
        <v/>
      </c>
      <c r="E64" t="str">
        <f t="shared" si="6"/>
        <v>L3M4</v>
      </c>
      <c r="F64">
        <f>COUNTIF(G64:$G$231,G64)</f>
        <v>3</v>
      </c>
      <c r="G64" t="str">
        <f t="shared" si="3"/>
        <v xml:space="preserve">M4 - Responsabilidad social universitaria RSU.  </v>
      </c>
      <c r="H64">
        <f t="shared" si="4"/>
        <v>12</v>
      </c>
      <c r="I64" s="100" t="str">
        <f t="shared" si="12"/>
        <v/>
      </c>
      <c r="J64" t="str">
        <f t="shared" si="7"/>
        <v>L3M4P2</v>
      </c>
      <c r="K64" t="s">
        <v>504</v>
      </c>
      <c r="L64" s="100">
        <f ca="1">SUMIF('SEGUIMIENTO Y EVALUACIÓN'!$AL$12:$AL$261,J64,'SEGUIMIENTO Y EVALUACIÓN'!$AV$12:$AV$261)</f>
        <v>3.7000000000000005E-2</v>
      </c>
      <c r="M64" s="116">
        <f t="shared" si="10"/>
        <v>34</v>
      </c>
      <c r="N64" s="116" t="str">
        <f>IF(F64=1,Tabla1[[#This Row],['#]],"")</f>
        <v/>
      </c>
    </row>
    <row r="65" spans="1:16">
      <c r="A65" t="str">
        <f t="shared" si="0"/>
        <v>L3</v>
      </c>
      <c r="B65">
        <f>COUNTIF($C65:C$231,C65)</f>
        <v>2</v>
      </c>
      <c r="C65" t="str">
        <f t="shared" si="13"/>
        <v>L3 - Impacto regional, Nacional e Internacional desde la Extensión y proyección social</v>
      </c>
      <c r="D65" s="100" t="str">
        <f t="shared" si="11"/>
        <v/>
      </c>
      <c r="E65" t="str">
        <f t="shared" si="6"/>
        <v>L3M4</v>
      </c>
      <c r="F65">
        <f>COUNTIF(G65:$G$231,G65)</f>
        <v>2</v>
      </c>
      <c r="G65" t="str">
        <f t="shared" si="3"/>
        <v xml:space="preserve">M4 - Responsabilidad social universitaria RSU.  </v>
      </c>
      <c r="H65">
        <f t="shared" si="4"/>
        <v>12</v>
      </c>
      <c r="I65" s="100" t="str">
        <f t="shared" si="12"/>
        <v/>
      </c>
      <c r="J65" t="str">
        <f t="shared" si="7"/>
        <v>L3M4P3</v>
      </c>
      <c r="K65" s="27" t="s">
        <v>746</v>
      </c>
      <c r="L65" s="100">
        <f>SUMIF('SEGUIMIENTO Y EVALUACIÓN'!$AL$12:$AL$261,J65,'SEGUIMIENTO Y EVALUACIÓN'!$AV$12:$AV$261)</f>
        <v>0</v>
      </c>
      <c r="M65" s="116">
        <f t="shared" si="10"/>
        <v>35</v>
      </c>
      <c r="N65" s="116" t="str">
        <f>IF(F65=1,Tabla1[[#This Row],['#]],"")</f>
        <v/>
      </c>
      <c r="P65" s="91"/>
    </row>
    <row r="66" spans="1:16">
      <c r="A66" t="str">
        <f t="shared" si="0"/>
        <v>L3</v>
      </c>
      <c r="B66">
        <f>COUNTIF($C66:C$231,C66)</f>
        <v>1</v>
      </c>
      <c r="C66" t="str">
        <f t="shared" si="13"/>
        <v>L3 - Impacto regional, Nacional e Internacional desde la Extensión y proyección social</v>
      </c>
      <c r="D66" s="100">
        <f t="shared" ca="1" si="11"/>
        <v>0.14174791666666667</v>
      </c>
      <c r="E66" t="str">
        <f t="shared" si="6"/>
        <v>L3M4</v>
      </c>
      <c r="F66">
        <f>COUNTIF(G66:$G$231,G66)</f>
        <v>1</v>
      </c>
      <c r="G66" t="str">
        <f t="shared" si="3"/>
        <v xml:space="preserve">M4 - Responsabilidad social universitaria RSU.  </v>
      </c>
      <c r="H66">
        <f t="shared" si="4"/>
        <v>12</v>
      </c>
      <c r="I66" s="100">
        <f t="shared" ca="1" si="12"/>
        <v>9.2500000000000013E-3</v>
      </c>
      <c r="J66" t="str">
        <f t="shared" si="7"/>
        <v>L3M4P4</v>
      </c>
      <c r="K66" s="27" t="s">
        <v>748</v>
      </c>
      <c r="L66" s="100">
        <f>SUMIF('SEGUIMIENTO Y EVALUACIÓN'!$AL$12:$AL$261,J66,'SEGUIMIENTO Y EVALUACIÓN'!$AV$12:$AV$261)</f>
        <v>0</v>
      </c>
      <c r="M66" s="116">
        <f t="shared" si="10"/>
        <v>36</v>
      </c>
      <c r="N66" s="116">
        <f>IF(F66=1,Tabla1[[#This Row],['#]],"")</f>
        <v>36</v>
      </c>
      <c r="P66" s="91"/>
    </row>
    <row r="67" spans="1:16">
      <c r="A67" t="str">
        <f t="shared" si="0"/>
        <v>L4</v>
      </c>
      <c r="B67">
        <f>COUNTIF($C67:C$231,C67)</f>
        <v>7</v>
      </c>
      <c r="C67" t="str">
        <f t="shared" si="13"/>
        <v>L4 - Bienestar Universitario, Salud mental positiva, Inclusión y Democracia.</v>
      </c>
      <c r="D67" s="100" t="str">
        <f t="shared" si="11"/>
        <v/>
      </c>
      <c r="E67" t="str">
        <f t="shared" si="6"/>
        <v>L4M1</v>
      </c>
      <c r="F67">
        <f>COUNTIF(G67:$G$231,G67)</f>
        <v>2</v>
      </c>
      <c r="G67" s="214" t="str">
        <f t="shared" si="3"/>
        <v>M1 - Fortalecimiento para la permanencia y graduación oportuna</v>
      </c>
      <c r="H67" s="214">
        <f t="shared" si="4"/>
        <v>13</v>
      </c>
      <c r="I67" s="215" t="str">
        <f t="shared" si="12"/>
        <v/>
      </c>
      <c r="J67" s="214" t="str">
        <f t="shared" si="7"/>
        <v>L4M1P1</v>
      </c>
      <c r="K67" s="216" t="s">
        <v>517</v>
      </c>
      <c r="L67" s="215">
        <f ca="1">SUMIF('SEGUIMIENTO Y EVALUACIÓN'!$AL$12:$AL$261,J67,'SEGUIMIENTO Y EVALUACIÓN'!$AV$12:$AV$261)</f>
        <v>0.13333333333333333</v>
      </c>
      <c r="M67" s="217">
        <f t="shared" si="10"/>
        <v>37</v>
      </c>
      <c r="N67" s="116" t="str">
        <f>IF(F67=1,Tabla1[[#This Row],['#]],"")</f>
        <v/>
      </c>
      <c r="P67" s="91"/>
    </row>
    <row r="68" spans="1:16">
      <c r="A68" t="str">
        <f t="shared" si="0"/>
        <v>L4</v>
      </c>
      <c r="B68">
        <f>COUNTIF($C68:C$231,C68)</f>
        <v>6</v>
      </c>
      <c r="C68" t="str">
        <f t="shared" si="13"/>
        <v>L4 - Bienestar Universitario, Salud mental positiva, Inclusión y Democracia.</v>
      </c>
      <c r="D68" s="100" t="str">
        <f t="shared" si="11"/>
        <v/>
      </c>
      <c r="E68" t="str">
        <f t="shared" si="6"/>
        <v>L4M1</v>
      </c>
      <c r="F68">
        <f>COUNTIF(G68:$G$231,G68)</f>
        <v>1</v>
      </c>
      <c r="G68" s="214" t="str">
        <f t="shared" si="3"/>
        <v>M1 - Fortalecimiento para la permanencia y graduación oportuna</v>
      </c>
      <c r="H68" s="214">
        <f t="shared" si="4"/>
        <v>13</v>
      </c>
      <c r="I68" s="215">
        <f t="shared" ca="1" si="12"/>
        <v>5.1111111111111107E-2</v>
      </c>
      <c r="J68" s="214" t="str">
        <f t="shared" si="7"/>
        <v>L4M1P2</v>
      </c>
      <c r="K68" s="216" t="s">
        <v>529</v>
      </c>
      <c r="L68" s="215">
        <f ca="1">SUMIF('SEGUIMIENTO Y EVALUACIÓN'!$AL$12:$AL$261,J68,'SEGUIMIENTO Y EVALUACIÓN'!$AV$12:$AV$261)</f>
        <v>2.0000000000000004E-2</v>
      </c>
      <c r="M68" s="217">
        <f t="shared" si="10"/>
        <v>38</v>
      </c>
      <c r="N68" s="116">
        <f>IF(F68=1,Tabla1[[#This Row],['#]],"")</f>
        <v>38</v>
      </c>
      <c r="P68" s="91"/>
    </row>
    <row r="69" spans="1:16">
      <c r="A69" t="str">
        <f t="shared" si="0"/>
        <v>L4</v>
      </c>
      <c r="B69">
        <f>COUNTIF($C69:C$231,C69)</f>
        <v>5</v>
      </c>
      <c r="C69" t="str">
        <f t="shared" si="13"/>
        <v>L4 - Bienestar Universitario, Salud mental positiva, Inclusión y Democracia.</v>
      </c>
      <c r="D69" s="100" t="str">
        <f t="shared" si="11"/>
        <v/>
      </c>
      <c r="E69" t="str">
        <f t="shared" si="6"/>
        <v>L4M2</v>
      </c>
      <c r="F69">
        <f>COUNTIF(G69:$G$231,G69)</f>
        <v>2</v>
      </c>
      <c r="G69" s="214" t="str">
        <f t="shared" si="3"/>
        <v>M2 - Cultura ciudadana, cultura política, equidad de género e inclusión</v>
      </c>
      <c r="H69" s="214">
        <f t="shared" si="4"/>
        <v>14</v>
      </c>
      <c r="I69" s="215" t="str">
        <f t="shared" si="12"/>
        <v/>
      </c>
      <c r="J69" s="214" t="str">
        <f t="shared" si="7"/>
        <v>L4M2P1</v>
      </c>
      <c r="K69" s="216" t="s">
        <v>535</v>
      </c>
      <c r="L69" s="215">
        <f ca="1">SUMIF('SEGUIMIENTO Y EVALUACIÓN'!$AL$12:$AL$261,J69,'SEGUIMIENTO Y EVALUACIÓN'!$AV$12:$AV$261)</f>
        <v>0.10857142857142857</v>
      </c>
      <c r="M69" s="217">
        <f t="shared" si="10"/>
        <v>39</v>
      </c>
      <c r="N69" s="116" t="str">
        <f>IF(F69=1,Tabla1[[#This Row],['#]],"")</f>
        <v/>
      </c>
      <c r="P69" s="91"/>
    </row>
    <row r="70" spans="1:16">
      <c r="A70" t="str">
        <f t="shared" si="0"/>
        <v>L4</v>
      </c>
      <c r="B70">
        <f>COUNTIF($C70:C$231,C70)</f>
        <v>4</v>
      </c>
      <c r="C70" t="str">
        <f t="shared" si="13"/>
        <v>L4 - Bienestar Universitario, Salud mental positiva, Inclusión y Democracia.</v>
      </c>
      <c r="D70" s="100" t="str">
        <f t="shared" si="11"/>
        <v/>
      </c>
      <c r="E70" t="str">
        <f t="shared" si="6"/>
        <v>L4M2</v>
      </c>
      <c r="F70">
        <f>COUNTIF(G70:$G$231,G70)</f>
        <v>1</v>
      </c>
      <c r="G70" s="214" t="str">
        <f t="shared" si="3"/>
        <v>M2 - Cultura ciudadana, cultura política, equidad de género e inclusión</v>
      </c>
      <c r="H70" s="214">
        <f t="shared" si="4"/>
        <v>14</v>
      </c>
      <c r="I70" s="215">
        <f t="shared" ca="1" si="12"/>
        <v>3.619047619047619E-2</v>
      </c>
      <c r="J70" s="214" t="str">
        <f t="shared" si="7"/>
        <v>L4M2P2</v>
      </c>
      <c r="K70" s="216" t="s">
        <v>744</v>
      </c>
      <c r="L70" s="215">
        <f>SUMIF('SEGUIMIENTO Y EVALUACIÓN'!$AL$12:$AL$261,J70,'SEGUIMIENTO Y EVALUACIÓN'!$AV$12:$AV$261)</f>
        <v>0</v>
      </c>
      <c r="M70" s="217">
        <f t="shared" si="10"/>
        <v>40</v>
      </c>
      <c r="N70" s="116">
        <f>IF(F70=1,Tabla1[[#This Row],['#]],"")</f>
        <v>40</v>
      </c>
      <c r="P70" s="91"/>
    </row>
    <row r="71" spans="1:16">
      <c r="A71" t="str">
        <f t="shared" si="0"/>
        <v>L4</v>
      </c>
      <c r="B71">
        <f>COUNTIF($C71:C$231,C71)</f>
        <v>3</v>
      </c>
      <c r="C71" t="str">
        <f t="shared" si="13"/>
        <v>L4 - Bienestar Universitario, Salud mental positiva, Inclusión y Democracia.</v>
      </c>
      <c r="D71" s="100" t="str">
        <f t="shared" si="11"/>
        <v/>
      </c>
      <c r="E71" t="str">
        <f t="shared" si="6"/>
        <v>L4M3</v>
      </c>
      <c r="F71">
        <f>COUNTIF(G71:$G$231,G71)</f>
        <v>3</v>
      </c>
      <c r="G71" s="214" t="str">
        <f t="shared" si="3"/>
        <v>M3 - Salud mental positiva y Desarrollo humano integral</v>
      </c>
      <c r="H71" s="214">
        <f t="shared" si="4"/>
        <v>15</v>
      </c>
      <c r="I71" s="215" t="str">
        <f t="shared" si="12"/>
        <v/>
      </c>
      <c r="J71" s="214" t="str">
        <f t="shared" si="7"/>
        <v>L4M3P1</v>
      </c>
      <c r="K71" s="214" t="s">
        <v>552</v>
      </c>
      <c r="L71" s="215">
        <f ca="1">SUMIF('SEGUIMIENTO Y EVALUACIÓN'!$AL$12:$AL$261,J71,'SEGUIMIENTO Y EVALUACIÓN'!$AV$12:$AV$261)</f>
        <v>0.3</v>
      </c>
      <c r="M71" s="217">
        <f t="shared" si="10"/>
        <v>41</v>
      </c>
      <c r="N71" s="116" t="str">
        <f>IF(F71=1,Tabla1[[#This Row],['#]],"")</f>
        <v/>
      </c>
      <c r="P71" s="91"/>
    </row>
    <row r="72" spans="1:16">
      <c r="A72" t="str">
        <f t="shared" si="0"/>
        <v>L4</v>
      </c>
      <c r="B72">
        <f>COUNTIF($C72:C$231,C72)</f>
        <v>2</v>
      </c>
      <c r="C72" t="str">
        <f t="shared" ref="C72:C85" si="14">IFERROR(INDEX($A$14:$E$20,1,IFERROR(MATCH(RIGHT(G72,LEN(G72)-5),$A$15:$E$15,0),0)+IFERROR(MATCH(RIGHT(G72,LEN(G72)-5),$A$16:$E$16,0),0)+IFERROR(MATCH(RIGHT(G72,LEN(G72)-5),$A$17:$E$17,0),0)+IFERROR(MATCH(RIGHT(G72,LEN(G72)-5),$A$18:$E$18,0),0)+IFERROR(MATCH(RIGHT(G72,LEN(G72)-5),$A$19:$E$19,0),0)),"!!!!!!!")</f>
        <v>L4 - Bienestar Universitario, Salud mental positiva, Inclusión y Democracia.</v>
      </c>
      <c r="D72" s="100" t="str">
        <f t="shared" si="11"/>
        <v/>
      </c>
      <c r="E72" t="str">
        <f t="shared" si="6"/>
        <v>L4M3</v>
      </c>
      <c r="F72">
        <f>COUNTIF(G72:$G$231,G72)</f>
        <v>2</v>
      </c>
      <c r="G72" s="214" t="str">
        <f t="shared" si="3"/>
        <v>M3 - Salud mental positiva y Desarrollo humano integral</v>
      </c>
      <c r="H72" s="214">
        <f t="shared" si="4"/>
        <v>15</v>
      </c>
      <c r="I72" s="215" t="str">
        <f t="shared" si="12"/>
        <v/>
      </c>
      <c r="J72" s="214" t="str">
        <f t="shared" si="7"/>
        <v>L4M3P2</v>
      </c>
      <c r="K72" s="214" t="s">
        <v>745</v>
      </c>
      <c r="L72" s="215">
        <f>SUMIF('SEGUIMIENTO Y EVALUACIÓN'!$AL$12:$AL$261,J72,'SEGUIMIENTO Y EVALUACIÓN'!$AV$12:$AV$261)</f>
        <v>0</v>
      </c>
      <c r="M72" s="217">
        <f t="shared" si="10"/>
        <v>42</v>
      </c>
      <c r="N72" s="116" t="str">
        <f>IF(F72=1,Tabla1[[#This Row],['#]],"")</f>
        <v/>
      </c>
      <c r="P72" s="91"/>
    </row>
    <row r="73" spans="1:16">
      <c r="A73" t="str">
        <f t="shared" si="0"/>
        <v>L4</v>
      </c>
      <c r="B73">
        <f>COUNTIF($C73:C$231,C73)</f>
        <v>1</v>
      </c>
      <c r="C73" t="str">
        <f t="shared" si="14"/>
        <v>L4 - Bienestar Universitario, Salud mental positiva, Inclusión y Democracia.</v>
      </c>
      <c r="D73" s="100">
        <f t="shared" ca="1" si="11"/>
        <v>0.1873015873015873</v>
      </c>
      <c r="E73" t="str">
        <f t="shared" si="6"/>
        <v>L4M3</v>
      </c>
      <c r="F73">
        <f>COUNTIF(G73:$G$231,G73)</f>
        <v>1</v>
      </c>
      <c r="G73" s="214" t="str">
        <f t="shared" si="3"/>
        <v>M3 - Salud mental positiva y Desarrollo humano integral</v>
      </c>
      <c r="H73" s="214">
        <f t="shared" si="4"/>
        <v>15</v>
      </c>
      <c r="I73" s="215">
        <f t="shared" ca="1" si="12"/>
        <v>9.9999999999999992E-2</v>
      </c>
      <c r="J73" s="214" t="str">
        <f t="shared" si="7"/>
        <v>L4M3P3</v>
      </c>
      <c r="K73" s="214" t="s">
        <v>747</v>
      </c>
      <c r="L73" s="215">
        <f>SUMIF('SEGUIMIENTO Y EVALUACIÓN'!$AL$12:$AL$261,J73,'SEGUIMIENTO Y EVALUACIÓN'!$AV$12:$AV$261)</f>
        <v>0</v>
      </c>
      <c r="M73" s="217">
        <f t="shared" si="10"/>
        <v>43</v>
      </c>
      <c r="N73" s="116">
        <f>IF(F73=1,Tabla1[[#This Row],['#]],"")</f>
        <v>43</v>
      </c>
      <c r="P73" s="91"/>
    </row>
    <row r="74" spans="1:16">
      <c r="A74" t="str">
        <f t="shared" si="0"/>
        <v>L5</v>
      </c>
      <c r="B74">
        <f>COUNTIF($C74:C$231,C74)</f>
        <v>12</v>
      </c>
      <c r="C74" t="str">
        <f t="shared" si="14"/>
        <v xml:space="preserve">L5 - Modernización de la Gestión Administrativa </v>
      </c>
      <c r="D74" s="100" t="str">
        <f t="shared" si="11"/>
        <v/>
      </c>
      <c r="E74" t="str">
        <f t="shared" si="6"/>
        <v>L5M1</v>
      </c>
      <c r="F74">
        <f>COUNTIF(G74:$G$231,G74)</f>
        <v>6</v>
      </c>
      <c r="G74" t="str">
        <f t="shared" si="3"/>
        <v>M1 - Fortalecimiento institucional</v>
      </c>
      <c r="H74">
        <f t="shared" si="4"/>
        <v>16</v>
      </c>
      <c r="I74" s="100" t="str">
        <f t="shared" si="12"/>
        <v/>
      </c>
      <c r="J74" t="str">
        <f t="shared" si="7"/>
        <v>L5M1P1</v>
      </c>
      <c r="K74" t="s">
        <v>559</v>
      </c>
      <c r="L74" s="100">
        <f ca="1">SUMIF('SEGUIMIENTO Y EVALUACIÓN'!$AL$12:$AL$261,J74,'SEGUIMIENTO Y EVALUACIÓN'!$AV$12:$AV$261)</f>
        <v>8.2380952380952388E-2</v>
      </c>
      <c r="M74" s="116">
        <f t="shared" si="10"/>
        <v>44</v>
      </c>
      <c r="N74" s="116" t="str">
        <f>IF(F74=1,Tabla1[[#This Row],['#]],"")</f>
        <v/>
      </c>
      <c r="P74" s="91"/>
    </row>
    <row r="75" spans="1:16">
      <c r="A75" t="str">
        <f t="shared" ref="A75:A85" si="15">LEFT(C75,2)</f>
        <v>L5</v>
      </c>
      <c r="B75">
        <f>COUNTIF($C75:C$231,C75)</f>
        <v>11</v>
      </c>
      <c r="C75" t="str">
        <f t="shared" si="14"/>
        <v xml:space="preserve">L5 - Modernización de la Gestión Administrativa </v>
      </c>
      <c r="D75" s="100" t="str">
        <f t="shared" si="11"/>
        <v/>
      </c>
      <c r="E75" t="str">
        <f t="shared" si="6"/>
        <v>L5M1</v>
      </c>
      <c r="F75">
        <f>COUNTIF(G75:$G$231,G75)</f>
        <v>5</v>
      </c>
      <c r="G75" t="str">
        <f t="shared" ref="G75:G85" si="16">IFERROR(INDEX(rang,IF(H75=0,0,1),H75),"!!!!!!!")</f>
        <v>M1 - Fortalecimiento institucional</v>
      </c>
      <c r="H75">
        <f t="shared" ref="H75:H85" si="17">(IFERROR(MATCH(RIGHT($K75,LEN($K75)-5),$A$3:$R$3,0),0)+IFERROR(MATCH(RIGHT($K75,LEN($K75)-5),$A$4:$R$4,0),0)+IFERROR(MATCH(RIGHT($K75,LEN($K75)-5),$A$5:$R$5,0),0)+IFERROR(MATCH(RIGHT($K75,LEN($K75)-5),$A$6:$R$6,0),0)+IFERROR(MATCH(RIGHT($K75,LEN($K75)-5),$A$7:$R$7,0),0)+IFERROR(MATCH(RIGHT($K75,LEN($K75)-5),$A$8:$R$8,0),0)+IFERROR(MATCH(RIGHT(RIGHT($K75,LEN($K75)-5),LEN($K75)-5),$A$9:$R$9,0),0)+IFERROR(MATCH(RIGHT($K75,LEN($K75)-5),$A$10:$R$10,0),0)+IFERROR(MATCH(RIGHT($K75,LEN($K75)-5),$A$11:$R$11,0),0))</f>
        <v>16</v>
      </c>
      <c r="I75" s="100" t="str">
        <f t="shared" si="12"/>
        <v/>
      </c>
      <c r="J75" t="str">
        <f t="shared" si="7"/>
        <v>L5M1P2</v>
      </c>
      <c r="K75" s="27" t="s">
        <v>569</v>
      </c>
      <c r="L75" s="100">
        <f ca="1">SUMIF('SEGUIMIENTO Y EVALUACIÓN'!$AL$12:$AL$261,J75,'SEGUIMIENTO Y EVALUACIÓN'!$AV$12:$AV$261)</f>
        <v>6.1848E-2</v>
      </c>
      <c r="M75" s="116">
        <f t="shared" si="10"/>
        <v>45</v>
      </c>
      <c r="N75" s="116" t="str">
        <f>IF(F75=1,Tabla1[[#This Row],['#]],"")</f>
        <v/>
      </c>
      <c r="P75" s="91"/>
    </row>
    <row r="76" spans="1:16">
      <c r="A76" t="str">
        <f t="shared" si="15"/>
        <v>L5</v>
      </c>
      <c r="B76">
        <f>COUNTIF($C76:C$231,C76)</f>
        <v>10</v>
      </c>
      <c r="C76" t="str">
        <f t="shared" si="14"/>
        <v xml:space="preserve">L5 - Modernización de la Gestión Administrativa </v>
      </c>
      <c r="D76" s="100" t="str">
        <f t="shared" si="11"/>
        <v/>
      </c>
      <c r="E76" t="str">
        <f t="shared" si="6"/>
        <v>L5M1</v>
      </c>
      <c r="F76">
        <f>COUNTIF(G76:$G$231,G76)</f>
        <v>4</v>
      </c>
      <c r="G76" t="str">
        <f t="shared" si="16"/>
        <v>M1 - Fortalecimiento institucional</v>
      </c>
      <c r="H76">
        <f t="shared" si="17"/>
        <v>16</v>
      </c>
      <c r="I76" s="100" t="str">
        <f t="shared" si="12"/>
        <v/>
      </c>
      <c r="J76" t="str">
        <f t="shared" si="7"/>
        <v>L5M1P3</v>
      </c>
      <c r="K76" s="27" t="s">
        <v>580</v>
      </c>
      <c r="L76" s="100">
        <f ca="1">SUMIF('SEGUIMIENTO Y EVALUACIÓN'!$AL$12:$AL$261,J76,'SEGUIMIENTO Y EVALUACIÓN'!$AV$12:$AV$261)</f>
        <v>5.8933333333333338E-2</v>
      </c>
      <c r="M76" s="116">
        <f t="shared" si="10"/>
        <v>46</v>
      </c>
      <c r="N76" s="116" t="str">
        <f>IF(F76=1,Tabla1[[#This Row],['#]],"")</f>
        <v/>
      </c>
      <c r="P76" s="91"/>
    </row>
    <row r="77" spans="1:16">
      <c r="A77" t="str">
        <f t="shared" si="15"/>
        <v>L5</v>
      </c>
      <c r="B77">
        <f>COUNTIF($C77:C$231,C77)</f>
        <v>9</v>
      </c>
      <c r="C77" t="str">
        <f t="shared" si="14"/>
        <v xml:space="preserve">L5 - Modernización de la Gestión Administrativa </v>
      </c>
      <c r="D77" s="100" t="str">
        <f t="shared" si="11"/>
        <v/>
      </c>
      <c r="E77" t="str">
        <f t="shared" si="6"/>
        <v>L5M1</v>
      </c>
      <c r="F77">
        <f>COUNTIF(G77:$G$231,G77)</f>
        <v>3</v>
      </c>
      <c r="G77" t="str">
        <f t="shared" si="16"/>
        <v>M1 - Fortalecimiento institucional</v>
      </c>
      <c r="H77">
        <f t="shared" si="17"/>
        <v>16</v>
      </c>
      <c r="I77" s="100" t="str">
        <f t="shared" si="12"/>
        <v/>
      </c>
      <c r="J77" t="str">
        <f t="shared" si="7"/>
        <v>L5M1P4</v>
      </c>
      <c r="K77" s="27" t="s">
        <v>591</v>
      </c>
      <c r="L77" s="100">
        <f ca="1">SUMIF('SEGUIMIENTO Y EVALUACIÓN'!$AL$12:$AL$261,J77,'SEGUIMIENTO Y EVALUACIÓN'!$AV$12:$AV$261)</f>
        <v>8.5200000000000012E-2</v>
      </c>
      <c r="M77" s="116">
        <f t="shared" si="10"/>
        <v>47</v>
      </c>
      <c r="N77" s="116" t="str">
        <f>IF(F77=1,Tabla1[[#This Row],['#]],"")</f>
        <v/>
      </c>
      <c r="P77" s="91"/>
    </row>
    <row r="78" spans="1:16">
      <c r="A78" t="str">
        <f t="shared" si="15"/>
        <v>L5</v>
      </c>
      <c r="B78">
        <f>COUNTIF($C78:C$231,C78)</f>
        <v>8</v>
      </c>
      <c r="C78" t="str">
        <f t="shared" si="14"/>
        <v xml:space="preserve">L5 - Modernización de la Gestión Administrativa </v>
      </c>
      <c r="D78" s="100" t="str">
        <f t="shared" si="11"/>
        <v/>
      </c>
      <c r="E78" t="str">
        <f t="shared" si="6"/>
        <v>L5M1</v>
      </c>
      <c r="F78">
        <f>COUNTIF(G78:$G$231,G78)</f>
        <v>2</v>
      </c>
      <c r="G78" t="str">
        <f t="shared" si="16"/>
        <v>M1 - Fortalecimiento institucional</v>
      </c>
      <c r="H78">
        <f t="shared" si="17"/>
        <v>16</v>
      </c>
      <c r="I78" s="100" t="str">
        <f t="shared" si="12"/>
        <v/>
      </c>
      <c r="J78" t="str">
        <f t="shared" si="7"/>
        <v>L5M1P5</v>
      </c>
      <c r="K78" s="27" t="s">
        <v>750</v>
      </c>
      <c r="L78" s="100">
        <f>SUMIF('SEGUIMIENTO Y EVALUACIÓN'!$AL$12:$AL$261,J78,'SEGUIMIENTO Y EVALUACIÓN'!$AV$12:$AV$261)</f>
        <v>0</v>
      </c>
      <c r="M78" s="116">
        <f t="shared" si="10"/>
        <v>48</v>
      </c>
      <c r="N78" s="116" t="str">
        <f>IF(F78=1,Tabla1[[#This Row],['#]],"")</f>
        <v/>
      </c>
      <c r="P78" s="91"/>
    </row>
    <row r="79" spans="1:16">
      <c r="A79" t="str">
        <f>LEFT(C79,2)</f>
        <v>L5</v>
      </c>
      <c r="B79">
        <f>COUNTIF($C79:C$231,C79)</f>
        <v>7</v>
      </c>
      <c r="C79" t="str">
        <f>IFERROR(INDEX($A$14:$E$20,1,IFERROR(MATCH(RIGHT(G79,LEN(G79)-5),$A$15:$E$15,0),0)+IFERROR(MATCH(RIGHT(G79,LEN(G79)-5),$A$16:$E$16,0),0)+IFERROR(MATCH(RIGHT(G79,LEN(G79)-5),$A$17:$E$17,0),0)+IFERROR(MATCH(RIGHT(G79,LEN(G79)-5),$A$18:$E$18,0),0)+IFERROR(MATCH(RIGHT(G79,LEN(G79)-5),$A$19:$E$19,0),0)),"!!!!!!!")</f>
        <v xml:space="preserve">L5 - Modernización de la Gestión Administrativa </v>
      </c>
      <c r="D79" s="100" t="str">
        <f>IFERROR(IF(B79=1,SUMIF($C$31:$C$231,C79,$I$31:$I$231),""),"")</f>
        <v/>
      </c>
      <c r="E79" t="str">
        <f>A79&amp;LEFT(G79,2)</f>
        <v>L5M1</v>
      </c>
      <c r="F79">
        <f>COUNTIF(G79:$G$231,G79)</f>
        <v>1</v>
      </c>
      <c r="G79" t="str">
        <f>IFERROR(INDEX(rang,IF(H79=0,0,1),H79),"!!!!!!!")</f>
        <v>M1 - Fortalecimiento institucional</v>
      </c>
      <c r="H79">
        <f>(IFERROR(MATCH(RIGHT($K79,LEN($K79)-5),$A$3:$R$3,0),0)+IFERROR(MATCH(RIGHT($K79,LEN($K79)-5),$A$4:$R$4,0),0)+IFERROR(MATCH(RIGHT($K79,LEN($K79)-5),$A$5:$R$5,0),0)+IFERROR(MATCH(RIGHT($K79,LEN($K79)-5),$A$6:$R$6,0),0)+IFERROR(MATCH(RIGHT($K79,LEN($K79)-5),$A$7:$R$7,0),0)+IFERROR(MATCH(RIGHT($K79,LEN($K79)-5),$A$8:$R$8,0),0)+IFERROR(MATCH(RIGHT(RIGHT($K79,LEN($K79)-5),LEN($K79)-5),$A$9:$R$9,0),0)+IFERROR(MATCH(RIGHT($K79,LEN($K79)-5),$A$10:$R$10,0),0)+IFERROR(MATCH(RIGHT($K79,LEN($K79)-5),$A$11:$R$11,0),0))</f>
        <v>16</v>
      </c>
      <c r="I79" s="100">
        <f t="shared" ca="1" si="12"/>
        <v>0.11292076190476191</v>
      </c>
      <c r="J79" t="str">
        <f>E79&amp;LEFT(K79,2)</f>
        <v>L5M1P6</v>
      </c>
      <c r="K79" s="27" t="s">
        <v>595</v>
      </c>
      <c r="L79" s="100">
        <f ca="1">SUMIF('SEGUIMIENTO Y EVALUACIÓN'!$AL$12:$AL$261,J79,'SEGUIMIENTO Y EVALUACIÓN'!$AV$12:$AV$261)</f>
        <v>5.04E-2</v>
      </c>
      <c r="M79" s="116">
        <f t="shared" si="10"/>
        <v>49</v>
      </c>
      <c r="N79" s="116">
        <f>IF(F79=1,Tabla1[[#This Row],['#]],"")</f>
        <v>49</v>
      </c>
      <c r="P79" s="91"/>
    </row>
    <row r="80" spans="1:16">
      <c r="A80" t="str">
        <f t="shared" si="15"/>
        <v>L5</v>
      </c>
      <c r="B80">
        <f>COUNTIF($C80:C$231,C80)</f>
        <v>6</v>
      </c>
      <c r="C80" t="str">
        <f t="shared" si="14"/>
        <v xml:space="preserve">L5 - Modernización de la Gestión Administrativa </v>
      </c>
      <c r="D80" s="100" t="str">
        <f t="shared" si="11"/>
        <v/>
      </c>
      <c r="E80" t="str">
        <f t="shared" si="6"/>
        <v>L5M2</v>
      </c>
      <c r="F80">
        <f>COUNTIF(G80:$G$231,G80)</f>
        <v>1</v>
      </c>
      <c r="G80" t="str">
        <f t="shared" si="16"/>
        <v>M2 - Fortalecimiento de la estructura organizativa y del talento humano.</v>
      </c>
      <c r="H80">
        <f t="shared" si="17"/>
        <v>17</v>
      </c>
      <c r="I80" s="100">
        <f t="shared" ca="1" si="12"/>
        <v>1.9999999999999997E-2</v>
      </c>
      <c r="J80" t="str">
        <f t="shared" si="7"/>
        <v>L5M2P1</v>
      </c>
      <c r="K80" t="s">
        <v>605</v>
      </c>
      <c r="L80" s="100">
        <f ca="1">SUMIF('SEGUIMIENTO Y EVALUACIÓN'!$AL$12:$AL$261,J80,'SEGUIMIENTO Y EVALUACIÓN'!$AV$12:$AV$261)</f>
        <v>0.06</v>
      </c>
      <c r="M80" s="116">
        <f t="shared" si="10"/>
        <v>50</v>
      </c>
      <c r="N80" s="116">
        <f>IF(F80=1,Tabla1[[#This Row],['#]],"")</f>
        <v>50</v>
      </c>
      <c r="P80" s="91"/>
    </row>
    <row r="81" spans="1:18">
      <c r="A81" t="str">
        <f t="shared" si="15"/>
        <v>L5</v>
      </c>
      <c r="B81">
        <f>COUNTIF($C81:C$231,C81)</f>
        <v>5</v>
      </c>
      <c r="C81" t="str">
        <f t="shared" si="14"/>
        <v xml:space="preserve">L5 - Modernización de la Gestión Administrativa </v>
      </c>
      <c r="D81" s="100" t="str">
        <f t="shared" si="11"/>
        <v/>
      </c>
      <c r="E81" t="str">
        <f t="shared" si="6"/>
        <v>L5M3</v>
      </c>
      <c r="F81">
        <f>COUNTIF(G81:$G$231,G81)</f>
        <v>5</v>
      </c>
      <c r="G81" t="str">
        <f t="shared" si="16"/>
        <v>M3 - Infraestructura y dotación adecuada</v>
      </c>
      <c r="H81">
        <f t="shared" si="17"/>
        <v>18</v>
      </c>
      <c r="I81" s="100" t="str">
        <f t="shared" si="12"/>
        <v/>
      </c>
      <c r="J81" t="str">
        <f t="shared" si="7"/>
        <v>L5M3P1</v>
      </c>
      <c r="K81" t="s">
        <v>616</v>
      </c>
      <c r="L81" s="100">
        <f ca="1">SUMIF('SEGUIMIENTO Y EVALUACIÓN'!$AL$12:$AL$261,J81,'SEGUIMIENTO Y EVALUACIÓN'!$AV$12:$AV$261)</f>
        <v>0</v>
      </c>
      <c r="M81" s="116">
        <f t="shared" si="10"/>
        <v>51</v>
      </c>
      <c r="N81" s="116" t="str">
        <f>IF(F81=1,Tabla1[[#This Row],['#]],"")</f>
        <v/>
      </c>
      <c r="P81" s="91"/>
    </row>
    <row r="82" spans="1:18">
      <c r="A82" t="str">
        <f t="shared" si="15"/>
        <v>L5</v>
      </c>
      <c r="B82">
        <f>COUNTIF($C82:C$231,C82)</f>
        <v>4</v>
      </c>
      <c r="C82" t="str">
        <f t="shared" si="14"/>
        <v xml:space="preserve">L5 - Modernización de la Gestión Administrativa </v>
      </c>
      <c r="D82" s="100" t="str">
        <f t="shared" si="11"/>
        <v/>
      </c>
      <c r="E82" t="str">
        <f t="shared" si="6"/>
        <v>L5M3</v>
      </c>
      <c r="F82">
        <f>COUNTIF(G82:$G$231,G82)</f>
        <v>4</v>
      </c>
      <c r="G82" t="str">
        <f t="shared" si="16"/>
        <v>M3 - Infraestructura y dotación adecuada</v>
      </c>
      <c r="H82">
        <f t="shared" si="17"/>
        <v>18</v>
      </c>
      <c r="I82" s="100" t="str">
        <f t="shared" si="12"/>
        <v/>
      </c>
      <c r="J82" t="str">
        <f t="shared" si="7"/>
        <v>L5M3P2</v>
      </c>
      <c r="K82" t="s">
        <v>622</v>
      </c>
      <c r="L82" s="100">
        <f ca="1">SUMIF('SEGUIMIENTO Y EVALUACIÓN'!$AL$12:$AL$261,J82,'SEGUIMIENTO Y EVALUACIÓN'!$AV$12:$AV$261)</f>
        <v>0.12</v>
      </c>
      <c r="M82" s="116">
        <f t="shared" si="10"/>
        <v>52</v>
      </c>
      <c r="N82" s="116" t="str">
        <f>IF(F82=1,Tabla1[[#This Row],['#]],"")</f>
        <v/>
      </c>
      <c r="P82" s="91"/>
    </row>
    <row r="83" spans="1:18">
      <c r="A83" t="str">
        <f t="shared" si="15"/>
        <v>L5</v>
      </c>
      <c r="B83">
        <f>COUNTIF($C83:C$231,C83)</f>
        <v>3</v>
      </c>
      <c r="C83" t="str">
        <f t="shared" si="14"/>
        <v xml:space="preserve">L5 - Modernización de la Gestión Administrativa </v>
      </c>
      <c r="D83" s="100" t="str">
        <f t="shared" si="11"/>
        <v/>
      </c>
      <c r="E83" t="str">
        <f t="shared" si="6"/>
        <v>L5M3</v>
      </c>
      <c r="F83">
        <f>COUNTIF(G83:$G$231,G83)</f>
        <v>3</v>
      </c>
      <c r="G83" t="str">
        <f t="shared" si="16"/>
        <v>M3 - Infraestructura y dotación adecuada</v>
      </c>
      <c r="H83">
        <f t="shared" si="17"/>
        <v>18</v>
      </c>
      <c r="I83" s="100" t="str">
        <f t="shared" si="12"/>
        <v/>
      </c>
      <c r="J83" t="str">
        <f t="shared" si="7"/>
        <v>L5M3P3</v>
      </c>
      <c r="K83" t="s">
        <v>626</v>
      </c>
      <c r="L83" s="100">
        <f ca="1">SUMIF('SEGUIMIENTO Y EVALUACIÓN'!$AL$12:$AL$261,J83,'SEGUIMIENTO Y EVALUACIÓN'!$AV$12:$AV$261)</f>
        <v>7.6499999999999999E-2</v>
      </c>
      <c r="M83" s="116">
        <f t="shared" si="10"/>
        <v>53</v>
      </c>
      <c r="N83" s="116" t="str">
        <f>IF(F83=1,Tabla1[[#This Row],['#]],"")</f>
        <v/>
      </c>
      <c r="P83" s="9"/>
      <c r="Q83" s="9"/>
      <c r="R83" s="9"/>
    </row>
    <row r="84" spans="1:18">
      <c r="A84" t="str">
        <f t="shared" si="15"/>
        <v>L5</v>
      </c>
      <c r="B84">
        <f>COUNTIF($C84:C$231,C84)</f>
        <v>2</v>
      </c>
      <c r="C84" t="str">
        <f t="shared" si="14"/>
        <v xml:space="preserve">L5 - Modernización de la Gestión Administrativa </v>
      </c>
      <c r="D84" s="100" t="str">
        <f t="shared" si="11"/>
        <v/>
      </c>
      <c r="E84" t="str">
        <f t="shared" si="6"/>
        <v>L5M3</v>
      </c>
      <c r="F84">
        <f>COUNTIF(G84:$G$231,G84)</f>
        <v>2</v>
      </c>
      <c r="G84" t="str">
        <f t="shared" si="16"/>
        <v>M3 - Infraestructura y dotación adecuada</v>
      </c>
      <c r="H84">
        <f t="shared" si="17"/>
        <v>18</v>
      </c>
      <c r="I84" s="100" t="str">
        <f t="shared" si="12"/>
        <v/>
      </c>
      <c r="J84" t="str">
        <f t="shared" si="7"/>
        <v>L5M3P4</v>
      </c>
      <c r="K84" t="s">
        <v>749</v>
      </c>
      <c r="L84" s="100">
        <f>SUMIF('SEGUIMIENTO Y EVALUACIÓN'!$AL$12:$AL$261,J84,'SEGUIMIENTO Y EVALUACIÓN'!$AV$12:$AV$261)</f>
        <v>0</v>
      </c>
      <c r="M84" s="116">
        <f t="shared" si="10"/>
        <v>54</v>
      </c>
      <c r="N84" s="116" t="str">
        <f>IF(F84=1,Tabla1[[#This Row],['#]],"")</f>
        <v/>
      </c>
      <c r="P84" s="9"/>
      <c r="Q84" s="9"/>
      <c r="R84" s="95"/>
    </row>
    <row r="85" spans="1:18" ht="15.75">
      <c r="A85" t="str">
        <f t="shared" si="15"/>
        <v>L5</v>
      </c>
      <c r="B85">
        <f>COUNTIF($C85:C$231,C85)</f>
        <v>1</v>
      </c>
      <c r="C85" t="str">
        <f t="shared" si="14"/>
        <v xml:space="preserve">L5 - Modernización de la Gestión Administrativa </v>
      </c>
      <c r="D85" s="100">
        <f t="shared" ca="1" si="11"/>
        <v>0.19842076190476191</v>
      </c>
      <c r="E85" t="str">
        <f t="shared" si="6"/>
        <v>L5M3</v>
      </c>
      <c r="F85">
        <f>COUNTIF(G85:$G$231,G85)</f>
        <v>1</v>
      </c>
      <c r="G85" t="str">
        <f t="shared" si="16"/>
        <v>M3 - Infraestructura y dotación adecuada</v>
      </c>
      <c r="H85">
        <f t="shared" si="17"/>
        <v>18</v>
      </c>
      <c r="I85" s="100">
        <f t="shared" ca="1" si="12"/>
        <v>6.5500000000000003E-2</v>
      </c>
      <c r="J85" t="str">
        <f t="shared" si="7"/>
        <v>L5M3P5</v>
      </c>
      <c r="K85" t="s">
        <v>751</v>
      </c>
      <c r="L85" s="100">
        <f>SUMIF('SEGUIMIENTO Y EVALUACIÓN'!$AL$12:$AL$261,J85,'SEGUIMIENTO Y EVALUACIÓN'!$AV$12:$AV$261)</f>
        <v>0</v>
      </c>
      <c r="M85" s="116">
        <f t="shared" si="10"/>
        <v>55</v>
      </c>
      <c r="N85" s="116">
        <f>IF(F85=1,Tabla1[[#This Row],['#]],"")</f>
        <v>55</v>
      </c>
      <c r="P85" s="3"/>
      <c r="Q85" s="3"/>
      <c r="R85" s="3"/>
    </row>
    <row r="86" spans="1:18">
      <c r="A86" t="s">
        <v>779</v>
      </c>
      <c r="D86" s="104"/>
      <c r="I86" s="104"/>
      <c r="K86" s="27"/>
      <c r="L86" s="103">
        <f ca="1">SUBTOTAL(109,Tabla1[val.proye])</f>
        <v>2.7784831998189707</v>
      </c>
      <c r="P86" s="91"/>
    </row>
    <row r="87" spans="1:18">
      <c r="D87" s="100">
        <f ca="1">AVERAGE(Tabla1[val.Linea])</f>
        <v>0.16333428338958422</v>
      </c>
    </row>
    <row r="119" spans="12:12">
      <c r="L119" s="104"/>
    </row>
    <row r="120" spans="12:12">
      <c r="L120" s="104"/>
    </row>
    <row r="121" spans="12:12">
      <c r="L121" s="104"/>
    </row>
    <row r="122" spans="12:12">
      <c r="L122" s="104"/>
    </row>
    <row r="123" spans="12:12">
      <c r="L123" s="104"/>
    </row>
    <row r="124" spans="12:12">
      <c r="L124" s="104"/>
    </row>
    <row r="125" spans="12:12">
      <c r="L125" s="104"/>
    </row>
    <row r="126" spans="12:12">
      <c r="L126" s="104"/>
    </row>
    <row r="127" spans="12:12">
      <c r="L127" s="104"/>
    </row>
    <row r="128" spans="12:12">
      <c r="L128" s="104"/>
    </row>
    <row r="129" spans="12:12">
      <c r="L129" s="104"/>
    </row>
    <row r="130" spans="12:12">
      <c r="L130" s="104"/>
    </row>
    <row r="131" spans="12:12">
      <c r="L131" s="104"/>
    </row>
    <row r="132" spans="12:12">
      <c r="L132" s="104"/>
    </row>
    <row r="133" spans="12:12">
      <c r="L133" s="104"/>
    </row>
    <row r="134" spans="12:12">
      <c r="L134" s="104"/>
    </row>
    <row r="135" spans="12:12">
      <c r="L135" s="104"/>
    </row>
    <row r="136" spans="12:12">
      <c r="L136" s="104"/>
    </row>
    <row r="137" spans="12:12">
      <c r="L137" s="104"/>
    </row>
    <row r="138" spans="12:12">
      <c r="L138" s="104"/>
    </row>
    <row r="139" spans="12:12">
      <c r="L139" s="104"/>
    </row>
    <row r="140" spans="12:12">
      <c r="L140" s="104"/>
    </row>
    <row r="141" spans="12:12">
      <c r="L141" s="104"/>
    </row>
    <row r="142" spans="12:12">
      <c r="L142" s="104"/>
    </row>
    <row r="143" spans="12:12">
      <c r="L143" s="104"/>
    </row>
    <row r="144" spans="12:12">
      <c r="L144" s="104"/>
    </row>
    <row r="145" spans="12:12">
      <c r="L145" s="104"/>
    </row>
    <row r="146" spans="12:12">
      <c r="L146" s="104"/>
    </row>
    <row r="147" spans="12:12">
      <c r="L147" s="104"/>
    </row>
    <row r="148" spans="12:12">
      <c r="L148" s="104"/>
    </row>
    <row r="149" spans="12:12">
      <c r="L149" s="104"/>
    </row>
    <row r="150" spans="12:12">
      <c r="L150" s="104"/>
    </row>
    <row r="151" spans="12:12">
      <c r="L151" s="104"/>
    </row>
    <row r="152" spans="12:12">
      <c r="L152" s="104"/>
    </row>
    <row r="153" spans="12:12">
      <c r="L153" s="104"/>
    </row>
    <row r="154" spans="12:12">
      <c r="L154" s="104"/>
    </row>
    <row r="155" spans="12:12">
      <c r="L155" s="104"/>
    </row>
    <row r="156" spans="12:12">
      <c r="L156" s="104"/>
    </row>
    <row r="157" spans="12:12">
      <c r="L157" s="104"/>
    </row>
    <row r="158" spans="12:12">
      <c r="L158" s="104"/>
    </row>
    <row r="159" spans="12:12">
      <c r="L159" s="104"/>
    </row>
    <row r="160" spans="12:12">
      <c r="L160" s="104"/>
    </row>
    <row r="161" spans="10:12">
      <c r="L161" s="104"/>
    </row>
    <row r="162" spans="10:12">
      <c r="L162" s="104"/>
    </row>
    <row r="163" spans="10:12">
      <c r="L163" s="104"/>
    </row>
    <row r="164" spans="10:12">
      <c r="L164" s="104"/>
    </row>
    <row r="165" spans="10:12">
      <c r="L165" s="104"/>
    </row>
    <row r="166" spans="10:12">
      <c r="L166" s="104"/>
    </row>
    <row r="167" spans="10:12">
      <c r="L167" s="104"/>
    </row>
    <row r="168" spans="10:12">
      <c r="L168" s="104"/>
    </row>
    <row r="169" spans="10:12">
      <c r="L169" s="104"/>
    </row>
    <row r="170" spans="10:12">
      <c r="L170" s="104"/>
    </row>
    <row r="171" spans="10:12">
      <c r="L171" s="104"/>
    </row>
    <row r="172" spans="10:12">
      <c r="L172" s="104"/>
    </row>
    <row r="173" spans="10:12">
      <c r="L173" s="104"/>
    </row>
    <row r="174" spans="10:12">
      <c r="L174" s="104"/>
    </row>
    <row r="175" spans="10:12">
      <c r="L175" s="104"/>
    </row>
    <row r="176" spans="10:12">
      <c r="J176" s="90"/>
    </row>
    <row r="249" spans="4:10">
      <c r="J249" s="27"/>
    </row>
    <row r="250" spans="4:10">
      <c r="J250" s="90"/>
    </row>
    <row r="251" spans="4:10">
      <c r="J251" s="90"/>
    </row>
    <row r="252" spans="4:10">
      <c r="J252" s="90"/>
    </row>
    <row r="253" spans="4:10">
      <c r="J253" s="90"/>
    </row>
    <row r="254" spans="4:10">
      <c r="J254" s="90"/>
    </row>
    <row r="255" spans="4:10">
      <c r="D255" s="100" t="s">
        <v>780</v>
      </c>
      <c r="J255" s="90"/>
    </row>
    <row r="256" spans="4:10">
      <c r="D256" s="100" t="s">
        <v>780</v>
      </c>
      <c r="J256" s="90"/>
    </row>
    <row r="257" spans="4:10">
      <c r="D257" s="100" t="s">
        <v>780</v>
      </c>
      <c r="J257" s="90"/>
    </row>
    <row r="258" spans="4:10">
      <c r="D258" s="100" t="s">
        <v>780</v>
      </c>
      <c r="J258" s="90"/>
    </row>
    <row r="259" spans="4:10">
      <c r="D259" s="100" t="s">
        <v>780</v>
      </c>
      <c r="J259" s="90"/>
    </row>
    <row r="260" spans="4:10">
      <c r="D260" s="100" t="s">
        <v>780</v>
      </c>
      <c r="J260" s="90"/>
    </row>
    <row r="261" spans="4:10">
      <c r="D261" s="100" t="s">
        <v>780</v>
      </c>
      <c r="J261" s="90"/>
    </row>
    <row r="262" spans="4:10">
      <c r="D262" s="100" t="s">
        <v>780</v>
      </c>
      <c r="J262" s="90"/>
    </row>
    <row r="263" spans="4:10">
      <c r="J263" s="90"/>
    </row>
    <row r="264" spans="4:10">
      <c r="D264" s="100" t="s">
        <v>780</v>
      </c>
      <c r="J264" s="90"/>
    </row>
    <row r="265" spans="4:10">
      <c r="D265" s="100" t="s">
        <v>780</v>
      </c>
      <c r="J265" s="90"/>
    </row>
    <row r="266" spans="4:10">
      <c r="D266" s="100" t="s">
        <v>780</v>
      </c>
      <c r="J266" s="90"/>
    </row>
    <row r="267" spans="4:10">
      <c r="D267" s="100" t="s">
        <v>780</v>
      </c>
      <c r="J267" s="90"/>
    </row>
    <row r="268" spans="4:10">
      <c r="D268" s="100" t="s">
        <v>780</v>
      </c>
      <c r="G268" s="90"/>
      <c r="J268" s="90"/>
    </row>
    <row r="269" spans="4:10">
      <c r="D269" s="100" t="s">
        <v>780</v>
      </c>
      <c r="J269" s="90"/>
    </row>
    <row r="270" spans="4:10">
      <c r="D270" s="100" t="s">
        <v>780</v>
      </c>
      <c r="J270" s="90"/>
    </row>
    <row r="271" spans="4:10">
      <c r="D271" s="100" t="s">
        <v>780</v>
      </c>
      <c r="J271" s="90"/>
    </row>
    <row r="272" spans="4:10">
      <c r="D272" s="100" t="s">
        <v>780</v>
      </c>
      <c r="J272" s="90"/>
    </row>
    <row r="273" spans="4:10">
      <c r="D273" s="100" t="s">
        <v>780</v>
      </c>
      <c r="J273" s="90"/>
    </row>
    <row r="274" spans="4:10">
      <c r="D274" s="100" t="s">
        <v>780</v>
      </c>
      <c r="J274" s="90"/>
    </row>
    <row r="275" spans="4:10">
      <c r="D275" s="100" t="s">
        <v>780</v>
      </c>
      <c r="J275" s="90"/>
    </row>
    <row r="276" spans="4:10">
      <c r="D276" s="100" t="s">
        <v>780</v>
      </c>
      <c r="J276" s="90"/>
    </row>
    <row r="277" spans="4:10">
      <c r="J277" s="90"/>
    </row>
    <row r="278" spans="4:10">
      <c r="J278" s="90"/>
    </row>
    <row r="279" spans="4:10">
      <c r="J279" s="90"/>
    </row>
    <row r="280" spans="4:10">
      <c r="J280" s="90"/>
    </row>
    <row r="281" spans="4:10">
      <c r="J281" s="90"/>
    </row>
    <row r="282" spans="4:10">
      <c r="J282" s="90"/>
    </row>
    <row r="283" spans="4:10">
      <c r="J283" s="90"/>
    </row>
    <row r="284" spans="4:10">
      <c r="J284" s="90"/>
    </row>
    <row r="285" spans="4:10">
      <c r="J285" s="90"/>
    </row>
    <row r="286" spans="4:10">
      <c r="J286" s="90"/>
    </row>
    <row r="287" spans="4:10">
      <c r="J287" s="90"/>
    </row>
    <row r="288" spans="4:10">
      <c r="J288" s="90"/>
    </row>
    <row r="289" spans="10:10">
      <c r="J289" s="90"/>
    </row>
    <row r="290" spans="10:10">
      <c r="J290" s="90"/>
    </row>
    <row r="291" spans="10:10">
      <c r="J291" s="90"/>
    </row>
    <row r="292" spans="10:10">
      <c r="J292" s="90"/>
    </row>
    <row r="293" spans="10:10">
      <c r="J293" s="90"/>
    </row>
    <row r="294" spans="10:10">
      <c r="J294" s="90"/>
    </row>
    <row r="295" spans="10:10">
      <c r="J295" s="90"/>
    </row>
    <row r="296" spans="10:10">
      <c r="J296" s="90"/>
    </row>
    <row r="297" spans="10:10">
      <c r="J297" s="90"/>
    </row>
    <row r="298" spans="10:10">
      <c r="J298" s="90"/>
    </row>
    <row r="299" spans="10:10">
      <c r="J299" s="90"/>
    </row>
    <row r="300" spans="10:10">
      <c r="J300" s="90"/>
    </row>
    <row r="301" spans="10:10">
      <c r="J301" s="90"/>
    </row>
    <row r="302" spans="10:10">
      <c r="J302" s="90"/>
    </row>
    <row r="303" spans="10:10">
      <c r="J303" s="90"/>
    </row>
    <row r="304" spans="10:10">
      <c r="J304" s="90"/>
    </row>
    <row r="305" spans="10:10">
      <c r="J305" s="90"/>
    </row>
    <row r="371" spans="8:12">
      <c r="H371" s="100"/>
      <c r="I371"/>
      <c r="K371" s="100"/>
      <c r="L371"/>
    </row>
    <row r="372" spans="8:12">
      <c r="H372" s="100"/>
      <c r="I372"/>
      <c r="K372" s="100"/>
      <c r="L372"/>
    </row>
    <row r="373" spans="8:12">
      <c r="H373" s="100"/>
      <c r="I373"/>
      <c r="K373" s="100"/>
      <c r="L373"/>
    </row>
    <row r="374" spans="8:12">
      <c r="H374" s="100"/>
      <c r="I374"/>
      <c r="K374" s="100"/>
      <c r="L374"/>
    </row>
    <row r="375" spans="8:12">
      <c r="H375" s="100"/>
      <c r="I375"/>
      <c r="K375" s="100"/>
      <c r="L375"/>
    </row>
    <row r="376" spans="8:12">
      <c r="H376" s="100"/>
      <c r="I376"/>
      <c r="K376" s="100"/>
      <c r="L376"/>
    </row>
    <row r="377" spans="8:12">
      <c r="H377" s="100"/>
      <c r="I377"/>
      <c r="K377" s="100"/>
      <c r="L377"/>
    </row>
    <row r="378" spans="8:12">
      <c r="H378" s="100"/>
      <c r="I378"/>
      <c r="K378" s="100"/>
      <c r="L378"/>
    </row>
    <row r="379" spans="8:12">
      <c r="H379" s="100"/>
      <c r="I379"/>
      <c r="K379" s="100"/>
      <c r="L379"/>
    </row>
    <row r="380" spans="8:12">
      <c r="H380" s="100"/>
      <c r="I380"/>
      <c r="K380" s="100"/>
      <c r="L380"/>
    </row>
    <row r="381" spans="8:12">
      <c r="H381" s="100"/>
      <c r="I381"/>
      <c r="K381" s="100"/>
      <c r="L381"/>
    </row>
    <row r="382" spans="8:12">
      <c r="H382" s="100"/>
      <c r="I382"/>
      <c r="K382" s="100"/>
      <c r="L382"/>
    </row>
    <row r="383" spans="8:12">
      <c r="H383" s="100"/>
      <c r="I383"/>
      <c r="K383" s="100"/>
      <c r="L383"/>
    </row>
    <row r="384" spans="8:12">
      <c r="H384" s="100"/>
      <c r="I384"/>
      <c r="K384" s="100"/>
      <c r="L384"/>
    </row>
    <row r="385" spans="8:12">
      <c r="H385" s="100"/>
      <c r="I385"/>
      <c r="K385" s="100"/>
      <c r="L385"/>
    </row>
    <row r="386" spans="8:12">
      <c r="H386" s="100"/>
      <c r="I386"/>
      <c r="K386" s="100"/>
      <c r="L386"/>
    </row>
    <row r="387" spans="8:12">
      <c r="H387" s="100"/>
      <c r="I387"/>
      <c r="K387" s="100"/>
      <c r="L387"/>
    </row>
    <row r="388" spans="8:12">
      <c r="H388" s="100"/>
      <c r="I388"/>
      <c r="K388" s="100"/>
      <c r="L388"/>
    </row>
    <row r="389" spans="8:12">
      <c r="H389" s="100"/>
      <c r="I389"/>
      <c r="K389" s="100"/>
      <c r="L389"/>
    </row>
    <row r="390" spans="8:12">
      <c r="H390" s="100"/>
      <c r="I390"/>
      <c r="K390" s="100"/>
      <c r="L390"/>
    </row>
    <row r="391" spans="8:12">
      <c r="H391" s="100"/>
      <c r="I391"/>
      <c r="K391" s="100"/>
      <c r="L391"/>
    </row>
    <row r="392" spans="8:12">
      <c r="H392" s="100"/>
      <c r="I392"/>
      <c r="K392" s="100"/>
      <c r="L392"/>
    </row>
    <row r="393" spans="8:12">
      <c r="H393" s="100"/>
      <c r="I393"/>
      <c r="K393" s="100"/>
      <c r="L393"/>
    </row>
    <row r="394" spans="8:12">
      <c r="H394" s="100"/>
      <c r="I394"/>
      <c r="K394" s="100"/>
      <c r="L394"/>
    </row>
    <row r="395" spans="8:12">
      <c r="H395" s="100"/>
      <c r="I395"/>
      <c r="K395" s="100"/>
      <c r="L395"/>
    </row>
    <row r="396" spans="8:12">
      <c r="H396" s="100"/>
      <c r="I396"/>
      <c r="K396" s="100"/>
      <c r="L396"/>
    </row>
    <row r="397" spans="8:12">
      <c r="H397" s="100"/>
      <c r="I397"/>
      <c r="K397" s="100"/>
      <c r="L397"/>
    </row>
    <row r="398" spans="8:12">
      <c r="H398" s="100"/>
      <c r="I398"/>
      <c r="K398" s="100"/>
      <c r="L398"/>
    </row>
    <row r="399" spans="8:12">
      <c r="H399" s="100"/>
      <c r="I399"/>
      <c r="K399" s="100"/>
      <c r="L399"/>
    </row>
    <row r="400" spans="8:12">
      <c r="H400" s="100"/>
      <c r="I400"/>
      <c r="K400" s="100"/>
      <c r="L400"/>
    </row>
    <row r="401" spans="8:12">
      <c r="H401" s="100"/>
      <c r="I401"/>
      <c r="K401" s="100"/>
      <c r="L401"/>
    </row>
    <row r="402" spans="8:12">
      <c r="H402" s="100"/>
      <c r="I402"/>
      <c r="K402" s="100"/>
      <c r="L402"/>
    </row>
    <row r="403" spans="8:12">
      <c r="H403" s="100"/>
      <c r="I403"/>
      <c r="K403" s="100"/>
      <c r="L403"/>
    </row>
    <row r="404" spans="8:12">
      <c r="H404" s="100"/>
      <c r="I404"/>
      <c r="K404" s="100"/>
      <c r="L404"/>
    </row>
    <row r="405" spans="8:12">
      <c r="H405" s="100"/>
      <c r="I405"/>
      <c r="K405" s="100"/>
      <c r="L405"/>
    </row>
    <row r="406" spans="8:12">
      <c r="H406" s="100"/>
      <c r="I406"/>
      <c r="K406" s="100"/>
      <c r="L406"/>
    </row>
    <row r="407" spans="8:12">
      <c r="H407" s="100"/>
      <c r="I407"/>
      <c r="K407" s="100"/>
      <c r="L407"/>
    </row>
    <row r="408" spans="8:12">
      <c r="H408" s="100"/>
      <c r="I408"/>
      <c r="K408" s="100"/>
      <c r="L408"/>
    </row>
    <row r="409" spans="8:12">
      <c r="H409" s="100"/>
      <c r="I409"/>
      <c r="K409" s="100"/>
      <c r="L409"/>
    </row>
    <row r="410" spans="8:12">
      <c r="H410" s="100"/>
      <c r="I410"/>
      <c r="K410" s="100"/>
      <c r="L410"/>
    </row>
    <row r="411" spans="8:12">
      <c r="H411" s="100"/>
      <c r="I411"/>
      <c r="K411" s="100"/>
      <c r="L411"/>
    </row>
    <row r="412" spans="8:12">
      <c r="H412" s="100"/>
      <c r="I412"/>
      <c r="K412" s="100"/>
      <c r="L412"/>
    </row>
    <row r="413" spans="8:12">
      <c r="H413" s="100"/>
      <c r="I413"/>
      <c r="K413" s="100"/>
      <c r="L413"/>
    </row>
    <row r="414" spans="8:12">
      <c r="H414" s="100"/>
      <c r="I414"/>
      <c r="K414" s="100"/>
      <c r="L414"/>
    </row>
    <row r="415" spans="8:12">
      <c r="H415" s="100"/>
      <c r="I415"/>
      <c r="K415" s="100"/>
      <c r="L415"/>
    </row>
    <row r="416" spans="8:12">
      <c r="H416" s="100"/>
      <c r="I416"/>
      <c r="K416" s="100"/>
      <c r="L416"/>
    </row>
    <row r="417" spans="8:12">
      <c r="H417" s="100"/>
      <c r="I417"/>
      <c r="K417" s="100"/>
      <c r="L417"/>
    </row>
    <row r="418" spans="8:12">
      <c r="H418" s="100"/>
      <c r="I418"/>
      <c r="K418" s="100"/>
      <c r="L418"/>
    </row>
    <row r="419" spans="8:12">
      <c r="H419" s="100"/>
      <c r="I419"/>
      <c r="K419" s="100"/>
      <c r="L419"/>
    </row>
    <row r="420" spans="8:12">
      <c r="H420" s="100"/>
      <c r="I420"/>
      <c r="K420" s="100"/>
      <c r="L420"/>
    </row>
    <row r="421" spans="8:12">
      <c r="H421" s="100"/>
      <c r="I421"/>
      <c r="K421" s="100"/>
      <c r="L421"/>
    </row>
    <row r="422" spans="8:12">
      <c r="H422" s="100"/>
      <c r="I422"/>
      <c r="K422" s="100"/>
      <c r="L422"/>
    </row>
  </sheetData>
  <phoneticPr fontId="49"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Y X 8 9 U z u P s 4 W k A A A A 9 Q A A A B I A H A B D b 2 5 m a W c v U G F j a 2 F n Z S 5 4 b W w g o h g A K K A U A A A A A A A A A A A A A A A A A A A A A A A A A A A A h Y 8 x D o I w G I W v Q r r T 1 m o M k p 8 y s E o 0 M T G u T a n Q C M X Q Y r m b g 0 f y C m I U d X N 8 3 / u G 9 + 7 X G 6 R D U w c X 1 V n d m g T N M E W B M r I t t C k T 1 L t j G K G U w 1 b I k y h V M M r G x o M t E l Q 5 d 4 4 J 8 d 5 j P 8 d t V x J G 6 Y w c 8 v V O V q o R 6 C P r / 3 K o j X X C S I U 4 7 F 9 j O M O r J Y 4 W D F M g E 4 N c m 2 / P x r n P 9 g d C 1 t e u 7 x R X N s w 2 Q K Y I 5 H 2 B P w B Q S w M E F A A C A A g A Y X 8 9 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F / P V M o i k e 4 D g A A A B E A A A A T A B w A R m 9 y b X V s Y X M v U 2 V j d G l v b j E u b S C i G A A o o B Q A A A A A A A A A A A A A A A A A A A A A A A A A A A A r T k 0 u y c z P U w i G 0 I b W A F B L A Q I t A B Q A A g A I A G F / P V M 7 j 7 O F p A A A A P U A A A A S A A A A A A A A A A A A A A A A A A A A A A B D b 2 5 m a W c v U G F j a 2 F n Z S 5 4 b W x Q S w E C L Q A U A A I A C A B h f z 1 T D 8 r p q 6 Q A A A D p A A A A E w A A A A A A A A A A A A A A A A D w A A A A W 0 N v b n R l b n R f V H l w Z X N d L n h t b F B L A Q I t A B Q A A g A I A G F / P 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j + n Q b x C h Q R J q G M a r L q 2 2 w A A A A A A I A A A A A A B B m A A A A A Q A A I A A A A B V n z f u o X 1 F Z k 5 I g M t g G 5 X 9 N + X N N r C e N O U 5 P B F J j d u U S A A A A A A 6 A A A A A A g A A I A A A A J k 1 O U K 9 R G h + 9 c q E r V A r c n 1 r r e X V K c 6 A S L v 5 R t G J 9 z k c U A A A A P 6 s 4 6 s R 4 2 L o T U B A i 7 z 7 6 d 6 Z P z F 1 j g O o a K M 0 M x A F M D n C a r Q b 8 b I 9 g y D 7 X F W N 9 O l w G X 1 O 7 W S 3 p o I Q Q f I g c W o Y r F W g h u Q c j c D P 8 z q V v h R d T p Q + Q A A A A L x Q o G z X c i 9 m z V p + c A 1 n U B v Q I N F M B z + R G w x n 6 B p C o s a T v m 6 L E Q e F o 9 6 L 9 k p S X 0 T 8 X n s t d y l 2 v I F z T n k d 1 g 1 5 p V o = < / D a t a M a s h u p > 
</file>

<file path=customXml/itemProps1.xml><?xml version="1.0" encoding="utf-8"?>
<ds:datastoreItem xmlns:ds="http://schemas.openxmlformats.org/officeDocument/2006/customXml" ds:itemID="{EE74212E-DA31-4D7C-A569-11FC34E3FDC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INSTRUCTIVO</vt:lpstr>
      <vt:lpstr>FORMULACIÓN</vt:lpstr>
      <vt:lpstr>SEGUIMIENTO Y EVALUACIÓN</vt:lpstr>
      <vt:lpstr>CUMPLIMIENTO METAS Y LÍNEAS</vt:lpstr>
      <vt:lpstr>Lists</vt:lpstr>
      <vt:lpstr>inf</vt:lpstr>
      <vt:lpstr>AÑOS</vt:lpstr>
      <vt:lpstr>FORMULACIÓN!Área_de_impresión</vt:lpstr>
      <vt:lpstr>lin</vt:lpstr>
      <vt:lpstr>rang</vt:lpstr>
      <vt:lpstr>rang2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HELMERLUIS</dc:creator>
  <cp:keywords/>
  <dc:description/>
  <cp:lastModifiedBy>Julio Alberto Muriel Taibel</cp:lastModifiedBy>
  <cp:revision/>
  <dcterms:created xsi:type="dcterms:W3CDTF">2009-05-18T22:01:33Z</dcterms:created>
  <dcterms:modified xsi:type="dcterms:W3CDTF">2025-07-03T13:19:50Z</dcterms:modified>
  <cp:category/>
  <cp:contentStatus/>
</cp:coreProperties>
</file>