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drawings/drawing201.xml" ContentType="application/vnd.openxmlformats-officedocument.drawing+xml"/>
  <Override PartName="/xl/drawings/drawing202.xml" ContentType="application/vnd.openxmlformats-officedocument.drawing+xml"/>
  <Override PartName="/xl/drawings/drawing203.xml" ContentType="application/vnd.openxmlformats-officedocument.drawing+xml"/>
  <Override PartName="/xl/drawings/drawing204.xml" ContentType="application/vnd.openxmlformats-officedocument.drawing+xml"/>
  <Override PartName="/xl/drawings/drawing205.xml" ContentType="application/vnd.openxmlformats-officedocument.drawing+xml"/>
  <Override PartName="/xl/drawings/drawing206.xml" ContentType="application/vnd.openxmlformats-officedocument.drawing+xml"/>
  <Override PartName="/xl/drawings/drawing207.xml" ContentType="application/vnd.openxmlformats-officedocument.drawing+xml"/>
  <Override PartName="/xl/drawings/drawing208.xml" ContentType="application/vnd.openxmlformats-officedocument.drawing+xml"/>
  <Override PartName="/xl/drawings/drawing209.xml" ContentType="application/vnd.openxmlformats-officedocument.drawing+xml"/>
  <Override PartName="/xl/drawings/drawing210.xml" ContentType="application/vnd.openxmlformats-officedocument.drawing+xml"/>
  <Override PartName="/xl/drawings/drawing2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D:\DAYAN\Contratacion 2026\SERVICIOS GENERALES\IP\Comedor de Docentes\DEFINITIVOS\"/>
    </mc:Choice>
  </mc:AlternateContent>
  <xr:revisionPtr revIDLastSave="0" documentId="8_{FC072D35-CD06-4B7E-A7DC-F0870397222E}" xr6:coauthVersionLast="47" xr6:coauthVersionMax="47" xr10:uidLastSave="{00000000-0000-0000-0000-000000000000}"/>
  <bookViews>
    <workbookView xWindow="-108" yWindow="-108" windowWidth="23256" windowHeight="12456" tabRatio="951" activeTab="2" xr2:uid="{355CE317-FA43-4682-A208-164E815735DA}"/>
  </bookViews>
  <sheets>
    <sheet name="MANO DE OBRA " sheetId="4" r:id="rId1"/>
    <sheet name="MAQUINARIA Y EQUIPOS  " sheetId="5" r:id="rId2"/>
    <sheet name="INSUMOS " sheetId="3" r:id="rId3"/>
    <sheet name="1.1" sheetId="108" r:id="rId4"/>
    <sheet name="1.2" sheetId="107" r:id="rId5"/>
    <sheet name="1.3" sheetId="2" r:id="rId6"/>
    <sheet name="1.4" sheetId="9" r:id="rId7"/>
    <sheet name="1.5" sheetId="11" r:id="rId8"/>
    <sheet name="1.6" sheetId="12" r:id="rId9"/>
    <sheet name="1.7" sheetId="109" r:id="rId10"/>
    <sheet name="1.8" sheetId="13" r:id="rId11"/>
    <sheet name="1.9" sheetId="15" r:id="rId12"/>
    <sheet name="1.10" sheetId="16" r:id="rId13"/>
    <sheet name="1.11" sheetId="17" r:id="rId14"/>
    <sheet name="1.12" sheetId="110" r:id="rId15"/>
    <sheet name="1.13" sheetId="111" r:id="rId16"/>
    <sheet name="1.14" sheetId="112" r:id="rId17"/>
    <sheet name="2.1" sheetId="18" r:id="rId18"/>
    <sheet name="2.2" sheetId="19" r:id="rId19"/>
    <sheet name="2.3" sheetId="21" r:id="rId20"/>
    <sheet name="2.4" sheetId="22" r:id="rId21"/>
    <sheet name="2.5" sheetId="23" r:id="rId22"/>
    <sheet name="2.6" sheetId="25" r:id="rId23"/>
    <sheet name="2.7" sheetId="114" r:id="rId24"/>
    <sheet name="2.8" sheetId="113" r:id="rId25"/>
    <sheet name="3.1" sheetId="28" r:id="rId26"/>
    <sheet name="3.2" sheetId="30" r:id="rId27"/>
    <sheet name="4.1" sheetId="34" r:id="rId28"/>
    <sheet name="5.1" sheetId="36" r:id="rId29"/>
    <sheet name="5.2" sheetId="37" r:id="rId30"/>
    <sheet name="5.3" sheetId="38" r:id="rId31"/>
    <sheet name="5.4" sheetId="96" r:id="rId32"/>
    <sheet name="5.5" sheetId="133" r:id="rId33"/>
    <sheet name="5.6" sheetId="140" r:id="rId34"/>
    <sheet name="6.1" sheetId="39" r:id="rId35"/>
    <sheet name="6.2" sheetId="40" r:id="rId36"/>
    <sheet name="6.3" sheetId="41" r:id="rId37"/>
    <sheet name="6.4" sheetId="42" r:id="rId38"/>
    <sheet name="6.5" sheetId="43" r:id="rId39"/>
    <sheet name="6.6" sheetId="115" r:id="rId40"/>
    <sheet name="7.1" sheetId="44" r:id="rId41"/>
    <sheet name="7.2" sheetId="45" r:id="rId42"/>
    <sheet name="7.3" sheetId="46" r:id="rId43"/>
    <sheet name="7.4 " sheetId="47" r:id="rId44"/>
    <sheet name="7.5" sheetId="50" r:id="rId45"/>
    <sheet name="7.6" sheetId="68" r:id="rId46"/>
    <sheet name="7.7" sheetId="69" r:id="rId47"/>
    <sheet name="7.8" sheetId="70" r:id="rId48"/>
    <sheet name="7.9" sheetId="71" r:id="rId49"/>
    <sheet name="7.10" sheetId="72" r:id="rId50"/>
    <sheet name="7.11" sheetId="73" r:id="rId51"/>
    <sheet name="7.12" sheetId="74" r:id="rId52"/>
    <sheet name="7.13" sheetId="97" r:id="rId53"/>
    <sheet name="7.14" sheetId="98" r:id="rId54"/>
    <sheet name="7.15" sheetId="99" r:id="rId55"/>
    <sheet name="7.16" sheetId="100" r:id="rId56"/>
    <sheet name="8.1" sheetId="53" r:id="rId57"/>
    <sheet name="8.2" sheetId="54" r:id="rId58"/>
    <sheet name="9.1" sheetId="57" r:id="rId59"/>
    <sheet name="10.1" sheetId="60" r:id="rId60"/>
    <sheet name="10.2" sheetId="61" r:id="rId61"/>
    <sheet name="10.3" sheetId="62" r:id="rId62"/>
    <sheet name="10.4" sheetId="92" r:id="rId63"/>
    <sheet name="10.5" sheetId="93" r:id="rId64"/>
    <sheet name="10.6" sheetId="94" r:id="rId65"/>
    <sheet name="10.7" sheetId="95" r:id="rId66"/>
    <sheet name="10.8" sheetId="64" r:id="rId67"/>
    <sheet name="10.09" sheetId="65" r:id="rId68"/>
    <sheet name="10.10" sheetId="66" r:id="rId69"/>
    <sheet name="10.11" sheetId="67" r:id="rId70"/>
    <sheet name="10.12" sheetId="75" r:id="rId71"/>
    <sheet name="10.13" sheetId="211" r:id="rId72"/>
    <sheet name="10.14" sheetId="213" r:id="rId73"/>
    <sheet name="11.1" sheetId="76" r:id="rId74"/>
    <sheet name="11.2" sheetId="77" r:id="rId75"/>
    <sheet name="11.3" sheetId="78" r:id="rId76"/>
    <sheet name="11.4" sheetId="79" r:id="rId77"/>
    <sheet name="12.1" sheetId="80" r:id="rId78"/>
    <sheet name="12.2" sheetId="81" r:id="rId79"/>
    <sheet name="12.3" sheetId="82" r:id="rId80"/>
    <sheet name="12.4" sheetId="83" r:id="rId81"/>
    <sheet name="12.5" sheetId="84" r:id="rId82"/>
    <sheet name="12.6" sheetId="85" r:id="rId83"/>
    <sheet name="12.7" sheetId="86" r:id="rId84"/>
    <sheet name="12.8" sheetId="87" r:id="rId85"/>
    <sheet name="12.9" sheetId="88" r:id="rId86"/>
    <sheet name="12.10" sheetId="101" r:id="rId87"/>
    <sheet name="12.11" sheetId="102" r:id="rId88"/>
    <sheet name="12.12" sheetId="103" r:id="rId89"/>
    <sheet name="12.13" sheetId="104" r:id="rId90"/>
    <sheet name="12.14" sheetId="105" r:id="rId91"/>
    <sheet name="12.15" sheetId="106" r:id="rId92"/>
    <sheet name="13.1" sheetId="116" r:id="rId93"/>
    <sheet name="13.2" sheetId="117" r:id="rId94"/>
    <sheet name="13.3" sheetId="118" r:id="rId95"/>
    <sheet name="13.4" sheetId="135" r:id="rId96"/>
    <sheet name="13.5." sheetId="119" r:id="rId97"/>
    <sheet name="13.6." sheetId="120" r:id="rId98"/>
    <sheet name="13.7." sheetId="121" r:id="rId99"/>
    <sheet name="13.8.." sheetId="122" r:id="rId100"/>
    <sheet name="13.9." sheetId="123" r:id="rId101"/>
    <sheet name="13.10." sheetId="124" r:id="rId102"/>
    <sheet name="13.11." sheetId="125" r:id="rId103"/>
    <sheet name="13.12." sheetId="126" r:id="rId104"/>
    <sheet name="13.13." sheetId="127" r:id="rId105"/>
    <sheet name="13.14." sheetId="128" r:id="rId106"/>
    <sheet name="13.15." sheetId="129" r:id="rId107"/>
    <sheet name="14.1" sheetId="130" r:id="rId108"/>
    <sheet name="14.2" sheetId="131" r:id="rId109"/>
    <sheet name="14.3" sheetId="132" r:id="rId110"/>
    <sheet name="15.1.1." sheetId="149" r:id="rId111"/>
    <sheet name="15.2.1" sheetId="152" r:id="rId112"/>
    <sheet name="15.2.2" sheetId="153" r:id="rId113"/>
    <sheet name="15.3.1" sheetId="154" r:id="rId114"/>
    <sheet name="15.3.2" sheetId="155" r:id="rId115"/>
    <sheet name="15.3.3" sheetId="156" r:id="rId116"/>
    <sheet name="15.3.4" sheetId="157" r:id="rId117"/>
    <sheet name="15.3.5" sheetId="159" r:id="rId118"/>
    <sheet name="15.3.6." sheetId="158" r:id="rId119"/>
    <sheet name="15.3.7" sheetId="160" r:id="rId120"/>
    <sheet name="15.4.1" sheetId="161" r:id="rId121"/>
    <sheet name="15.4.2" sheetId="162" r:id="rId122"/>
    <sheet name="15.4.3" sheetId="163" r:id="rId123"/>
    <sheet name="15.4.4" sheetId="164" r:id="rId124"/>
    <sheet name="15.4.5" sheetId="165" r:id="rId125"/>
    <sheet name="15.4.6" sheetId="166" r:id="rId126"/>
    <sheet name="15.4.7" sheetId="167" r:id="rId127"/>
    <sheet name="15.4.8" sheetId="168" r:id="rId128"/>
    <sheet name="15.4.9" sheetId="169" r:id="rId129"/>
    <sheet name="15.4.10" sheetId="170" r:id="rId130"/>
    <sheet name="15.4.11" sheetId="171" r:id="rId131"/>
    <sheet name="15.4.12" sheetId="172" r:id="rId132"/>
    <sheet name="15.4.13" sheetId="173" r:id="rId133"/>
    <sheet name="15.4.14" sheetId="174" r:id="rId134"/>
    <sheet name="15.5.1" sheetId="175" r:id="rId135"/>
    <sheet name="15.5.2" sheetId="176" r:id="rId136"/>
    <sheet name="15.5.3" sheetId="177" r:id="rId137"/>
    <sheet name="15.5.4" sheetId="178" r:id="rId138"/>
    <sheet name="15.5.5" sheetId="179" r:id="rId139"/>
    <sheet name="15.5.6" sheetId="180" r:id="rId140"/>
    <sheet name="15.6.1" sheetId="181" r:id="rId141"/>
    <sheet name="15.6.2" sheetId="182" r:id="rId142"/>
    <sheet name="15.6.3" sheetId="183" r:id="rId143"/>
    <sheet name="15.6.4" sheetId="184" r:id="rId144"/>
    <sheet name="15.6.5" sheetId="185" r:id="rId145"/>
    <sheet name="15.6.6" sheetId="186" r:id="rId146"/>
    <sheet name="15.7.1" sheetId="187" r:id="rId147"/>
    <sheet name="15.7.2" sheetId="188" r:id="rId148"/>
    <sheet name="15.7.3" sheetId="189" r:id="rId149"/>
    <sheet name="15.7.4" sheetId="190" r:id="rId150"/>
    <sheet name="15.8.1" sheetId="191" r:id="rId151"/>
    <sheet name="15.8.2" sheetId="192" r:id="rId152"/>
    <sheet name="15.8.3" sheetId="193" r:id="rId153"/>
    <sheet name="15.8.4" sheetId="194" r:id="rId154"/>
    <sheet name="15.8.5" sheetId="195" r:id="rId155"/>
    <sheet name="15.8.6" sheetId="196" r:id="rId156"/>
    <sheet name="15.8.7" sheetId="197" r:id="rId157"/>
    <sheet name="15.8.8" sheetId="198" r:id="rId158"/>
    <sheet name="15.9.1" sheetId="199" r:id="rId159"/>
    <sheet name="15.9.2" sheetId="200" r:id="rId160"/>
    <sheet name="15.9.3" sheetId="201" r:id="rId161"/>
    <sheet name="15.9.4" sheetId="202" r:id="rId162"/>
    <sheet name="15.9.5" sheetId="203" r:id="rId163"/>
    <sheet name="15.9.6" sheetId="204" r:id="rId164"/>
    <sheet name="15.9.7" sheetId="205" r:id="rId165"/>
    <sheet name="15.9.8" sheetId="206" r:id="rId166"/>
    <sheet name="15.10.1" sheetId="207" r:id="rId167"/>
    <sheet name="15.10.2" sheetId="208" r:id="rId168"/>
    <sheet name="15.10.3" sheetId="209" r:id="rId169"/>
    <sheet name="15.11.1" sheetId="210" r:id="rId170"/>
    <sheet name="15.12.1" sheetId="214" r:id="rId171"/>
    <sheet name="15.12.2" sheetId="215" r:id="rId172"/>
    <sheet name="15.12.3" sheetId="216" r:id="rId173"/>
    <sheet name="15.13.1" sheetId="217" r:id="rId174"/>
    <sheet name="15.13.2" sheetId="218" r:id="rId175"/>
    <sheet name="15.13.3" sheetId="219" r:id="rId176"/>
    <sheet name="15.13.4" sheetId="220" r:id="rId177"/>
    <sheet name="15.13.5" sheetId="221" r:id="rId178"/>
    <sheet name="15.13.6" sheetId="222" r:id="rId179"/>
    <sheet name="15.14.1" sheetId="223" r:id="rId180"/>
    <sheet name="15.15.1" sheetId="224" r:id="rId181"/>
    <sheet name="15.15.2" sheetId="225" r:id="rId182"/>
    <sheet name="15.15.3" sheetId="226" r:id="rId183"/>
    <sheet name="15.15.4" sheetId="227" r:id="rId184"/>
    <sheet name="15.15.5" sheetId="228" r:id="rId185"/>
    <sheet name="15.15.6" sheetId="229" r:id="rId186"/>
    <sheet name="15.15.7" sheetId="230" r:id="rId187"/>
    <sheet name="15.15.8" sheetId="231" r:id="rId188"/>
    <sheet name="15.15.9" sheetId="232" r:id="rId189"/>
    <sheet name="15.16.1" sheetId="233" r:id="rId190"/>
    <sheet name="15.16.2" sheetId="254" r:id="rId191"/>
    <sheet name="15.16.3" sheetId="234" r:id="rId192"/>
    <sheet name="15.17.1" sheetId="235" r:id="rId193"/>
    <sheet name="15.17.2" sheetId="236" r:id="rId194"/>
    <sheet name="15.18.1" sheetId="237" r:id="rId195"/>
    <sheet name="15.18.2" sheetId="238" r:id="rId196"/>
    <sheet name="15.19.1" sheetId="239" r:id="rId197"/>
    <sheet name="15.20.1" sheetId="240" r:id="rId198"/>
    <sheet name="15.21.1" sheetId="241" r:id="rId199"/>
    <sheet name="15.21.2" sheetId="242" r:id="rId200"/>
    <sheet name="15.22.1" sheetId="243" r:id="rId201"/>
    <sheet name="15.22.2" sheetId="245" r:id="rId202"/>
    <sheet name="15.22.3" sheetId="244" r:id="rId203"/>
    <sheet name="15.22.4" sheetId="246" r:id="rId204"/>
    <sheet name="15.22.5" sheetId="247" r:id="rId205"/>
    <sheet name="15.22.6" sheetId="248" r:id="rId206"/>
    <sheet name="15.22.7" sheetId="249" r:id="rId207"/>
    <sheet name="15.22.8" sheetId="250" r:id="rId208"/>
    <sheet name="15.22.9" sheetId="251" r:id="rId209"/>
    <sheet name="15.22.10" sheetId="252" r:id="rId210"/>
    <sheet name="16.1 AL 16.5.6" sheetId="91" r:id="rId211"/>
    <sheet name="17.1" sheetId="141" r:id="rId212"/>
    <sheet name="17.2" sheetId="143" r:id="rId213"/>
    <sheet name="17.3" sheetId="144" r:id="rId214"/>
    <sheet name="18.1" sheetId="253" r:id="rId215"/>
  </sheets>
  <definedNames>
    <definedName name="___EST12">#REF!</definedName>
    <definedName name="__aiu2">#REF!</definedName>
    <definedName name="__EST1">#REF!</definedName>
    <definedName name="__EST10">#REF!</definedName>
    <definedName name="__EST11">#REF!</definedName>
    <definedName name="__EST12">#REF!</definedName>
    <definedName name="__EST13">#REF!</definedName>
    <definedName name="__EST14">#REF!</definedName>
    <definedName name="__EST15">#REF!</definedName>
    <definedName name="__EST16">#REF!</definedName>
    <definedName name="__EST17">#REF!</definedName>
    <definedName name="__EST18">#REF!</definedName>
    <definedName name="__EST19">#REF!</definedName>
    <definedName name="__EST2">#REF!</definedName>
    <definedName name="__EST23">#REF!</definedName>
    <definedName name="__EST3">#REF!</definedName>
    <definedName name="__EST4">#REF!</definedName>
    <definedName name="__EST5">#REF!</definedName>
    <definedName name="__EST6">#REF!</definedName>
    <definedName name="__EST7">#REF!</definedName>
    <definedName name="__EST8">#REF!</definedName>
    <definedName name="__EST9">#REF!</definedName>
    <definedName name="__EXC1">#REF!</definedName>
    <definedName name="__EXC10">#REF!</definedName>
    <definedName name="__EXC11">#REF!</definedName>
    <definedName name="__EXC12">#REF!</definedName>
    <definedName name="__EXC2">#REF!</definedName>
    <definedName name="__EXC3">#REF!</definedName>
    <definedName name="__EXC4">#REF!</definedName>
    <definedName name="__EXC5">#REF!</definedName>
    <definedName name="__EXC6">#REF!</definedName>
    <definedName name="__EXC7">#REF!</definedName>
    <definedName name="__EXC8">#REF!</definedName>
    <definedName name="__EXC9">#REF!</definedName>
    <definedName name="_aiu2">#REF!</definedName>
    <definedName name="_EST1">#REF!</definedName>
    <definedName name="_EST1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23">#REF!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XC1">#REF!</definedName>
    <definedName name="_EXC10">#REF!</definedName>
    <definedName name="_EXC11">#REF!</definedName>
    <definedName name="_EXC12">#REF!</definedName>
    <definedName name="_EXC2">#REF!</definedName>
    <definedName name="_EXC3">#REF!</definedName>
    <definedName name="_EXC4">#REF!</definedName>
    <definedName name="_EXC5">#REF!</definedName>
    <definedName name="_EXC6">#REF!</definedName>
    <definedName name="_EXC7">#REF!</definedName>
    <definedName name="_EXC8">#REF!</definedName>
    <definedName name="_EXC9">#REF!</definedName>
    <definedName name="_hg">#REF!</definedName>
    <definedName name="a">#REF!</definedName>
    <definedName name="ab">#REF!</definedName>
    <definedName name="_xlnm.Print_Area" localSheetId="210">'16.1 AL 16.5.6'!$C$1:$J$317</definedName>
    <definedName name="_xlnm.Print_Area" localSheetId="24">'2.8'!$A$1:$I$46</definedName>
    <definedName name="_xlnm.Print_Area" localSheetId="31">'5.4'!$A$1:$I$42</definedName>
    <definedName name="_xlnm.Print_Area" localSheetId="36">'6.3'!$A$1:$J$42</definedName>
    <definedName name="_xlnm.Print_Area" localSheetId="38">'6.5'!$A$1:$J$43</definedName>
    <definedName name="_xlnm.Print_Area" localSheetId="39">'6.6'!$A$1:$J$45</definedName>
    <definedName name="_xlnm.Print_Area" localSheetId="0">'MANO DE OBRA '!$A$1:$I$49</definedName>
    <definedName name="_xlnm.Print_Area">#REF!</definedName>
    <definedName name="b">#REF!</definedName>
    <definedName name="CICLOPEO">#REF!</definedName>
    <definedName name="D">#REF!</definedName>
    <definedName name="diego">#REF!</definedName>
    <definedName name="e">#REF!</definedName>
    <definedName name="edfg">#REF!</definedName>
    <definedName name="EQUI">#REF!</definedName>
    <definedName name="EQUIPO_1">#REF!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7">#REF!</definedName>
    <definedName name="Excel_BuiltIn_Print_Titles_1">#REF!</definedName>
    <definedName name="Excel_BuiltIn_Print_Titles_1_1">#REF!</definedName>
    <definedName name="Excel_BuiltIn_Print_Titles_1_1_1">#REF!</definedName>
    <definedName name="Excel_BuiltIn_Print_Titles_3">#REF!</definedName>
    <definedName name="Excel_BuiltIn_Print_Titles_4">#REF!</definedName>
    <definedName name="Festivos">#REF!</definedName>
    <definedName name="Fin_de_semana">#REF!</definedName>
    <definedName name="hjk">#REF!</definedName>
    <definedName name="inf">#REF!</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mac">#REF!</definedName>
    <definedName name="MATER">#REF!</definedName>
    <definedName name="MATERIALES">#REF!</definedName>
    <definedName name="nm">#REF!</definedName>
    <definedName name="op">#REF!</definedName>
    <definedName name="prueba">#REF!</definedName>
    <definedName name="Q">#REF!</definedName>
    <definedName name="rfref">#REF!</definedName>
    <definedName name="S">#REF!</definedName>
    <definedName name="sdf">#REF!</definedName>
    <definedName name="Unidades">#REF!</definedName>
    <definedName name="v">#REF!</definedName>
    <definedName name="WSERWEER">#REF!</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144" l="1"/>
  <c r="I41" i="143"/>
  <c r="I41" i="141"/>
  <c r="I316" i="91" l="1"/>
  <c r="I280" i="91"/>
  <c r="I258" i="91"/>
  <c r="I164" i="91"/>
  <c r="I152" i="91"/>
  <c r="I89" i="91"/>
  <c r="I72" i="91"/>
  <c r="I70" i="91"/>
  <c r="I51" i="91"/>
  <c r="I50" i="91"/>
  <c r="I30" i="91"/>
  <c r="I31" i="91"/>
  <c r="I246" i="91"/>
  <c r="I228" i="91"/>
  <c r="I226" i="91"/>
  <c r="I210" i="91"/>
  <c r="I211" i="91"/>
  <c r="I212" i="91" s="1"/>
  <c r="I209" i="91"/>
  <c r="I219" i="91"/>
  <c r="I32" i="91"/>
  <c r="I33" i="91" s="1"/>
  <c r="I61" i="91"/>
  <c r="I41" i="91"/>
  <c r="H29" i="254"/>
  <c r="I29" i="254"/>
  <c r="I30" i="254"/>
  <c r="I23" i="254"/>
  <c r="I22" i="254"/>
  <c r="I24" i="254"/>
  <c r="I18" i="254"/>
  <c r="I19" i="254"/>
  <c r="I25" i="254"/>
  <c r="I26" i="254"/>
  <c r="I33" i="254"/>
  <c r="H33" i="254"/>
  <c r="I34" i="254"/>
  <c r="I36" i="254"/>
  <c r="I36" i="84"/>
  <c r="I20" i="84"/>
  <c r="I13" i="84"/>
  <c r="I50" i="57"/>
  <c r="I21" i="57"/>
  <c r="H44" i="253"/>
  <c r="H43" i="253"/>
  <c r="H42" i="253"/>
  <c r="H41" i="253"/>
  <c r="H40" i="253"/>
  <c r="H39" i="253"/>
  <c r="H38" i="253"/>
  <c r="I45" i="253"/>
  <c r="I35" i="253"/>
  <c r="I30" i="253"/>
  <c r="I29" i="253"/>
  <c r="I28" i="253"/>
  <c r="I21" i="253"/>
  <c r="I46" i="253"/>
  <c r="H20" i="253"/>
  <c r="H19" i="253"/>
  <c r="H18" i="253"/>
  <c r="I41" i="13"/>
  <c r="I22" i="13"/>
  <c r="I40" i="109"/>
  <c r="I21" i="109"/>
  <c r="B13" i="108"/>
  <c r="I37" i="252"/>
  <c r="I37" i="251"/>
  <c r="I36" i="250"/>
  <c r="I36" i="249"/>
  <c r="I36" i="248"/>
  <c r="I36" i="247"/>
  <c r="I36" i="246"/>
  <c r="I37" i="244"/>
  <c r="I36" i="245"/>
  <c r="I37" i="243"/>
  <c r="I36" i="242"/>
  <c r="I36" i="241"/>
  <c r="I36" i="240"/>
  <c r="I35" i="239"/>
  <c r="I35" i="238"/>
  <c r="I35" i="237"/>
  <c r="I36" i="236"/>
  <c r="I36" i="235"/>
  <c r="I36" i="234"/>
  <c r="I36" i="233"/>
  <c r="I36" i="232"/>
  <c r="I36" i="231"/>
  <c r="I38" i="230"/>
  <c r="I36" i="229"/>
  <c r="I38" i="228"/>
  <c r="I36" i="227"/>
  <c r="I38" i="226"/>
  <c r="I36" i="225"/>
  <c r="I38" i="224"/>
  <c r="I35" i="223"/>
  <c r="I36" i="222"/>
  <c r="I36" i="221"/>
  <c r="I36" i="220"/>
  <c r="I35" i="219"/>
  <c r="I35" i="218"/>
  <c r="I36" i="217"/>
  <c r="I35" i="216"/>
  <c r="I36" i="215"/>
  <c r="I36" i="214"/>
  <c r="I36" i="188"/>
  <c r="I31" i="187"/>
  <c r="I25" i="187"/>
  <c r="I35" i="186"/>
  <c r="I35" i="185"/>
  <c r="I36" i="184"/>
  <c r="I37" i="183"/>
  <c r="I36" i="182"/>
  <c r="I37" i="181"/>
  <c r="I38" i="180"/>
  <c r="I38" i="179"/>
  <c r="I38" i="178"/>
  <c r="I38" i="177"/>
  <c r="I38" i="176"/>
  <c r="H30" i="252"/>
  <c r="I30" i="252"/>
  <c r="I31" i="252"/>
  <c r="I24" i="252"/>
  <c r="I23" i="252"/>
  <c r="I25" i="252"/>
  <c r="I19" i="252"/>
  <c r="I18" i="252"/>
  <c r="I20" i="252"/>
  <c r="H30" i="251"/>
  <c r="I30" i="251"/>
  <c r="I31" i="251"/>
  <c r="I24" i="251"/>
  <c r="I23" i="251"/>
  <c r="I25" i="251"/>
  <c r="I19" i="251"/>
  <c r="I18" i="251"/>
  <c r="I20" i="251"/>
  <c r="H29" i="250"/>
  <c r="I29" i="250"/>
  <c r="I30" i="250"/>
  <c r="I23" i="250"/>
  <c r="I22" i="250"/>
  <c r="I24" i="250"/>
  <c r="I18" i="250"/>
  <c r="I19" i="250"/>
  <c r="H29" i="249"/>
  <c r="I29" i="249"/>
  <c r="I30" i="249"/>
  <c r="I23" i="249"/>
  <c r="I22" i="249"/>
  <c r="I24" i="249"/>
  <c r="I18" i="249"/>
  <c r="I19" i="249"/>
  <c r="H29" i="248"/>
  <c r="I29" i="248"/>
  <c r="I30" i="248"/>
  <c r="I23" i="248"/>
  <c r="I22" i="248"/>
  <c r="I24" i="248"/>
  <c r="I18" i="248"/>
  <c r="I19" i="248"/>
  <c r="H29" i="247"/>
  <c r="I29" i="247"/>
  <c r="I30" i="247"/>
  <c r="I24" i="247"/>
  <c r="I23" i="247"/>
  <c r="I22" i="247"/>
  <c r="I18" i="247"/>
  <c r="I19" i="247"/>
  <c r="I18" i="246"/>
  <c r="I19" i="246"/>
  <c r="I22" i="246"/>
  <c r="I23" i="246"/>
  <c r="I24" i="246"/>
  <c r="H29" i="246"/>
  <c r="I29" i="246"/>
  <c r="I30" i="246"/>
  <c r="H29" i="245"/>
  <c r="I29" i="245"/>
  <c r="I30" i="245"/>
  <c r="I24" i="245"/>
  <c r="I23" i="245"/>
  <c r="I22" i="245"/>
  <c r="I18" i="245"/>
  <c r="I19" i="245"/>
  <c r="I18" i="244"/>
  <c r="I19" i="244"/>
  <c r="I20" i="244"/>
  <c r="I23" i="244"/>
  <c r="I24" i="244"/>
  <c r="I25" i="244"/>
  <c r="H30" i="244"/>
  <c r="I30" i="244"/>
  <c r="I31" i="244"/>
  <c r="I18" i="243"/>
  <c r="I19" i="243"/>
  <c r="I20" i="243"/>
  <c r="I23" i="243"/>
  <c r="I24" i="243"/>
  <c r="I25" i="243"/>
  <c r="H30" i="243"/>
  <c r="I30" i="243"/>
  <c r="I31" i="243"/>
  <c r="H29" i="242"/>
  <c r="I29" i="242"/>
  <c r="I30" i="242"/>
  <c r="I23" i="242"/>
  <c r="I22" i="242"/>
  <c r="I24" i="242"/>
  <c r="I18" i="242"/>
  <c r="I19" i="242"/>
  <c r="H29" i="241"/>
  <c r="I29" i="241"/>
  <c r="I30" i="241"/>
  <c r="I23" i="241"/>
  <c r="I22" i="241"/>
  <c r="I24" i="241"/>
  <c r="I18" i="241"/>
  <c r="I19" i="241"/>
  <c r="I30" i="240"/>
  <c r="I23" i="240"/>
  <c r="I24" i="240"/>
  <c r="I19" i="240"/>
  <c r="I18" i="240"/>
  <c r="I20" i="240"/>
  <c r="H28" i="239"/>
  <c r="I28" i="239"/>
  <c r="I29" i="239"/>
  <c r="I22" i="239"/>
  <c r="I23" i="239"/>
  <c r="I18" i="239"/>
  <c r="I19" i="239"/>
  <c r="I29" i="238"/>
  <c r="I22" i="238"/>
  <c r="I23" i="238"/>
  <c r="I18" i="238"/>
  <c r="I19" i="238"/>
  <c r="I29" i="237"/>
  <c r="I22" i="237"/>
  <c r="I23" i="237"/>
  <c r="I18" i="237"/>
  <c r="I19" i="237"/>
  <c r="H29" i="236"/>
  <c r="I29" i="236"/>
  <c r="I30" i="236"/>
  <c r="I23" i="236"/>
  <c r="I22" i="236"/>
  <c r="I24" i="236"/>
  <c r="I18" i="236"/>
  <c r="I19" i="236"/>
  <c r="H29" i="235"/>
  <c r="I29" i="235"/>
  <c r="I30" i="235"/>
  <c r="I23" i="235"/>
  <c r="I22" i="235"/>
  <c r="I24" i="235"/>
  <c r="I18" i="235"/>
  <c r="I19" i="235"/>
  <c r="H29" i="234"/>
  <c r="I29" i="234"/>
  <c r="I30" i="234"/>
  <c r="I24" i="234"/>
  <c r="I23" i="234"/>
  <c r="I22" i="234"/>
  <c r="I18" i="234"/>
  <c r="I19" i="234"/>
  <c r="I18" i="233"/>
  <c r="I19" i="233"/>
  <c r="I22" i="233"/>
  <c r="I23" i="233"/>
  <c r="I24" i="233"/>
  <c r="I25" i="233"/>
  <c r="I26" i="233"/>
  <c r="H29" i="233"/>
  <c r="I29" i="233"/>
  <c r="I30" i="233"/>
  <c r="H33" i="233"/>
  <c r="I33" i="233"/>
  <c r="I34" i="233"/>
  <c r="H29" i="232"/>
  <c r="I29" i="232"/>
  <c r="I30" i="232"/>
  <c r="I23" i="232"/>
  <c r="I22" i="232"/>
  <c r="I24" i="232"/>
  <c r="I18" i="232"/>
  <c r="I19" i="232"/>
  <c r="H29" i="231"/>
  <c r="I29" i="231"/>
  <c r="I30" i="231"/>
  <c r="I23" i="231"/>
  <c r="I24" i="231"/>
  <c r="I19" i="231"/>
  <c r="I18" i="231"/>
  <c r="I20" i="231"/>
  <c r="H31" i="230"/>
  <c r="I31" i="230"/>
  <c r="I32" i="230"/>
  <c r="I25" i="230"/>
  <c r="I24" i="230"/>
  <c r="I23" i="230"/>
  <c r="I26" i="230"/>
  <c r="I19" i="230"/>
  <c r="I18" i="230"/>
  <c r="I20" i="230"/>
  <c r="H29" i="229"/>
  <c r="I29" i="229"/>
  <c r="I30" i="229"/>
  <c r="I23" i="229"/>
  <c r="I24" i="229"/>
  <c r="I19" i="229"/>
  <c r="I18" i="229"/>
  <c r="I20" i="229"/>
  <c r="H31" i="228"/>
  <c r="I31" i="228"/>
  <c r="I32" i="228"/>
  <c r="I25" i="228"/>
  <c r="I24" i="228"/>
  <c r="I23" i="228"/>
  <c r="I26" i="228"/>
  <c r="I19" i="228"/>
  <c r="I18" i="228"/>
  <c r="I20" i="228"/>
  <c r="H29" i="227"/>
  <c r="I29" i="227"/>
  <c r="I30" i="227"/>
  <c r="I23" i="227"/>
  <c r="I24" i="227"/>
  <c r="I19" i="227"/>
  <c r="I18" i="227"/>
  <c r="I20" i="227"/>
  <c r="H31" i="226"/>
  <c r="I31" i="226"/>
  <c r="I32" i="226"/>
  <c r="I25" i="226"/>
  <c r="I24" i="226"/>
  <c r="I23" i="226"/>
  <c r="I26" i="226"/>
  <c r="I19" i="226"/>
  <c r="I18" i="226"/>
  <c r="I20" i="226"/>
  <c r="H29" i="225"/>
  <c r="I29" i="225"/>
  <c r="I30" i="225"/>
  <c r="I23" i="225"/>
  <c r="I24" i="225"/>
  <c r="I19" i="225"/>
  <c r="I18" i="225"/>
  <c r="I20" i="225"/>
  <c r="H31" i="224"/>
  <c r="I31" i="224"/>
  <c r="I32" i="224"/>
  <c r="I25" i="224"/>
  <c r="I24" i="224"/>
  <c r="I23" i="224"/>
  <c r="I26" i="224"/>
  <c r="I19" i="224"/>
  <c r="I18" i="224"/>
  <c r="I20" i="224"/>
  <c r="H28" i="223"/>
  <c r="I28" i="223"/>
  <c r="I29" i="223"/>
  <c r="I22" i="223"/>
  <c r="I23" i="223"/>
  <c r="I18" i="223"/>
  <c r="I19" i="223"/>
  <c r="I30" i="222"/>
  <c r="I23" i="222"/>
  <c r="I24" i="222"/>
  <c r="I19" i="222"/>
  <c r="I18" i="222"/>
  <c r="I20" i="222"/>
  <c r="I18" i="221"/>
  <c r="I19" i="221"/>
  <c r="I20" i="221"/>
  <c r="I23" i="221"/>
  <c r="I24" i="221"/>
  <c r="I30" i="221"/>
  <c r="I30" i="220"/>
  <c r="I23" i="220"/>
  <c r="I24" i="220"/>
  <c r="I19" i="220"/>
  <c r="I18" i="220"/>
  <c r="I20" i="220"/>
  <c r="I29" i="219"/>
  <c r="I22" i="219"/>
  <c r="I23" i="219"/>
  <c r="I18" i="219"/>
  <c r="I19" i="219"/>
  <c r="I29" i="218"/>
  <c r="I22" i="218"/>
  <c r="I23" i="218"/>
  <c r="I18" i="218"/>
  <c r="I19" i="218"/>
  <c r="H29" i="217"/>
  <c r="I29" i="217"/>
  <c r="I30" i="217"/>
  <c r="I23" i="217"/>
  <c r="I22" i="217"/>
  <c r="I24" i="217"/>
  <c r="I18" i="217"/>
  <c r="I19" i="217"/>
  <c r="H28" i="216"/>
  <c r="I28" i="216"/>
  <c r="I29" i="216"/>
  <c r="I23" i="216"/>
  <c r="I22" i="216"/>
  <c r="I18" i="216"/>
  <c r="I19" i="216"/>
  <c r="H29" i="215"/>
  <c r="I29" i="215"/>
  <c r="I30" i="215"/>
  <c r="I23" i="215"/>
  <c r="I24" i="215"/>
  <c r="I20" i="215"/>
  <c r="I19" i="215"/>
  <c r="I18" i="215"/>
  <c r="H29" i="214"/>
  <c r="I29" i="214"/>
  <c r="I30" i="214"/>
  <c r="I24" i="214"/>
  <c r="I20" i="214"/>
  <c r="I19" i="214"/>
  <c r="I18" i="214"/>
  <c r="I42" i="211"/>
  <c r="I30" i="211"/>
  <c r="I21" i="211"/>
  <c r="I21" i="213"/>
  <c r="H40" i="213"/>
  <c r="H39" i="213"/>
  <c r="H38" i="213"/>
  <c r="I42" i="213"/>
  <c r="H34" i="213"/>
  <c r="I36" i="213"/>
  <c r="I29" i="213"/>
  <c r="H41" i="211"/>
  <c r="H40" i="211"/>
  <c r="H39" i="211"/>
  <c r="H35" i="211"/>
  <c r="I37" i="211"/>
  <c r="I35" i="210"/>
  <c r="H28" i="210"/>
  <c r="I28" i="210"/>
  <c r="I29" i="210"/>
  <c r="I23" i="210"/>
  <c r="I18" i="210"/>
  <c r="I19" i="210"/>
  <c r="I37" i="209"/>
  <c r="H33" i="209"/>
  <c r="I33" i="209"/>
  <c r="I34" i="209"/>
  <c r="I28" i="209"/>
  <c r="I27" i="209"/>
  <c r="I26" i="209"/>
  <c r="I25" i="209"/>
  <c r="I24" i="209"/>
  <c r="I23" i="209"/>
  <c r="I20" i="209"/>
  <c r="I19" i="209"/>
  <c r="I18" i="209"/>
  <c r="I37" i="208"/>
  <c r="H33" i="208"/>
  <c r="I33" i="208"/>
  <c r="I34" i="208"/>
  <c r="I27" i="208"/>
  <c r="I26" i="208"/>
  <c r="I25" i="208"/>
  <c r="I24" i="208"/>
  <c r="I23" i="208"/>
  <c r="I28" i="208"/>
  <c r="I20" i="208"/>
  <c r="I19" i="208"/>
  <c r="I18" i="208"/>
  <c r="I37" i="207"/>
  <c r="H33" i="207"/>
  <c r="I33" i="207"/>
  <c r="I34" i="207"/>
  <c r="I28" i="207"/>
  <c r="I27" i="207"/>
  <c r="I26" i="207"/>
  <c r="I25" i="207"/>
  <c r="I24" i="207"/>
  <c r="I23" i="207"/>
  <c r="I20" i="207"/>
  <c r="I19" i="207"/>
  <c r="I18" i="207"/>
  <c r="H29" i="206"/>
  <c r="I29" i="206"/>
  <c r="I30" i="206"/>
  <c r="I23" i="206"/>
  <c r="I24" i="206"/>
  <c r="I22" i="206"/>
  <c r="I18" i="206"/>
  <c r="I19" i="206"/>
  <c r="I32" i="205"/>
  <c r="I29" i="205"/>
  <c r="I22" i="205"/>
  <c r="I23" i="205"/>
  <c r="I18" i="205"/>
  <c r="I19" i="205"/>
  <c r="I32" i="204"/>
  <c r="I29" i="204"/>
  <c r="I22" i="204"/>
  <c r="I23" i="204"/>
  <c r="I19" i="204"/>
  <c r="I18" i="204"/>
  <c r="I29" i="203"/>
  <c r="I22" i="203"/>
  <c r="I23" i="203"/>
  <c r="I18" i="203"/>
  <c r="I19" i="203"/>
  <c r="I29" i="202"/>
  <c r="I22" i="202"/>
  <c r="I23" i="202"/>
  <c r="I18" i="202"/>
  <c r="I19" i="202"/>
  <c r="I29" i="201"/>
  <c r="I22" i="201"/>
  <c r="I23" i="201"/>
  <c r="I18" i="201"/>
  <c r="I19" i="201"/>
  <c r="I29" i="200"/>
  <c r="I22" i="200"/>
  <c r="I23" i="200"/>
  <c r="I18" i="200"/>
  <c r="I19" i="200"/>
  <c r="I29" i="199"/>
  <c r="I22" i="199"/>
  <c r="I23" i="199"/>
  <c r="I18" i="199"/>
  <c r="I19" i="199"/>
  <c r="H28" i="198"/>
  <c r="I28" i="198"/>
  <c r="I29" i="198"/>
  <c r="I22" i="198"/>
  <c r="I23" i="198"/>
  <c r="I18" i="198"/>
  <c r="I19" i="198"/>
  <c r="H29" i="197"/>
  <c r="I29" i="197"/>
  <c r="I30" i="197"/>
  <c r="I23" i="197"/>
  <c r="I22" i="197"/>
  <c r="I24" i="197"/>
  <c r="I18" i="197"/>
  <c r="I19" i="197"/>
  <c r="H28" i="196"/>
  <c r="I28" i="196"/>
  <c r="I29" i="196"/>
  <c r="I23" i="196"/>
  <c r="I22" i="196"/>
  <c r="I19" i="196"/>
  <c r="I18" i="196"/>
  <c r="H28" i="195"/>
  <c r="I28" i="195"/>
  <c r="I29" i="195"/>
  <c r="I22" i="195"/>
  <c r="I23" i="195"/>
  <c r="I19" i="195"/>
  <c r="I18" i="195"/>
  <c r="H29" i="194"/>
  <c r="I29" i="194"/>
  <c r="I30" i="194"/>
  <c r="I23" i="194"/>
  <c r="I22" i="194"/>
  <c r="I24" i="194"/>
  <c r="I18" i="194"/>
  <c r="I19" i="194"/>
  <c r="H30" i="193"/>
  <c r="I30" i="193"/>
  <c r="I31" i="193"/>
  <c r="I24" i="193"/>
  <c r="I23" i="193"/>
  <c r="I25" i="193"/>
  <c r="I22" i="193"/>
  <c r="I18" i="193"/>
  <c r="I19" i="193"/>
  <c r="H29" i="192"/>
  <c r="I29" i="192"/>
  <c r="I30" i="192"/>
  <c r="I23" i="192"/>
  <c r="I22" i="192"/>
  <c r="I24" i="192"/>
  <c r="I18" i="192"/>
  <c r="I19" i="192"/>
  <c r="H30" i="191"/>
  <c r="I30" i="191"/>
  <c r="I31" i="191"/>
  <c r="I25" i="191"/>
  <c r="I24" i="191"/>
  <c r="I23" i="191"/>
  <c r="I22" i="191"/>
  <c r="I18" i="191"/>
  <c r="I19" i="191"/>
  <c r="H29" i="190"/>
  <c r="I29" i="190"/>
  <c r="I30" i="190"/>
  <c r="I23" i="190"/>
  <c r="I22" i="190"/>
  <c r="I24" i="190"/>
  <c r="I18" i="190"/>
  <c r="I19" i="190"/>
  <c r="H28" i="189"/>
  <c r="I28" i="189"/>
  <c r="I29" i="189"/>
  <c r="I22" i="189"/>
  <c r="I23" i="189"/>
  <c r="I18" i="189"/>
  <c r="I19" i="189"/>
  <c r="H29" i="188"/>
  <c r="I29" i="188"/>
  <c r="I30" i="188"/>
  <c r="I23" i="188"/>
  <c r="I22" i="188"/>
  <c r="I24" i="188"/>
  <c r="I18" i="188"/>
  <c r="I19" i="188"/>
  <c r="H30" i="187"/>
  <c r="I30" i="187"/>
  <c r="I24" i="187"/>
  <c r="I23" i="187"/>
  <c r="I22" i="187"/>
  <c r="I19" i="187"/>
  <c r="I18" i="187"/>
  <c r="H28" i="186"/>
  <c r="I28" i="186"/>
  <c r="I29" i="186"/>
  <c r="I23" i="186"/>
  <c r="I22" i="186"/>
  <c r="I19" i="186"/>
  <c r="I18" i="186"/>
  <c r="H28" i="185"/>
  <c r="I28" i="185"/>
  <c r="I29" i="185"/>
  <c r="I22" i="185"/>
  <c r="I23" i="185"/>
  <c r="I18" i="185"/>
  <c r="I19" i="185"/>
  <c r="H29" i="184"/>
  <c r="I29" i="184"/>
  <c r="I30" i="184"/>
  <c r="I23" i="184"/>
  <c r="I24" i="184"/>
  <c r="I22" i="184"/>
  <c r="I18" i="184"/>
  <c r="I19" i="184"/>
  <c r="H30" i="183"/>
  <c r="I30" i="183"/>
  <c r="I31" i="183"/>
  <c r="I24" i="183"/>
  <c r="I23" i="183"/>
  <c r="I25" i="183"/>
  <c r="I22" i="183"/>
  <c r="I18" i="183"/>
  <c r="I19" i="183"/>
  <c r="H29" i="182"/>
  <c r="I29" i="182"/>
  <c r="I30" i="182"/>
  <c r="I23" i="182"/>
  <c r="I24" i="182"/>
  <c r="I22" i="182"/>
  <c r="I18" i="182"/>
  <c r="I19" i="182"/>
  <c r="H30" i="181"/>
  <c r="I30" i="181"/>
  <c r="I31" i="181"/>
  <c r="I24" i="181"/>
  <c r="I23" i="181"/>
  <c r="I25" i="181"/>
  <c r="I22" i="181"/>
  <c r="I18" i="181"/>
  <c r="I19" i="181"/>
  <c r="H31" i="180"/>
  <c r="I31" i="180"/>
  <c r="I32" i="180"/>
  <c r="I25" i="180"/>
  <c r="I24" i="180"/>
  <c r="I23" i="180"/>
  <c r="I22" i="180"/>
  <c r="I26" i="180"/>
  <c r="I18" i="180"/>
  <c r="I19" i="180"/>
  <c r="H31" i="179"/>
  <c r="I31" i="179"/>
  <c r="I32" i="179"/>
  <c r="I25" i="179"/>
  <c r="I26" i="179"/>
  <c r="I24" i="179"/>
  <c r="I23" i="179"/>
  <c r="I22" i="179"/>
  <c r="I18" i="179"/>
  <c r="I19" i="179"/>
  <c r="H31" i="178"/>
  <c r="I31" i="178"/>
  <c r="I32" i="178"/>
  <c r="I26" i="178"/>
  <c r="I25" i="178"/>
  <c r="I24" i="178"/>
  <c r="I23" i="178"/>
  <c r="I22" i="178"/>
  <c r="I18" i="178"/>
  <c r="I19" i="178"/>
  <c r="H31" i="177"/>
  <c r="I31" i="177"/>
  <c r="I32" i="177"/>
  <c r="I25" i="177"/>
  <c r="I26" i="177"/>
  <c r="I24" i="177"/>
  <c r="I23" i="177"/>
  <c r="I22" i="177"/>
  <c r="I18" i="177"/>
  <c r="I19" i="177"/>
  <c r="H31" i="176"/>
  <c r="I31" i="176"/>
  <c r="I32" i="176"/>
  <c r="I25" i="176"/>
  <c r="I26" i="176"/>
  <c r="I24" i="176"/>
  <c r="I23" i="176"/>
  <c r="I22" i="176"/>
  <c r="I18" i="176"/>
  <c r="I19" i="176"/>
  <c r="H31" i="175"/>
  <c r="I31" i="175"/>
  <c r="I32" i="175"/>
  <c r="I25" i="175"/>
  <c r="I24" i="175"/>
  <c r="I26" i="175"/>
  <c r="I23" i="175"/>
  <c r="I22" i="175"/>
  <c r="I18" i="175"/>
  <c r="I19" i="175"/>
  <c r="H28" i="174"/>
  <c r="I28" i="174"/>
  <c r="I29" i="174"/>
  <c r="I22" i="174"/>
  <c r="I23" i="174"/>
  <c r="I19" i="174"/>
  <c r="I18" i="174"/>
  <c r="H28" i="173"/>
  <c r="I28" i="173"/>
  <c r="I29" i="173"/>
  <c r="I22" i="173"/>
  <c r="I23" i="173"/>
  <c r="I19" i="173"/>
  <c r="I18" i="173"/>
  <c r="H28" i="172"/>
  <c r="I28" i="172"/>
  <c r="I29" i="172"/>
  <c r="I22" i="172"/>
  <c r="I23" i="172"/>
  <c r="I18" i="172"/>
  <c r="I19" i="172"/>
  <c r="H29" i="171"/>
  <c r="I29" i="171"/>
  <c r="I30" i="171"/>
  <c r="I23" i="171"/>
  <c r="I22" i="171"/>
  <c r="I24" i="171"/>
  <c r="I18" i="171"/>
  <c r="I19" i="171"/>
  <c r="H29" i="170"/>
  <c r="I29" i="170"/>
  <c r="I30" i="170"/>
  <c r="I24" i="170"/>
  <c r="I23" i="170"/>
  <c r="I22" i="170"/>
  <c r="I18" i="170"/>
  <c r="I19" i="170"/>
  <c r="H29" i="169"/>
  <c r="I29" i="169"/>
  <c r="I30" i="169"/>
  <c r="I24" i="169"/>
  <c r="I23" i="169"/>
  <c r="I22" i="169"/>
  <c r="I18" i="169"/>
  <c r="I19" i="169"/>
  <c r="H29" i="168"/>
  <c r="I29" i="168"/>
  <c r="I30" i="168"/>
  <c r="I23" i="168"/>
  <c r="I24" i="168"/>
  <c r="I22" i="168"/>
  <c r="I18" i="168"/>
  <c r="I19" i="168"/>
  <c r="H30" i="167"/>
  <c r="I30" i="167"/>
  <c r="I31" i="167"/>
  <c r="I24" i="167"/>
  <c r="I23" i="167"/>
  <c r="I25" i="167"/>
  <c r="I22" i="167"/>
  <c r="I19" i="167"/>
  <c r="I18" i="167"/>
  <c r="H29" i="166"/>
  <c r="I29" i="166"/>
  <c r="I30" i="166"/>
  <c r="I23" i="166"/>
  <c r="I24" i="166"/>
  <c r="I22" i="166"/>
  <c r="I18" i="166"/>
  <c r="I19" i="166"/>
  <c r="I30" i="165"/>
  <c r="I31" i="165"/>
  <c r="H30" i="165"/>
  <c r="I25" i="165"/>
  <c r="I24" i="165"/>
  <c r="I23" i="165"/>
  <c r="I22" i="165"/>
  <c r="I19" i="165"/>
  <c r="I18" i="165"/>
  <c r="H29" i="164"/>
  <c r="I29" i="164"/>
  <c r="I30" i="164"/>
  <c r="I24" i="164"/>
  <c r="I23" i="164"/>
  <c r="I22" i="164"/>
  <c r="I18" i="164"/>
  <c r="I19" i="164"/>
  <c r="H30" i="163"/>
  <c r="I30" i="163"/>
  <c r="I31" i="163"/>
  <c r="I24" i="163"/>
  <c r="I23" i="163"/>
  <c r="I25" i="163"/>
  <c r="I22" i="163"/>
  <c r="I18" i="163"/>
  <c r="I19" i="163"/>
  <c r="H29" i="162"/>
  <c r="I29" i="162"/>
  <c r="I30" i="162"/>
  <c r="I23" i="162"/>
  <c r="I24" i="162"/>
  <c r="I22" i="162"/>
  <c r="I18" i="162"/>
  <c r="I19" i="162"/>
  <c r="H30" i="161"/>
  <c r="I30" i="161"/>
  <c r="I31" i="161"/>
  <c r="I24" i="161"/>
  <c r="I25" i="161"/>
  <c r="I23" i="161"/>
  <c r="I22" i="161"/>
  <c r="I18" i="161"/>
  <c r="I19" i="161"/>
  <c r="H31" i="160"/>
  <c r="I31" i="160"/>
  <c r="I32" i="160"/>
  <c r="I25" i="160"/>
  <c r="I26" i="160"/>
  <c r="I24" i="160"/>
  <c r="I23" i="160"/>
  <c r="I22" i="160"/>
  <c r="I18" i="160"/>
  <c r="I19" i="160"/>
  <c r="H31" i="158"/>
  <c r="I31" i="158"/>
  <c r="I32" i="158"/>
  <c r="I25" i="158"/>
  <c r="I24" i="158"/>
  <c r="I26" i="158"/>
  <c r="I23" i="158"/>
  <c r="I22" i="158"/>
  <c r="I18" i="158"/>
  <c r="I19" i="158"/>
  <c r="H31" i="159"/>
  <c r="I31" i="159"/>
  <c r="I32" i="159"/>
  <c r="I26" i="159"/>
  <c r="I25" i="159"/>
  <c r="I24" i="159"/>
  <c r="I23" i="159"/>
  <c r="I22" i="159"/>
  <c r="I18" i="159"/>
  <c r="I19" i="159"/>
  <c r="I38" i="157"/>
  <c r="H31" i="157"/>
  <c r="I31" i="157"/>
  <c r="I32" i="157"/>
  <c r="I25" i="157"/>
  <c r="I24" i="157"/>
  <c r="I26" i="157"/>
  <c r="I23" i="157"/>
  <c r="I22" i="157"/>
  <c r="I18" i="157"/>
  <c r="I19" i="157"/>
  <c r="H31" i="156"/>
  <c r="I31" i="156"/>
  <c r="I32" i="156"/>
  <c r="I26" i="156"/>
  <c r="I25" i="156"/>
  <c r="I24" i="156"/>
  <c r="I23" i="156"/>
  <c r="I22" i="156"/>
  <c r="I18" i="156"/>
  <c r="I19" i="156"/>
  <c r="H31" i="155"/>
  <c r="I31" i="155"/>
  <c r="I32" i="155"/>
  <c r="I25" i="155"/>
  <c r="I24" i="155"/>
  <c r="I26" i="155"/>
  <c r="I23" i="155"/>
  <c r="I22" i="155"/>
  <c r="I18" i="155"/>
  <c r="I19" i="155"/>
  <c r="I26" i="154"/>
  <c r="I22" i="154"/>
  <c r="I31" i="154"/>
  <c r="I32" i="154"/>
  <c r="H31" i="154"/>
  <c r="I25" i="154"/>
  <c r="I24" i="154"/>
  <c r="I23" i="154"/>
  <c r="I18" i="154"/>
  <c r="I19" i="154"/>
  <c r="I26" i="153"/>
  <c r="H29" i="153"/>
  <c r="I29" i="153"/>
  <c r="I30" i="153"/>
  <c r="I23" i="153"/>
  <c r="I22" i="153"/>
  <c r="I24" i="153"/>
  <c r="I18" i="153"/>
  <c r="I19" i="153"/>
  <c r="I36" i="152"/>
  <c r="I18" i="152"/>
  <c r="I19" i="152"/>
  <c r="I22" i="152"/>
  <c r="I23" i="152"/>
  <c r="I24" i="152"/>
  <c r="I25" i="152"/>
  <c r="I26" i="152"/>
  <c r="H29" i="152"/>
  <c r="I29" i="152"/>
  <c r="I30" i="152"/>
  <c r="I40" i="149"/>
  <c r="I38" i="149"/>
  <c r="H34" i="149"/>
  <c r="I34" i="149"/>
  <c r="I35" i="149"/>
  <c r="I27" i="149"/>
  <c r="I26" i="149"/>
  <c r="I25" i="149"/>
  <c r="I24" i="149"/>
  <c r="I23" i="149"/>
  <c r="I22" i="149"/>
  <c r="I28" i="149"/>
  <c r="I18" i="149"/>
  <c r="I19" i="149"/>
  <c r="B13" i="149"/>
  <c r="I26" i="252"/>
  <c r="I27" i="252"/>
  <c r="I34" i="252"/>
  <c r="I26" i="251"/>
  <c r="I27" i="251"/>
  <c r="I34" i="251"/>
  <c r="I25" i="250"/>
  <c r="I26" i="250"/>
  <c r="I33" i="250"/>
  <c r="I25" i="249"/>
  <c r="I26" i="249"/>
  <c r="I25" i="248"/>
  <c r="I26" i="248"/>
  <c r="I33" i="248"/>
  <c r="I25" i="247"/>
  <c r="I26" i="247"/>
  <c r="I25" i="246"/>
  <c r="I26" i="246"/>
  <c r="I25" i="245"/>
  <c r="I26" i="245"/>
  <c r="I26" i="244"/>
  <c r="I27" i="244"/>
  <c r="I26" i="243"/>
  <c r="I27" i="243"/>
  <c r="I25" i="242"/>
  <c r="I26" i="242"/>
  <c r="I25" i="241"/>
  <c r="I26" i="241"/>
  <c r="I33" i="241"/>
  <c r="I25" i="240"/>
  <c r="I26" i="240"/>
  <c r="I33" i="240"/>
  <c r="I24" i="239"/>
  <c r="I25" i="239"/>
  <c r="I24" i="238"/>
  <c r="I25" i="238"/>
  <c r="I24" i="237"/>
  <c r="I25" i="237"/>
  <c r="I32" i="237"/>
  <c r="I25" i="236"/>
  <c r="I26" i="236"/>
  <c r="I33" i="236"/>
  <c r="I25" i="235"/>
  <c r="I26" i="235"/>
  <c r="I33" i="235"/>
  <c r="I25" i="234"/>
  <c r="I26" i="234"/>
  <c r="I33" i="234"/>
  <c r="I25" i="232"/>
  <c r="I26" i="232"/>
  <c r="I25" i="231"/>
  <c r="I26" i="231"/>
  <c r="I33" i="231"/>
  <c r="I27" i="230"/>
  <c r="I28" i="230"/>
  <c r="I35" i="230"/>
  <c r="I25" i="229"/>
  <c r="I26" i="229"/>
  <c r="I27" i="228"/>
  <c r="I28" i="228"/>
  <c r="I25" i="227"/>
  <c r="I26" i="227"/>
  <c r="I33" i="227"/>
  <c r="I27" i="226"/>
  <c r="I28" i="226"/>
  <c r="I25" i="225"/>
  <c r="I26" i="225"/>
  <c r="I27" i="224"/>
  <c r="I28" i="224"/>
  <c r="I35" i="224"/>
  <c r="I24" i="223"/>
  <c r="I25" i="223"/>
  <c r="I25" i="222"/>
  <c r="I26" i="222"/>
  <c r="I25" i="221"/>
  <c r="I26" i="221"/>
  <c r="I25" i="220"/>
  <c r="I26" i="220"/>
  <c r="I33" i="220"/>
  <c r="I24" i="219"/>
  <c r="I25" i="219"/>
  <c r="I32" i="219"/>
  <c r="I24" i="218"/>
  <c r="I25" i="218"/>
  <c r="I25" i="217"/>
  <c r="I26" i="217"/>
  <c r="I25" i="216"/>
  <c r="I32" i="216"/>
  <c r="I24" i="216"/>
  <c r="I25" i="215"/>
  <c r="I26" i="215"/>
  <c r="I25" i="214"/>
  <c r="I26" i="214"/>
  <c r="I30" i="213"/>
  <c r="I31" i="213"/>
  <c r="I24" i="210"/>
  <c r="I25" i="210"/>
  <c r="I29" i="209"/>
  <c r="I30" i="209"/>
  <c r="I29" i="208"/>
  <c r="I30" i="208"/>
  <c r="I29" i="207"/>
  <c r="I30" i="207"/>
  <c r="I25" i="206"/>
  <c r="I26" i="206"/>
  <c r="I24" i="205"/>
  <c r="I25" i="205"/>
  <c r="I24" i="204"/>
  <c r="I25" i="204"/>
  <c r="I24" i="203"/>
  <c r="I25" i="203"/>
  <c r="I24" i="202"/>
  <c r="I25" i="202"/>
  <c r="I24" i="201"/>
  <c r="I25" i="201"/>
  <c r="I24" i="200"/>
  <c r="I25" i="200"/>
  <c r="I24" i="199"/>
  <c r="I25" i="199"/>
  <c r="I24" i="198"/>
  <c r="I25" i="198"/>
  <c r="I25" i="197"/>
  <c r="I26" i="197"/>
  <c r="I24" i="196"/>
  <c r="I25" i="196"/>
  <c r="I24" i="195"/>
  <c r="I25" i="195"/>
  <c r="I25" i="194"/>
  <c r="I26" i="194"/>
  <c r="I26" i="193"/>
  <c r="I27" i="193"/>
  <c r="I25" i="192"/>
  <c r="I26" i="192"/>
  <c r="I26" i="191"/>
  <c r="I27" i="191"/>
  <c r="I25" i="190"/>
  <c r="I26" i="190"/>
  <c r="I24" i="189"/>
  <c r="I25" i="189"/>
  <c r="I25" i="188"/>
  <c r="I26" i="188"/>
  <c r="I26" i="187"/>
  <c r="I27" i="187"/>
  <c r="I24" i="186"/>
  <c r="I25" i="186"/>
  <c r="I24" i="185"/>
  <c r="I25" i="185"/>
  <c r="I25" i="184"/>
  <c r="I26" i="184"/>
  <c r="I26" i="183"/>
  <c r="I27" i="183"/>
  <c r="I25" i="182"/>
  <c r="I26" i="182"/>
  <c r="I26" i="181"/>
  <c r="I27" i="181"/>
  <c r="I27" i="180"/>
  <c r="I28" i="180"/>
  <c r="I27" i="179"/>
  <c r="I28" i="179"/>
  <c r="I27" i="178"/>
  <c r="I28" i="178"/>
  <c r="I27" i="177"/>
  <c r="I28" i="177"/>
  <c r="I27" i="176"/>
  <c r="I28" i="176"/>
  <c r="I27" i="175"/>
  <c r="I28" i="175"/>
  <c r="I24" i="174"/>
  <c r="I25" i="174"/>
  <c r="I24" i="173"/>
  <c r="I25" i="173"/>
  <c r="I24" i="172"/>
  <c r="I25" i="172"/>
  <c r="I25" i="171"/>
  <c r="I26" i="171"/>
  <c r="I25" i="170"/>
  <c r="I26" i="170"/>
  <c r="I25" i="169"/>
  <c r="I26" i="169"/>
  <c r="I25" i="168"/>
  <c r="I26" i="168"/>
  <c r="I26" i="167"/>
  <c r="I27" i="167"/>
  <c r="I25" i="166"/>
  <c r="I26" i="166"/>
  <c r="I26" i="165"/>
  <c r="I27" i="165"/>
  <c r="I25" i="164"/>
  <c r="I26" i="164"/>
  <c r="I26" i="163"/>
  <c r="I27" i="163"/>
  <c r="I25" i="162"/>
  <c r="I26" i="162"/>
  <c r="I26" i="161"/>
  <c r="I27" i="161"/>
  <c r="I27" i="160"/>
  <c r="I28" i="160"/>
  <c r="I27" i="158"/>
  <c r="I28" i="158"/>
  <c r="I27" i="159"/>
  <c r="I28" i="159"/>
  <c r="I27" i="157"/>
  <c r="I28" i="157"/>
  <c r="I27" i="156"/>
  <c r="I28" i="156"/>
  <c r="I27" i="155"/>
  <c r="I28" i="155"/>
  <c r="I27" i="154"/>
  <c r="I28" i="154"/>
  <c r="I25" i="153"/>
  <c r="I33" i="153"/>
  <c r="I33" i="152"/>
  <c r="I29" i="149"/>
  <c r="I30" i="149"/>
  <c r="H34" i="252"/>
  <c r="I35" i="252"/>
  <c r="I35" i="251"/>
  <c r="H34" i="251"/>
  <c r="H33" i="250"/>
  <c r="I34" i="250"/>
  <c r="I33" i="249"/>
  <c r="I34" i="248"/>
  <c r="H33" i="248"/>
  <c r="I33" i="247"/>
  <c r="I33" i="246"/>
  <c r="I33" i="245"/>
  <c r="I34" i="244"/>
  <c r="I34" i="243"/>
  <c r="I33" i="242"/>
  <c r="I34" i="241"/>
  <c r="H33" i="241"/>
  <c r="H33" i="240"/>
  <c r="I34" i="240"/>
  <c r="I32" i="239"/>
  <c r="I32" i="238"/>
  <c r="I33" i="237"/>
  <c r="H32" i="237"/>
  <c r="H33" i="236"/>
  <c r="I34" i="236"/>
  <c r="H33" i="235"/>
  <c r="I34" i="235"/>
  <c r="I34" i="234"/>
  <c r="H33" i="234"/>
  <c r="I33" i="232"/>
  <c r="H33" i="231"/>
  <c r="I34" i="231"/>
  <c r="H35" i="230"/>
  <c r="I36" i="230"/>
  <c r="I33" i="229"/>
  <c r="I35" i="228"/>
  <c r="H33" i="227"/>
  <c r="I34" i="227"/>
  <c r="I35" i="226"/>
  <c r="I33" i="225"/>
  <c r="I36" i="224"/>
  <c r="H35" i="224"/>
  <c r="I32" i="223"/>
  <c r="I33" i="222"/>
  <c r="I33" i="221"/>
  <c r="H33" i="220"/>
  <c r="I34" i="220"/>
  <c r="H32" i="219"/>
  <c r="I33" i="219"/>
  <c r="I32" i="218"/>
  <c r="I33" i="217"/>
  <c r="H32" i="216"/>
  <c r="I33" i="216"/>
  <c r="I33" i="215"/>
  <c r="I33" i="214"/>
  <c r="I43" i="213"/>
  <c r="I31" i="211"/>
  <c r="I32" i="211"/>
  <c r="I43" i="211"/>
  <c r="I32" i="210"/>
  <c r="I38" i="209"/>
  <c r="I38" i="208"/>
  <c r="I38" i="207"/>
  <c r="I33" i="206"/>
  <c r="I33" i="205"/>
  <c r="I33" i="204"/>
  <c r="I32" i="203"/>
  <c r="I32" i="202"/>
  <c r="I32" i="201"/>
  <c r="I32" i="200"/>
  <c r="I32" i="199"/>
  <c r="I32" i="198"/>
  <c r="I33" i="197"/>
  <c r="I32" i="196"/>
  <c r="I32" i="195"/>
  <c r="I33" i="194"/>
  <c r="I34" i="193"/>
  <c r="I33" i="192"/>
  <c r="I34" i="191"/>
  <c r="I33" i="190"/>
  <c r="I32" i="189"/>
  <c r="I33" i="188"/>
  <c r="I34" i="187"/>
  <c r="I32" i="186"/>
  <c r="I32" i="185"/>
  <c r="I33" i="184"/>
  <c r="I34" i="183"/>
  <c r="I33" i="182"/>
  <c r="I34" i="181"/>
  <c r="I35" i="180"/>
  <c r="I35" i="179"/>
  <c r="I35" i="178"/>
  <c r="I35" i="177"/>
  <c r="I35" i="176"/>
  <c r="I35" i="175"/>
  <c r="I32" i="174"/>
  <c r="I32" i="173"/>
  <c r="I32" i="172"/>
  <c r="I33" i="171"/>
  <c r="I33" i="170"/>
  <c r="I33" i="169"/>
  <c r="I33" i="168"/>
  <c r="I34" i="167"/>
  <c r="I33" i="166"/>
  <c r="I34" i="165"/>
  <c r="I33" i="164"/>
  <c r="I34" i="163"/>
  <c r="I33" i="162"/>
  <c r="I34" i="161"/>
  <c r="I35" i="160"/>
  <c r="I35" i="158"/>
  <c r="I35" i="159"/>
  <c r="I35" i="157"/>
  <c r="I35" i="156"/>
  <c r="I35" i="155"/>
  <c r="I35" i="154"/>
  <c r="H33" i="153"/>
  <c r="I34" i="153"/>
  <c r="I36" i="153"/>
  <c r="I34" i="152"/>
  <c r="H33" i="152"/>
  <c r="I39" i="149"/>
  <c r="I41" i="118"/>
  <c r="I36" i="87"/>
  <c r="I37" i="81"/>
  <c r="I39" i="79"/>
  <c r="H33" i="249"/>
  <c r="I34" i="249"/>
  <c r="H33" i="247"/>
  <c r="I34" i="247"/>
  <c r="H33" i="246"/>
  <c r="I34" i="246"/>
  <c r="H33" i="245"/>
  <c r="I34" i="245"/>
  <c r="H34" i="244"/>
  <c r="I35" i="244"/>
  <c r="H34" i="243"/>
  <c r="I35" i="243"/>
  <c r="H33" i="242"/>
  <c r="I34" i="242"/>
  <c r="I33" i="239"/>
  <c r="H32" i="239"/>
  <c r="H32" i="238"/>
  <c r="I33" i="238"/>
  <c r="I34" i="232"/>
  <c r="H33" i="232"/>
  <c r="H33" i="229"/>
  <c r="I34" i="229"/>
  <c r="H35" i="228"/>
  <c r="I36" i="228"/>
  <c r="I36" i="226"/>
  <c r="H35" i="226"/>
  <c r="H33" i="225"/>
  <c r="I34" i="225"/>
  <c r="H32" i="223"/>
  <c r="I33" i="223"/>
  <c r="I34" i="222"/>
  <c r="H33" i="222"/>
  <c r="I34" i="221"/>
  <c r="H33" i="221"/>
  <c r="H32" i="218"/>
  <c r="I33" i="218"/>
  <c r="H33" i="217"/>
  <c r="I34" i="217"/>
  <c r="I34" i="215"/>
  <c r="H33" i="215"/>
  <c r="I34" i="214"/>
  <c r="H33" i="214"/>
  <c r="I33" i="210"/>
  <c r="H32" i="210"/>
  <c r="H38" i="209"/>
  <c r="I39" i="209"/>
  <c r="I41" i="209"/>
  <c r="H38" i="208"/>
  <c r="I39" i="208"/>
  <c r="I41" i="208"/>
  <c r="H38" i="207"/>
  <c r="I39" i="207"/>
  <c r="I41" i="207"/>
  <c r="I34" i="206"/>
  <c r="I36" i="206"/>
  <c r="H33" i="206"/>
  <c r="H33" i="205"/>
  <c r="I34" i="205"/>
  <c r="I36" i="205"/>
  <c r="H33" i="204"/>
  <c r="I34" i="204"/>
  <c r="I36" i="204"/>
  <c r="I33" i="203"/>
  <c r="I35" i="203"/>
  <c r="H32" i="203"/>
  <c r="I33" i="202"/>
  <c r="I35" i="202"/>
  <c r="H32" i="202"/>
  <c r="I33" i="201"/>
  <c r="I35" i="201"/>
  <c r="H32" i="201"/>
  <c r="I33" i="200"/>
  <c r="I35" i="200"/>
  <c r="H32" i="200"/>
  <c r="I33" i="199"/>
  <c r="I35" i="199"/>
  <c r="H32" i="199"/>
  <c r="I33" i="198"/>
  <c r="I35" i="198"/>
  <c r="H32" i="198"/>
  <c r="I34" i="197"/>
  <c r="I36" i="197"/>
  <c r="H33" i="197"/>
  <c r="I33" i="196"/>
  <c r="I35" i="196"/>
  <c r="H32" i="196"/>
  <c r="I33" i="195"/>
  <c r="I35" i="195"/>
  <c r="H32" i="195"/>
  <c r="I34" i="194"/>
  <c r="I36" i="194"/>
  <c r="H33" i="194"/>
  <c r="I35" i="193"/>
  <c r="I37" i="193"/>
  <c r="H34" i="193"/>
  <c r="I34" i="192"/>
  <c r="I36" i="192"/>
  <c r="H33" i="192"/>
  <c r="I35" i="191"/>
  <c r="I37" i="191"/>
  <c r="H34" i="191"/>
  <c r="I34" i="190"/>
  <c r="I36" i="190"/>
  <c r="H33" i="190"/>
  <c r="I33" i="189"/>
  <c r="I35" i="189"/>
  <c r="H32" i="189"/>
  <c r="I34" i="188"/>
  <c r="H33" i="188"/>
  <c r="I35" i="187"/>
  <c r="I37" i="187"/>
  <c r="H34" i="187"/>
  <c r="I33" i="186"/>
  <c r="H32" i="186"/>
  <c r="I33" i="185"/>
  <c r="H32" i="185"/>
  <c r="I34" i="184"/>
  <c r="H33" i="184"/>
  <c r="I35" i="183"/>
  <c r="H34" i="183"/>
  <c r="I34" i="182"/>
  <c r="H33" i="182"/>
  <c r="I35" i="181"/>
  <c r="H34" i="181"/>
  <c r="I36" i="180"/>
  <c r="H35" i="180"/>
  <c r="I36" i="179"/>
  <c r="H35" i="179"/>
  <c r="I36" i="178"/>
  <c r="H35" i="178"/>
  <c r="I36" i="177"/>
  <c r="H35" i="177"/>
  <c r="I36" i="176"/>
  <c r="H35" i="176"/>
  <c r="I36" i="175"/>
  <c r="I38" i="175"/>
  <c r="H35" i="175"/>
  <c r="I33" i="174"/>
  <c r="I35" i="174"/>
  <c r="H32" i="174"/>
  <c r="I33" i="173"/>
  <c r="I35" i="173"/>
  <c r="H32" i="173"/>
  <c r="I33" i="172"/>
  <c r="I35" i="172"/>
  <c r="H32" i="172"/>
  <c r="I34" i="171"/>
  <c r="I36" i="171"/>
  <c r="H33" i="171"/>
  <c r="I34" i="170"/>
  <c r="I36" i="170"/>
  <c r="H33" i="170"/>
  <c r="I34" i="169"/>
  <c r="I36" i="169"/>
  <c r="H33" i="169"/>
  <c r="I34" i="168"/>
  <c r="I36" i="168"/>
  <c r="H33" i="168"/>
  <c r="I35" i="167"/>
  <c r="I37" i="167"/>
  <c r="H34" i="167"/>
  <c r="I34" i="166"/>
  <c r="I36" i="166"/>
  <c r="H33" i="166"/>
  <c r="I35" i="165"/>
  <c r="I37" i="165"/>
  <c r="H34" i="165"/>
  <c r="I34" i="164"/>
  <c r="I36" i="164"/>
  <c r="H33" i="164"/>
  <c r="I35" i="163"/>
  <c r="I37" i="163"/>
  <c r="H34" i="163"/>
  <c r="I34" i="162"/>
  <c r="I36" i="162"/>
  <c r="H33" i="162"/>
  <c r="I35" i="161"/>
  <c r="I37" i="161"/>
  <c r="H34" i="161"/>
  <c r="I36" i="160"/>
  <c r="I38" i="160"/>
  <c r="H35" i="160"/>
  <c r="I36" i="158"/>
  <c r="I38" i="158"/>
  <c r="H35" i="158"/>
  <c r="I36" i="159"/>
  <c r="I38" i="159"/>
  <c r="H35" i="159"/>
  <c r="I36" i="157"/>
  <c r="H35" i="157"/>
  <c r="I36" i="156"/>
  <c r="I38" i="156"/>
  <c r="H35" i="156"/>
  <c r="I36" i="155"/>
  <c r="I38" i="155"/>
  <c r="H35" i="155"/>
  <c r="I36" i="154"/>
  <c r="I38" i="154"/>
  <c r="H35" i="154"/>
  <c r="H39" i="149"/>
  <c r="I42" i="149"/>
  <c r="C24" i="110"/>
  <c r="E24" i="110"/>
  <c r="F24" i="110"/>
  <c r="C25" i="110"/>
  <c r="E25" i="110"/>
  <c r="F25" i="110"/>
  <c r="C26" i="110"/>
  <c r="E26" i="110"/>
  <c r="F26" i="110"/>
  <c r="C27" i="110"/>
  <c r="E27" i="110"/>
  <c r="F27" i="110"/>
  <c r="C19" i="109"/>
  <c r="C25" i="107"/>
  <c r="E25" i="107"/>
  <c r="C26" i="107"/>
  <c r="E26" i="107"/>
  <c r="C27" i="107"/>
  <c r="E27" i="107"/>
  <c r="F25" i="114"/>
  <c r="E25" i="114"/>
  <c r="C25" i="114"/>
  <c r="C27" i="18"/>
  <c r="E27" i="18"/>
  <c r="F24" i="36"/>
  <c r="E24" i="36"/>
  <c r="C24" i="36"/>
  <c r="C28" i="22"/>
  <c r="C25" i="23"/>
  <c r="E25" i="23"/>
  <c r="F25" i="23"/>
  <c r="F26" i="18"/>
  <c r="F24" i="34"/>
  <c r="E24" i="34"/>
  <c r="C24" i="34"/>
  <c r="C26" i="18"/>
  <c r="F25" i="30"/>
  <c r="E25" i="30"/>
  <c r="C25" i="30"/>
  <c r="F25" i="28"/>
  <c r="E25" i="28"/>
  <c r="C25" i="28"/>
  <c r="C24" i="28"/>
  <c r="F24" i="28"/>
  <c r="E24" i="28"/>
  <c r="F25" i="25"/>
  <c r="E25" i="25"/>
  <c r="C25" i="25"/>
  <c r="F28" i="22"/>
  <c r="E28" i="22"/>
  <c r="F27" i="22"/>
  <c r="E27" i="22"/>
  <c r="C27" i="22"/>
  <c r="F26" i="22"/>
  <c r="E26" i="22"/>
  <c r="C26" i="22"/>
  <c r="F25" i="22"/>
  <c r="E25" i="22"/>
  <c r="C25" i="22"/>
  <c r="E28" i="19"/>
  <c r="C28" i="19"/>
  <c r="C27" i="19"/>
  <c r="F27" i="19"/>
  <c r="E27" i="19"/>
  <c r="F26" i="19"/>
  <c r="E26" i="19"/>
  <c r="C26" i="19"/>
  <c r="E25" i="19"/>
  <c r="C25" i="19"/>
  <c r="E24" i="18"/>
  <c r="C24" i="18"/>
  <c r="C25" i="18"/>
  <c r="E26" i="18"/>
  <c r="E25" i="18"/>
  <c r="F26" i="64"/>
  <c r="E26" i="64"/>
  <c r="C26" i="64"/>
  <c r="F27" i="57"/>
  <c r="E27" i="57"/>
  <c r="C27" i="57"/>
  <c r="F37" i="57"/>
  <c r="E37" i="57"/>
  <c r="C37" i="57"/>
  <c r="F27" i="64"/>
  <c r="E27" i="64"/>
  <c r="C27" i="64"/>
  <c r="E27" i="62"/>
  <c r="C27" i="62"/>
  <c r="E26" i="96"/>
  <c r="C26" i="96"/>
  <c r="H38" i="144"/>
  <c r="I40" i="144" s="1"/>
  <c r="I35" i="144"/>
  <c r="H27" i="144"/>
  <c r="H26" i="144"/>
  <c r="H25" i="144"/>
  <c r="H24" i="144"/>
  <c r="H20" i="144"/>
  <c r="H19" i="144"/>
  <c r="H18" i="144"/>
  <c r="H38" i="143"/>
  <c r="I40" i="143" s="1"/>
  <c r="I35" i="143"/>
  <c r="H27" i="143"/>
  <c r="H26" i="143"/>
  <c r="H25" i="143"/>
  <c r="H24" i="143"/>
  <c r="I28" i="143" s="1"/>
  <c r="H20" i="143"/>
  <c r="H19" i="143"/>
  <c r="H18" i="143"/>
  <c r="H38" i="141"/>
  <c r="I40" i="141" s="1"/>
  <c r="I35" i="141"/>
  <c r="H27" i="141"/>
  <c r="H26" i="141"/>
  <c r="H25" i="141"/>
  <c r="H24" i="141"/>
  <c r="H20" i="141"/>
  <c r="H19" i="141"/>
  <c r="I21" i="141" s="1"/>
  <c r="H18" i="141"/>
  <c r="H24" i="100"/>
  <c r="H38" i="140"/>
  <c r="I40" i="140" s="1"/>
  <c r="I35" i="140"/>
  <c r="H27" i="140"/>
  <c r="H26" i="140"/>
  <c r="H25" i="140"/>
  <c r="H24" i="140"/>
  <c r="I28" i="140" s="1"/>
  <c r="H20" i="140"/>
  <c r="H19" i="140"/>
  <c r="H18" i="140"/>
  <c r="I21" i="140" s="1"/>
  <c r="I21" i="144"/>
  <c r="I21" i="143"/>
  <c r="I28" i="144"/>
  <c r="I30" i="144" s="1"/>
  <c r="I28" i="141"/>
  <c r="I23" i="115"/>
  <c r="H21" i="115"/>
  <c r="H20" i="43"/>
  <c r="C21" i="43"/>
  <c r="E21" i="43"/>
  <c r="F21" i="43"/>
  <c r="H21" i="43"/>
  <c r="C24" i="42"/>
  <c r="F27" i="115"/>
  <c r="H27" i="115"/>
  <c r="E27" i="115"/>
  <c r="C27" i="115"/>
  <c r="F27" i="43"/>
  <c r="H27" i="43" s="1"/>
  <c r="E27" i="43"/>
  <c r="C27" i="43"/>
  <c r="F28" i="43"/>
  <c r="H28" i="43"/>
  <c r="E28" i="43"/>
  <c r="C28" i="43"/>
  <c r="F26" i="43"/>
  <c r="H26" i="43" s="1"/>
  <c r="E26" i="43"/>
  <c r="C26" i="43"/>
  <c r="F24" i="96"/>
  <c r="E24" i="96"/>
  <c r="C24" i="96"/>
  <c r="C26" i="113"/>
  <c r="F21" i="113"/>
  <c r="H21" i="113"/>
  <c r="E21" i="113"/>
  <c r="C21" i="113"/>
  <c r="F20" i="19"/>
  <c r="H20" i="19"/>
  <c r="E20" i="19"/>
  <c r="C20" i="19"/>
  <c r="I29" i="144"/>
  <c r="I29" i="141"/>
  <c r="I30" i="141" s="1"/>
  <c r="F26" i="109"/>
  <c r="H26" i="109" s="1"/>
  <c r="E26" i="109"/>
  <c r="F25" i="109"/>
  <c r="H25" i="109" s="1"/>
  <c r="E25" i="109"/>
  <c r="C25" i="109"/>
  <c r="F24" i="109"/>
  <c r="H24" i="109"/>
  <c r="I28" i="109" s="1"/>
  <c r="E24" i="109"/>
  <c r="C24" i="109"/>
  <c r="E39" i="135"/>
  <c r="C39" i="135"/>
  <c r="H34" i="135"/>
  <c r="I36" i="135"/>
  <c r="C34" i="135"/>
  <c r="F28" i="135"/>
  <c r="H28" i="135"/>
  <c r="E28" i="135"/>
  <c r="C28" i="135"/>
  <c r="H27" i="135"/>
  <c r="E27" i="135"/>
  <c r="C27" i="135"/>
  <c r="H26" i="135"/>
  <c r="E26" i="135"/>
  <c r="C26" i="135"/>
  <c r="F25" i="135"/>
  <c r="H25" i="135" s="1"/>
  <c r="I29" i="135" s="1"/>
  <c r="E25" i="135"/>
  <c r="C25" i="135"/>
  <c r="H24" i="135"/>
  <c r="E24" i="135"/>
  <c r="C24" i="135"/>
  <c r="H23" i="135"/>
  <c r="E23" i="135"/>
  <c r="F19" i="135"/>
  <c r="E19" i="135"/>
  <c r="C19" i="135"/>
  <c r="F18" i="135"/>
  <c r="H18" i="135"/>
  <c r="E18" i="135"/>
  <c r="C18" i="135"/>
  <c r="F25" i="133"/>
  <c r="H25" i="133" s="1"/>
  <c r="E25" i="133"/>
  <c r="C25" i="133"/>
  <c r="F24" i="133"/>
  <c r="H24" i="133" s="1"/>
  <c r="E24" i="133"/>
  <c r="C24" i="133"/>
  <c r="F23" i="133"/>
  <c r="H23" i="133" s="1"/>
  <c r="I26" i="133" s="1"/>
  <c r="E23" i="133"/>
  <c r="C23" i="133"/>
  <c r="E36" i="133"/>
  <c r="C36" i="133"/>
  <c r="I33" i="133"/>
  <c r="F19" i="133"/>
  <c r="H19" i="133"/>
  <c r="E19" i="133"/>
  <c r="C19" i="133"/>
  <c r="F18" i="133"/>
  <c r="H18" i="133"/>
  <c r="E18" i="133"/>
  <c r="C18" i="133"/>
  <c r="F26" i="131"/>
  <c r="H26" i="131"/>
  <c r="E26" i="131"/>
  <c r="C26" i="131"/>
  <c r="E34" i="132"/>
  <c r="C34" i="132"/>
  <c r="H29" i="132"/>
  <c r="I31" i="132"/>
  <c r="C29" i="132"/>
  <c r="F23" i="132"/>
  <c r="H23" i="132" s="1"/>
  <c r="I24" i="132" s="1"/>
  <c r="E23" i="132"/>
  <c r="C23" i="132"/>
  <c r="F19" i="132"/>
  <c r="H19" i="132"/>
  <c r="E19" i="132"/>
  <c r="C19" i="132"/>
  <c r="F18" i="132"/>
  <c r="H18" i="132"/>
  <c r="E18" i="132"/>
  <c r="C18" i="132"/>
  <c r="E37" i="131"/>
  <c r="C37" i="131"/>
  <c r="H32" i="131"/>
  <c r="I34" i="131"/>
  <c r="C32" i="131"/>
  <c r="F25" i="131"/>
  <c r="H25" i="131" s="1"/>
  <c r="I27" i="131" s="1"/>
  <c r="E25" i="131"/>
  <c r="C25" i="131"/>
  <c r="F24" i="131"/>
  <c r="H24" i="131"/>
  <c r="E24" i="131"/>
  <c r="C24" i="131"/>
  <c r="F20" i="131"/>
  <c r="H20" i="131"/>
  <c r="E20" i="131"/>
  <c r="C20" i="131"/>
  <c r="F18" i="131"/>
  <c r="H18" i="131"/>
  <c r="E18" i="131"/>
  <c r="C18" i="131"/>
  <c r="E38" i="130"/>
  <c r="C38" i="130"/>
  <c r="H33" i="130"/>
  <c r="I35" i="130"/>
  <c r="C33" i="130"/>
  <c r="F27" i="130"/>
  <c r="H27" i="130"/>
  <c r="E27" i="130"/>
  <c r="C27" i="130"/>
  <c r="F26" i="130"/>
  <c r="H26" i="130" s="1"/>
  <c r="E26" i="130"/>
  <c r="C26" i="130"/>
  <c r="F25" i="130"/>
  <c r="H25" i="130"/>
  <c r="E25" i="130"/>
  <c r="C25" i="130"/>
  <c r="F24" i="130"/>
  <c r="H24" i="130" s="1"/>
  <c r="E24" i="130"/>
  <c r="C24" i="130"/>
  <c r="F20" i="130"/>
  <c r="H20" i="130"/>
  <c r="E20" i="130"/>
  <c r="C20" i="130"/>
  <c r="F18" i="130"/>
  <c r="H18" i="130"/>
  <c r="I21" i="130"/>
  <c r="E18" i="130"/>
  <c r="C18" i="130"/>
  <c r="C27" i="129"/>
  <c r="E27" i="129"/>
  <c r="F27" i="129"/>
  <c r="H27" i="129" s="1"/>
  <c r="F24" i="120"/>
  <c r="H24" i="120"/>
  <c r="E24" i="120"/>
  <c r="C24" i="120"/>
  <c r="E26" i="129"/>
  <c r="F126" i="3"/>
  <c r="F134" i="3"/>
  <c r="F136" i="3"/>
  <c r="F145" i="3"/>
  <c r="F146" i="3"/>
  <c r="F148" i="3"/>
  <c r="F28" i="19"/>
  <c r="F152" i="3"/>
  <c r="F230" i="3"/>
  <c r="F244" i="3"/>
  <c r="F287" i="3"/>
  <c r="F289" i="3"/>
  <c r="I20" i="132"/>
  <c r="I20" i="135"/>
  <c r="I20" i="133"/>
  <c r="I21" i="131"/>
  <c r="E38" i="129"/>
  <c r="C38" i="129"/>
  <c r="H33" i="129"/>
  <c r="I35" i="129"/>
  <c r="C33" i="129"/>
  <c r="F26" i="129"/>
  <c r="H26" i="129"/>
  <c r="C26" i="129"/>
  <c r="F25" i="129"/>
  <c r="H25" i="129"/>
  <c r="E25" i="129"/>
  <c r="C25" i="129"/>
  <c r="F24" i="129"/>
  <c r="H24" i="129" s="1"/>
  <c r="E24" i="129"/>
  <c r="C24" i="129"/>
  <c r="F20" i="129"/>
  <c r="H20" i="129"/>
  <c r="E20" i="129"/>
  <c r="C20" i="129"/>
  <c r="F18" i="129"/>
  <c r="H18" i="129"/>
  <c r="I21" i="129"/>
  <c r="E18" i="129"/>
  <c r="C18" i="129"/>
  <c r="E36" i="128"/>
  <c r="C36" i="128"/>
  <c r="H31" i="128"/>
  <c r="I33" i="128"/>
  <c r="C31" i="128"/>
  <c r="F25" i="128"/>
  <c r="H25" i="128" s="1"/>
  <c r="E25" i="128"/>
  <c r="C25" i="128"/>
  <c r="F24" i="128"/>
  <c r="H24" i="128" s="1"/>
  <c r="E24" i="128"/>
  <c r="C24" i="128"/>
  <c r="F23" i="128"/>
  <c r="H23" i="128" s="1"/>
  <c r="I26" i="128" s="1"/>
  <c r="E23" i="128"/>
  <c r="C23" i="128"/>
  <c r="F19" i="128"/>
  <c r="H19" i="128"/>
  <c r="E19" i="128"/>
  <c r="C19" i="128"/>
  <c r="F18" i="128"/>
  <c r="H18" i="128"/>
  <c r="I20" i="128"/>
  <c r="E18" i="128"/>
  <c r="C18" i="128"/>
  <c r="E35" i="127"/>
  <c r="C35" i="127"/>
  <c r="H30" i="127"/>
  <c r="I32" i="127"/>
  <c r="C30" i="127"/>
  <c r="F24" i="127"/>
  <c r="H24" i="127"/>
  <c r="E24" i="127"/>
  <c r="C24" i="127"/>
  <c r="F23" i="127"/>
  <c r="H23" i="127" s="1"/>
  <c r="I25" i="127" s="1"/>
  <c r="E23" i="127"/>
  <c r="C23" i="127"/>
  <c r="F19" i="127"/>
  <c r="H19" i="127"/>
  <c r="E19" i="127"/>
  <c r="C19" i="127"/>
  <c r="F18" i="127"/>
  <c r="H18" i="127"/>
  <c r="E18" i="127"/>
  <c r="C18" i="127"/>
  <c r="I36" i="126"/>
  <c r="H29" i="126"/>
  <c r="I31" i="126"/>
  <c r="C29" i="126"/>
  <c r="F23" i="126"/>
  <c r="H23" i="126" s="1"/>
  <c r="I24" i="126" s="1"/>
  <c r="E23" i="126"/>
  <c r="C23" i="126"/>
  <c r="F19" i="126"/>
  <c r="H19" i="126"/>
  <c r="E19" i="126"/>
  <c r="C19" i="126"/>
  <c r="F18" i="126"/>
  <c r="H18" i="126"/>
  <c r="E18" i="126"/>
  <c r="C18" i="126"/>
  <c r="I36" i="125"/>
  <c r="H29" i="125"/>
  <c r="I31" i="125"/>
  <c r="C29" i="125"/>
  <c r="F23" i="125"/>
  <c r="H23" i="125" s="1"/>
  <c r="I24" i="125" s="1"/>
  <c r="E23" i="125"/>
  <c r="C23" i="125"/>
  <c r="F19" i="125"/>
  <c r="H19" i="125"/>
  <c r="E19" i="125"/>
  <c r="C19" i="125"/>
  <c r="F18" i="125"/>
  <c r="H18" i="125"/>
  <c r="E18" i="125"/>
  <c r="C18" i="125"/>
  <c r="F27" i="124"/>
  <c r="H27" i="124"/>
  <c r="E27" i="124"/>
  <c r="C27" i="124"/>
  <c r="F26" i="124"/>
  <c r="H26" i="124" s="1"/>
  <c r="E26" i="124"/>
  <c r="C26" i="124"/>
  <c r="F24" i="124"/>
  <c r="H24" i="124"/>
  <c r="E24" i="124"/>
  <c r="E25" i="124"/>
  <c r="C24" i="124"/>
  <c r="C25" i="124"/>
  <c r="F25" i="124"/>
  <c r="H25" i="124" s="1"/>
  <c r="I29" i="124" s="1"/>
  <c r="C28" i="124"/>
  <c r="E39" i="124"/>
  <c r="C39" i="124"/>
  <c r="H34" i="124"/>
  <c r="I36" i="124"/>
  <c r="F28" i="124"/>
  <c r="H28" i="124"/>
  <c r="E28" i="124"/>
  <c r="F20" i="124"/>
  <c r="H20" i="124"/>
  <c r="E20" i="124"/>
  <c r="C20" i="124"/>
  <c r="F18" i="124"/>
  <c r="H18" i="124"/>
  <c r="E18" i="124"/>
  <c r="C18" i="124"/>
  <c r="E34" i="123"/>
  <c r="C34" i="123"/>
  <c r="H29" i="123"/>
  <c r="I31" i="123"/>
  <c r="C29" i="123"/>
  <c r="F23" i="123"/>
  <c r="H23" i="123"/>
  <c r="I24" i="123" s="1"/>
  <c r="E23" i="123"/>
  <c r="C23" i="123"/>
  <c r="F19" i="123"/>
  <c r="H19" i="123"/>
  <c r="E19" i="123"/>
  <c r="C19" i="123"/>
  <c r="F18" i="123"/>
  <c r="H18" i="123"/>
  <c r="E18" i="123"/>
  <c r="C18" i="123"/>
  <c r="E35" i="122"/>
  <c r="C35" i="122"/>
  <c r="H30" i="122"/>
  <c r="I32" i="122"/>
  <c r="C30" i="122"/>
  <c r="F24" i="122"/>
  <c r="H24" i="122"/>
  <c r="E24" i="122"/>
  <c r="C24" i="122"/>
  <c r="F20" i="122"/>
  <c r="H20" i="122"/>
  <c r="E20" i="122"/>
  <c r="C20" i="122"/>
  <c r="F18" i="122"/>
  <c r="H18" i="122"/>
  <c r="I21" i="122"/>
  <c r="E18" i="122"/>
  <c r="C18" i="122"/>
  <c r="F25" i="121"/>
  <c r="H25" i="121" s="1"/>
  <c r="I26" i="121" s="1"/>
  <c r="E25" i="121"/>
  <c r="C25" i="121"/>
  <c r="E36" i="121"/>
  <c r="C36" i="121"/>
  <c r="H31" i="121"/>
  <c r="I33" i="121"/>
  <c r="C31" i="121"/>
  <c r="F24" i="121"/>
  <c r="H24" i="121"/>
  <c r="E24" i="121"/>
  <c r="C24" i="121"/>
  <c r="F20" i="121"/>
  <c r="H20" i="121"/>
  <c r="E20" i="121"/>
  <c r="C20" i="121"/>
  <c r="F18" i="121"/>
  <c r="H18" i="121"/>
  <c r="E18" i="121"/>
  <c r="C18" i="121"/>
  <c r="E35" i="120"/>
  <c r="C35" i="120"/>
  <c r="H30" i="120"/>
  <c r="I32" i="120"/>
  <c r="C30" i="120"/>
  <c r="F23" i="120"/>
  <c r="H23" i="120" s="1"/>
  <c r="I25" i="120" s="1"/>
  <c r="E23" i="120"/>
  <c r="C23" i="120"/>
  <c r="F19" i="120"/>
  <c r="H19" i="120"/>
  <c r="E19" i="120"/>
  <c r="C19" i="120"/>
  <c r="F18" i="120"/>
  <c r="H18" i="120"/>
  <c r="E18" i="120"/>
  <c r="C18" i="120"/>
  <c r="E35" i="119"/>
  <c r="C35" i="119"/>
  <c r="H30" i="119"/>
  <c r="I32" i="119"/>
  <c r="C30" i="119"/>
  <c r="F24" i="119"/>
  <c r="H24" i="119"/>
  <c r="E24" i="119"/>
  <c r="C24" i="119"/>
  <c r="F23" i="119"/>
  <c r="H23" i="119"/>
  <c r="I25" i="119" s="1"/>
  <c r="E23" i="119"/>
  <c r="C23" i="119"/>
  <c r="F19" i="119"/>
  <c r="H19" i="119"/>
  <c r="E19" i="119"/>
  <c r="C19" i="119"/>
  <c r="F18" i="119"/>
  <c r="H18" i="119"/>
  <c r="E18" i="119"/>
  <c r="C18" i="119"/>
  <c r="F19" i="118"/>
  <c r="E19" i="118"/>
  <c r="C19" i="118"/>
  <c r="H27" i="118"/>
  <c r="E27" i="118"/>
  <c r="C27" i="118"/>
  <c r="C28" i="118"/>
  <c r="E28" i="118"/>
  <c r="F28" i="118"/>
  <c r="H28" i="118"/>
  <c r="E39" i="118"/>
  <c r="C39" i="118"/>
  <c r="H34" i="118"/>
  <c r="I36" i="118"/>
  <c r="C34" i="118"/>
  <c r="H26" i="118"/>
  <c r="E26" i="118"/>
  <c r="C26" i="118"/>
  <c r="H25" i="118"/>
  <c r="E25" i="118"/>
  <c r="C25" i="118"/>
  <c r="H24" i="118"/>
  <c r="E24" i="118"/>
  <c r="C24" i="118"/>
  <c r="H23" i="118"/>
  <c r="E23" i="118"/>
  <c r="C23" i="118"/>
  <c r="F18" i="118"/>
  <c r="H18" i="118"/>
  <c r="E18" i="118"/>
  <c r="C18" i="118"/>
  <c r="E38" i="117"/>
  <c r="C38" i="117"/>
  <c r="H33" i="117"/>
  <c r="I35" i="117"/>
  <c r="C33" i="117"/>
  <c r="F27" i="117"/>
  <c r="H27" i="117"/>
  <c r="E27" i="117"/>
  <c r="C27" i="117"/>
  <c r="F26" i="117"/>
  <c r="H26" i="117"/>
  <c r="E26" i="117"/>
  <c r="C26" i="117"/>
  <c r="F25" i="117"/>
  <c r="H25" i="117" s="1"/>
  <c r="E25" i="117"/>
  <c r="C25" i="117"/>
  <c r="F24" i="117"/>
  <c r="H24" i="117"/>
  <c r="E24" i="117"/>
  <c r="C24" i="117"/>
  <c r="F23" i="117"/>
  <c r="H23" i="117" s="1"/>
  <c r="E23" i="117"/>
  <c r="C23" i="117"/>
  <c r="F19" i="117"/>
  <c r="H19" i="117"/>
  <c r="E19" i="117"/>
  <c r="C19" i="117"/>
  <c r="F18" i="117"/>
  <c r="H18" i="117"/>
  <c r="E18" i="117"/>
  <c r="C18" i="117"/>
  <c r="F27" i="116"/>
  <c r="H27" i="116"/>
  <c r="E27" i="116"/>
  <c r="C27" i="116"/>
  <c r="C26" i="116"/>
  <c r="C28" i="116"/>
  <c r="I20" i="126"/>
  <c r="I20" i="123"/>
  <c r="I20" i="127"/>
  <c r="I20" i="125"/>
  <c r="I21" i="124"/>
  <c r="I25" i="122"/>
  <c r="I21" i="121"/>
  <c r="I29" i="118"/>
  <c r="I20" i="120"/>
  <c r="I20" i="119"/>
  <c r="I20" i="118"/>
  <c r="I20" i="117"/>
  <c r="F24" i="116"/>
  <c r="H24" i="116"/>
  <c r="E24" i="116"/>
  <c r="C24" i="116"/>
  <c r="F23" i="116"/>
  <c r="H23" i="116"/>
  <c r="E23" i="116"/>
  <c r="C23" i="116"/>
  <c r="E28" i="116"/>
  <c r="F28" i="116"/>
  <c r="H28" i="116" s="1"/>
  <c r="F25" i="116"/>
  <c r="H25" i="116" s="1"/>
  <c r="E25" i="116"/>
  <c r="C25" i="116"/>
  <c r="F26" i="116"/>
  <c r="H26" i="116"/>
  <c r="E26" i="116"/>
  <c r="F20" i="115"/>
  <c r="H20" i="115"/>
  <c r="E20" i="115"/>
  <c r="C20" i="115"/>
  <c r="F22" i="115"/>
  <c r="H22" i="115"/>
  <c r="E22" i="115"/>
  <c r="C22" i="115"/>
  <c r="F28" i="115"/>
  <c r="H28" i="115"/>
  <c r="E28" i="115"/>
  <c r="C28" i="115"/>
  <c r="F29" i="115"/>
  <c r="H29" i="115" s="1"/>
  <c r="E29" i="115"/>
  <c r="C29" i="115"/>
  <c r="F26" i="115"/>
  <c r="H26" i="115"/>
  <c r="I30" i="115" s="1"/>
  <c r="E26" i="115"/>
  <c r="C26" i="115"/>
  <c r="G36" i="113"/>
  <c r="H36" i="113"/>
  <c r="I38" i="113"/>
  <c r="D36" i="113"/>
  <c r="C36" i="113"/>
  <c r="F20" i="113"/>
  <c r="H20" i="113"/>
  <c r="E20" i="113"/>
  <c r="C20" i="113"/>
  <c r="C19" i="113"/>
  <c r="F29" i="113"/>
  <c r="H29" i="113"/>
  <c r="E29" i="113"/>
  <c r="C29" i="113"/>
  <c r="F30" i="113"/>
  <c r="H30" i="113"/>
  <c r="E30" i="113"/>
  <c r="C30" i="113"/>
  <c r="F28" i="113"/>
  <c r="H28" i="113"/>
  <c r="E28" i="113"/>
  <c r="C28" i="113"/>
  <c r="F27" i="113"/>
  <c r="H27" i="113"/>
  <c r="E27" i="113"/>
  <c r="C27" i="113"/>
  <c r="F26" i="113"/>
  <c r="H26" i="113"/>
  <c r="I31" i="113" s="1"/>
  <c r="E26" i="113"/>
  <c r="F27" i="112"/>
  <c r="H27" i="112" s="1"/>
  <c r="E27" i="112"/>
  <c r="C27" i="112"/>
  <c r="F28" i="112"/>
  <c r="H28" i="112"/>
  <c r="E28" i="112"/>
  <c r="C28" i="112"/>
  <c r="F26" i="112"/>
  <c r="H26" i="112" s="1"/>
  <c r="E26" i="112"/>
  <c r="C26" i="112"/>
  <c r="F25" i="112"/>
  <c r="H25" i="112"/>
  <c r="E25" i="112"/>
  <c r="C25" i="112"/>
  <c r="F24" i="112"/>
  <c r="H24" i="112" s="1"/>
  <c r="E24" i="112"/>
  <c r="C24" i="112"/>
  <c r="H27" i="110"/>
  <c r="F26" i="111"/>
  <c r="H26" i="111"/>
  <c r="E26" i="111"/>
  <c r="C26" i="111"/>
  <c r="F25" i="111"/>
  <c r="H25" i="111"/>
  <c r="E25" i="111"/>
  <c r="C25" i="111"/>
  <c r="F24" i="111"/>
  <c r="H24" i="111"/>
  <c r="E24" i="111"/>
  <c r="C24" i="111"/>
  <c r="H26" i="110"/>
  <c r="H25" i="110"/>
  <c r="I28" i="110" s="1"/>
  <c r="H24" i="110"/>
  <c r="F26" i="17"/>
  <c r="H26" i="17"/>
  <c r="E26" i="17"/>
  <c r="C26" i="17"/>
  <c r="F25" i="17"/>
  <c r="H25" i="17" s="1"/>
  <c r="I28" i="17" s="1"/>
  <c r="E25" i="17"/>
  <c r="C25" i="17"/>
  <c r="F24" i="17"/>
  <c r="H24" i="17"/>
  <c r="E24" i="17"/>
  <c r="C24" i="17"/>
  <c r="F26" i="16"/>
  <c r="H26" i="16" s="1"/>
  <c r="E26" i="16"/>
  <c r="C26" i="16"/>
  <c r="F25" i="16"/>
  <c r="H25" i="16"/>
  <c r="E25" i="16"/>
  <c r="C25" i="16"/>
  <c r="F24" i="16"/>
  <c r="H24" i="16" s="1"/>
  <c r="E24" i="16"/>
  <c r="C24" i="16"/>
  <c r="F25" i="15"/>
  <c r="H25" i="15"/>
  <c r="E25" i="15"/>
  <c r="C25" i="15"/>
  <c r="F24" i="15"/>
  <c r="H24" i="15" s="1"/>
  <c r="I27" i="15" s="1"/>
  <c r="E24" i="15"/>
  <c r="C24" i="15"/>
  <c r="F23" i="15"/>
  <c r="H23" i="15"/>
  <c r="E23" i="15"/>
  <c r="C23" i="15"/>
  <c r="F26" i="11"/>
  <c r="H26" i="11" s="1"/>
  <c r="E26" i="11"/>
  <c r="C26" i="11"/>
  <c r="F25" i="11"/>
  <c r="H25" i="11"/>
  <c r="E25" i="11"/>
  <c r="C25" i="11"/>
  <c r="F24" i="11"/>
  <c r="H24" i="11" s="1"/>
  <c r="I28" i="11" s="1"/>
  <c r="E24" i="11"/>
  <c r="C24" i="11"/>
  <c r="F26" i="9"/>
  <c r="H26" i="9"/>
  <c r="E26" i="9"/>
  <c r="C26" i="9"/>
  <c r="F25" i="9"/>
  <c r="H25" i="9" s="1"/>
  <c r="I28" i="9" s="1"/>
  <c r="E25" i="9"/>
  <c r="C25" i="9"/>
  <c r="F24" i="9"/>
  <c r="H24" i="9"/>
  <c r="E24" i="9"/>
  <c r="C24" i="9"/>
  <c r="F27" i="2"/>
  <c r="H27" i="2" s="1"/>
  <c r="E27" i="2"/>
  <c r="C27" i="2"/>
  <c r="F26" i="2"/>
  <c r="H26" i="2" s="1"/>
  <c r="E26" i="2"/>
  <c r="C26" i="2"/>
  <c r="F25" i="2"/>
  <c r="H25" i="2" s="1"/>
  <c r="I29" i="2" s="1"/>
  <c r="E25" i="2"/>
  <c r="C25" i="2"/>
  <c r="F27" i="107"/>
  <c r="H27" i="107" s="1"/>
  <c r="F26" i="107"/>
  <c r="H26" i="107" s="1"/>
  <c r="F25" i="107"/>
  <c r="H25" i="107" s="1"/>
  <c r="F26" i="108"/>
  <c r="H26" i="108" s="1"/>
  <c r="E26" i="108"/>
  <c r="C26" i="108"/>
  <c r="F25" i="108"/>
  <c r="H25" i="108" s="1"/>
  <c r="I29" i="108" s="1"/>
  <c r="E25" i="108"/>
  <c r="C25" i="108"/>
  <c r="E39" i="116"/>
  <c r="C39" i="116"/>
  <c r="H34" i="116"/>
  <c r="I36" i="116"/>
  <c r="C34" i="116"/>
  <c r="F19" i="116"/>
  <c r="H19" i="116"/>
  <c r="E19" i="116"/>
  <c r="C19" i="116"/>
  <c r="F18" i="116"/>
  <c r="H18" i="116"/>
  <c r="E18" i="116"/>
  <c r="C18" i="116"/>
  <c r="E40" i="115"/>
  <c r="C40" i="115"/>
  <c r="I37" i="115"/>
  <c r="F19" i="115"/>
  <c r="H19" i="115"/>
  <c r="E19" i="115"/>
  <c r="C19" i="115"/>
  <c r="F18" i="115"/>
  <c r="H18" i="115"/>
  <c r="E18" i="115"/>
  <c r="C18" i="115"/>
  <c r="E39" i="114"/>
  <c r="C39" i="114"/>
  <c r="I36" i="114"/>
  <c r="H25" i="114"/>
  <c r="I29" i="114"/>
  <c r="I30" i="114" s="1"/>
  <c r="I31" i="114" s="1"/>
  <c r="I42" i="114" s="1"/>
  <c r="F21" i="114"/>
  <c r="H21" i="114"/>
  <c r="E21" i="114"/>
  <c r="C21" i="114"/>
  <c r="F20" i="114"/>
  <c r="H20" i="114"/>
  <c r="E20" i="114"/>
  <c r="C20" i="114"/>
  <c r="F19" i="114"/>
  <c r="H19" i="114"/>
  <c r="E19" i="114"/>
  <c r="C19" i="114"/>
  <c r="F18" i="114"/>
  <c r="H18" i="114"/>
  <c r="E18" i="114"/>
  <c r="C18" i="114"/>
  <c r="E41" i="113"/>
  <c r="C41" i="113"/>
  <c r="H22" i="113"/>
  <c r="F19" i="113"/>
  <c r="H19" i="113"/>
  <c r="E19" i="113"/>
  <c r="F18" i="113"/>
  <c r="H18" i="113"/>
  <c r="E18" i="113"/>
  <c r="C18" i="113"/>
  <c r="E39" i="112"/>
  <c r="C39" i="112"/>
  <c r="G34" i="112"/>
  <c r="H34" i="112"/>
  <c r="I36" i="112"/>
  <c r="D34" i="112"/>
  <c r="C34" i="112"/>
  <c r="F20" i="112"/>
  <c r="H20" i="112"/>
  <c r="E20" i="112"/>
  <c r="C20" i="112"/>
  <c r="F19" i="112"/>
  <c r="H19" i="112"/>
  <c r="E19" i="112"/>
  <c r="C19" i="112"/>
  <c r="F18" i="112"/>
  <c r="H18" i="112"/>
  <c r="E18" i="112"/>
  <c r="C18" i="112"/>
  <c r="D9" i="112"/>
  <c r="E38" i="111"/>
  <c r="C38" i="111"/>
  <c r="G33" i="111"/>
  <c r="H33" i="111"/>
  <c r="I35" i="111"/>
  <c r="D33" i="111"/>
  <c r="C33" i="111"/>
  <c r="F20" i="111"/>
  <c r="H20" i="111"/>
  <c r="E20" i="111"/>
  <c r="C20" i="111"/>
  <c r="F19" i="111"/>
  <c r="H19" i="111"/>
  <c r="E19" i="111"/>
  <c r="C19" i="111"/>
  <c r="F18" i="111"/>
  <c r="H18" i="111"/>
  <c r="E18" i="111"/>
  <c r="C18" i="111"/>
  <c r="E38" i="110"/>
  <c r="C38" i="110"/>
  <c r="G33" i="110"/>
  <c r="H33" i="110"/>
  <c r="I35" i="110"/>
  <c r="D33" i="110"/>
  <c r="C33" i="110"/>
  <c r="F20" i="110"/>
  <c r="H20" i="110"/>
  <c r="E20" i="110"/>
  <c r="C20" i="110"/>
  <c r="F19" i="110"/>
  <c r="H19" i="110"/>
  <c r="E19" i="110"/>
  <c r="C19" i="110"/>
  <c r="F18" i="110"/>
  <c r="H18" i="110"/>
  <c r="E18" i="110"/>
  <c r="C18" i="110"/>
  <c r="E38" i="109"/>
  <c r="C38" i="109"/>
  <c r="G33" i="109"/>
  <c r="H33" i="109"/>
  <c r="I35" i="109"/>
  <c r="E33" i="109"/>
  <c r="D33" i="109"/>
  <c r="C33" i="109"/>
  <c r="F20" i="109"/>
  <c r="H20" i="109"/>
  <c r="E20" i="109"/>
  <c r="C20" i="109"/>
  <c r="F19" i="109"/>
  <c r="H19" i="109"/>
  <c r="E19" i="109"/>
  <c r="F18" i="109"/>
  <c r="H18" i="109"/>
  <c r="E18" i="109"/>
  <c r="C18" i="109"/>
  <c r="D9" i="109"/>
  <c r="E39" i="108"/>
  <c r="C39" i="108"/>
  <c r="I36" i="108"/>
  <c r="F21" i="108"/>
  <c r="H21" i="108"/>
  <c r="E21" i="108"/>
  <c r="C21" i="108"/>
  <c r="F20" i="108"/>
  <c r="H20" i="108"/>
  <c r="E20" i="108"/>
  <c r="C20" i="108"/>
  <c r="F19" i="108"/>
  <c r="H19" i="108"/>
  <c r="E19" i="108"/>
  <c r="C19" i="108"/>
  <c r="F18" i="108"/>
  <c r="H18" i="108"/>
  <c r="E18" i="108"/>
  <c r="C18" i="108"/>
  <c r="E39" i="107"/>
  <c r="C39" i="107"/>
  <c r="I36" i="107"/>
  <c r="F20" i="107"/>
  <c r="H20" i="107"/>
  <c r="E20" i="107"/>
  <c r="C20" i="107"/>
  <c r="F19" i="107"/>
  <c r="H19" i="107"/>
  <c r="E19" i="107"/>
  <c r="C19" i="107"/>
  <c r="F18" i="107"/>
  <c r="H18" i="107"/>
  <c r="E18" i="107"/>
  <c r="C18" i="107"/>
  <c r="H24" i="73"/>
  <c r="I26" i="122"/>
  <c r="I27" i="122"/>
  <c r="I20" i="116"/>
  <c r="I30" i="118"/>
  <c r="I31" i="118"/>
  <c r="I42" i="118" s="1"/>
  <c r="I21" i="110"/>
  <c r="I21" i="112"/>
  <c r="I21" i="111"/>
  <c r="I28" i="111"/>
  <c r="I29" i="111" s="1"/>
  <c r="I22" i="114"/>
  <c r="I23" i="113"/>
  <c r="I22" i="108"/>
  <c r="I22" i="107"/>
  <c r="H23" i="79"/>
  <c r="F23" i="103"/>
  <c r="E34" i="106"/>
  <c r="C34" i="106"/>
  <c r="H29" i="106"/>
  <c r="I31" i="106"/>
  <c r="C29" i="106"/>
  <c r="H23" i="106"/>
  <c r="I24" i="106"/>
  <c r="F19" i="106"/>
  <c r="H19" i="106"/>
  <c r="E19" i="106"/>
  <c r="C19" i="106"/>
  <c r="F18" i="106"/>
  <c r="H18" i="106"/>
  <c r="E18" i="106"/>
  <c r="C18" i="106"/>
  <c r="E34" i="105"/>
  <c r="C34" i="105"/>
  <c r="H29" i="105"/>
  <c r="I31" i="105"/>
  <c r="C29" i="105"/>
  <c r="H23" i="105"/>
  <c r="I24" i="105"/>
  <c r="F19" i="105"/>
  <c r="H19" i="105"/>
  <c r="E19" i="105"/>
  <c r="C19" i="105"/>
  <c r="F18" i="105"/>
  <c r="H18" i="105"/>
  <c r="E18" i="105"/>
  <c r="C18" i="105"/>
  <c r="E34" i="104"/>
  <c r="C34" i="104"/>
  <c r="H29" i="104"/>
  <c r="I31" i="104"/>
  <c r="C29" i="104"/>
  <c r="H23" i="104"/>
  <c r="I24" i="104"/>
  <c r="F19" i="104"/>
  <c r="H19" i="104"/>
  <c r="E19" i="104"/>
  <c r="C19" i="104"/>
  <c r="F18" i="104"/>
  <c r="H18" i="104"/>
  <c r="E18" i="104"/>
  <c r="C18" i="104"/>
  <c r="E34" i="103"/>
  <c r="C34" i="103"/>
  <c r="H29" i="103"/>
  <c r="I31" i="103"/>
  <c r="C29" i="103"/>
  <c r="H23" i="103"/>
  <c r="I24" i="103"/>
  <c r="F19" i="103"/>
  <c r="H19" i="103"/>
  <c r="E19" i="103"/>
  <c r="C19" i="103"/>
  <c r="F18" i="103"/>
  <c r="H18" i="103"/>
  <c r="E18" i="103"/>
  <c r="C18" i="103"/>
  <c r="E34" i="102"/>
  <c r="C34" i="102"/>
  <c r="H29" i="102"/>
  <c r="I31" i="102"/>
  <c r="C29" i="102"/>
  <c r="H23" i="102"/>
  <c r="I24" i="102"/>
  <c r="F19" i="102"/>
  <c r="H19" i="102"/>
  <c r="E19" i="102"/>
  <c r="C19" i="102"/>
  <c r="F18" i="102"/>
  <c r="H18" i="102"/>
  <c r="E18" i="102"/>
  <c r="C18" i="102"/>
  <c r="E34" i="101"/>
  <c r="C34" i="101"/>
  <c r="H29" i="101"/>
  <c r="I31" i="101"/>
  <c r="C29" i="101"/>
  <c r="H23" i="101"/>
  <c r="I24" i="101"/>
  <c r="F19" i="101"/>
  <c r="H19" i="101"/>
  <c r="E19" i="101"/>
  <c r="C19" i="101"/>
  <c r="F18" i="101"/>
  <c r="H18" i="101"/>
  <c r="E18" i="101"/>
  <c r="C18" i="101"/>
  <c r="F23" i="86"/>
  <c r="F23" i="85"/>
  <c r="H23" i="84"/>
  <c r="H23" i="83"/>
  <c r="F23" i="81"/>
  <c r="F23" i="80"/>
  <c r="F23" i="78"/>
  <c r="E36" i="78"/>
  <c r="C36" i="78"/>
  <c r="C35" i="78"/>
  <c r="E35" i="78"/>
  <c r="E36" i="76"/>
  <c r="C36" i="76"/>
  <c r="H24" i="94"/>
  <c r="B13" i="98"/>
  <c r="E36" i="100"/>
  <c r="C36" i="100"/>
  <c r="I33" i="100"/>
  <c r="I26" i="100"/>
  <c r="F19" i="100"/>
  <c r="H19" i="100"/>
  <c r="E19" i="100"/>
  <c r="C19" i="100"/>
  <c r="F18" i="100"/>
  <c r="H18" i="100"/>
  <c r="E18" i="100"/>
  <c r="C18" i="100"/>
  <c r="E36" i="99"/>
  <c r="C36" i="99"/>
  <c r="I33" i="99"/>
  <c r="F19" i="99"/>
  <c r="H19" i="99"/>
  <c r="E19" i="99"/>
  <c r="C19" i="99"/>
  <c r="F18" i="99"/>
  <c r="H18" i="99"/>
  <c r="E18" i="99"/>
  <c r="C18" i="99"/>
  <c r="E36" i="98"/>
  <c r="C36" i="98"/>
  <c r="I33" i="98"/>
  <c r="F19" i="98"/>
  <c r="H19" i="98"/>
  <c r="E19" i="98"/>
  <c r="C19" i="98"/>
  <c r="F18" i="98"/>
  <c r="H18" i="98"/>
  <c r="E18" i="98"/>
  <c r="C18" i="98"/>
  <c r="E36" i="97"/>
  <c r="C36" i="97"/>
  <c r="I33" i="97"/>
  <c r="F19" i="97"/>
  <c r="H19" i="97"/>
  <c r="E19" i="97"/>
  <c r="C19" i="97"/>
  <c r="F18" i="97"/>
  <c r="H18" i="97"/>
  <c r="E18" i="97"/>
  <c r="C18" i="97"/>
  <c r="E9" i="97"/>
  <c r="D9" i="97"/>
  <c r="F20" i="96"/>
  <c r="H20" i="96"/>
  <c r="E20" i="96"/>
  <c r="C20" i="96"/>
  <c r="H24" i="96"/>
  <c r="E25" i="96"/>
  <c r="C25" i="96"/>
  <c r="E37" i="96"/>
  <c r="C37" i="96"/>
  <c r="I34" i="96"/>
  <c r="F19" i="96"/>
  <c r="H19" i="96"/>
  <c r="E19" i="96"/>
  <c r="C19" i="96"/>
  <c r="F18" i="96"/>
  <c r="H18" i="96"/>
  <c r="E18" i="96"/>
  <c r="C18" i="96"/>
  <c r="I21" i="97"/>
  <c r="I20" i="106"/>
  <c r="I21" i="98"/>
  <c r="I20" i="104"/>
  <c r="I20" i="101"/>
  <c r="I20" i="105"/>
  <c r="I20" i="102"/>
  <c r="I21" i="99"/>
  <c r="I21" i="100"/>
  <c r="I20" i="103"/>
  <c r="I25" i="106"/>
  <c r="I26" i="106"/>
  <c r="I25" i="105"/>
  <c r="I26" i="105"/>
  <c r="I25" i="104"/>
  <c r="I26" i="104"/>
  <c r="I25" i="103"/>
  <c r="I26" i="103"/>
  <c r="I25" i="102"/>
  <c r="I26" i="102"/>
  <c r="I25" i="101"/>
  <c r="I26" i="101"/>
  <c r="I27" i="100"/>
  <c r="I28" i="100"/>
  <c r="I21" i="96"/>
  <c r="C40" i="13"/>
  <c r="G34" i="13"/>
  <c r="G15" i="4"/>
  <c r="E36" i="95"/>
  <c r="C36" i="95"/>
  <c r="H31" i="95"/>
  <c r="I33" i="95"/>
  <c r="C31" i="95"/>
  <c r="F25" i="95"/>
  <c r="H25" i="95" s="1"/>
  <c r="E25" i="95"/>
  <c r="C25" i="95"/>
  <c r="F24" i="95"/>
  <c r="H24" i="95"/>
  <c r="I26" i="95" s="1"/>
  <c r="E24" i="95"/>
  <c r="C24" i="95"/>
  <c r="F19" i="95"/>
  <c r="H19" i="95"/>
  <c r="E19" i="95"/>
  <c r="C19" i="95"/>
  <c r="F18" i="95"/>
  <c r="H18" i="95"/>
  <c r="E18" i="95"/>
  <c r="C18" i="95"/>
  <c r="E36" i="94"/>
  <c r="C36" i="94"/>
  <c r="H31" i="94"/>
  <c r="I33" i="94"/>
  <c r="C31" i="94"/>
  <c r="F25" i="94"/>
  <c r="H25" i="94" s="1"/>
  <c r="I26" i="94" s="1"/>
  <c r="E25" i="94"/>
  <c r="C25" i="94"/>
  <c r="F19" i="94"/>
  <c r="H19" i="94"/>
  <c r="E19" i="94"/>
  <c r="C19" i="94"/>
  <c r="F18" i="94"/>
  <c r="H18" i="94"/>
  <c r="E18" i="94"/>
  <c r="C18" i="94"/>
  <c r="F26" i="93"/>
  <c r="H26" i="93" s="1"/>
  <c r="E26" i="93"/>
  <c r="C26" i="93"/>
  <c r="F27" i="93"/>
  <c r="H27" i="93" s="1"/>
  <c r="E27" i="93"/>
  <c r="C27" i="93"/>
  <c r="E38" i="93"/>
  <c r="C38" i="93"/>
  <c r="H33" i="93"/>
  <c r="I35" i="93"/>
  <c r="C33" i="93"/>
  <c r="F25" i="93"/>
  <c r="H25" i="93"/>
  <c r="E25" i="93"/>
  <c r="C25" i="93"/>
  <c r="F24" i="93"/>
  <c r="H24" i="93"/>
  <c r="E24" i="93"/>
  <c r="C24" i="93"/>
  <c r="F19" i="93"/>
  <c r="H19" i="93"/>
  <c r="E19" i="93"/>
  <c r="C19" i="93"/>
  <c r="F18" i="93"/>
  <c r="H18" i="93"/>
  <c r="E18" i="93"/>
  <c r="C18" i="93"/>
  <c r="I21" i="93"/>
  <c r="I21" i="94"/>
  <c r="I21" i="95"/>
  <c r="C37" i="92"/>
  <c r="F25" i="92"/>
  <c r="H25" i="92" s="1"/>
  <c r="F24" i="92"/>
  <c r="H24" i="92" s="1"/>
  <c r="E24" i="92"/>
  <c r="E25" i="92"/>
  <c r="C24" i="92"/>
  <c r="E37" i="92"/>
  <c r="H32" i="92"/>
  <c r="I34" i="92"/>
  <c r="C32" i="92"/>
  <c r="C25" i="92"/>
  <c r="F19" i="92"/>
  <c r="H19" i="92"/>
  <c r="E19" i="92"/>
  <c r="C19" i="92"/>
  <c r="F18" i="92"/>
  <c r="H18" i="92"/>
  <c r="E18" i="92"/>
  <c r="C18" i="92"/>
  <c r="I21" i="92"/>
  <c r="H24" i="72"/>
  <c r="I26" i="72"/>
  <c r="H24" i="71"/>
  <c r="I26" i="71"/>
  <c r="H24" i="46"/>
  <c r="I26" i="46"/>
  <c r="H24" i="45"/>
  <c r="I26" i="45"/>
  <c r="I315" i="91"/>
  <c r="I314" i="91"/>
  <c r="I313" i="91"/>
  <c r="I306" i="91"/>
  <c r="I305" i="91"/>
  <c r="I298" i="91"/>
  <c r="I297" i="91"/>
  <c r="I296" i="91"/>
  <c r="I295" i="91"/>
  <c r="I287" i="91"/>
  <c r="I286" i="91"/>
  <c r="I279" i="91"/>
  <c r="I278" i="91"/>
  <c r="I277" i="91"/>
  <c r="I276" i="91"/>
  <c r="I275" i="91"/>
  <c r="I274" i="91"/>
  <c r="I268" i="91"/>
  <c r="I269" i="91" s="1"/>
  <c r="I267" i="91"/>
  <c r="I266" i="91"/>
  <c r="I265" i="91"/>
  <c r="I257" i="91"/>
  <c r="I256" i="91"/>
  <c r="I255" i="91"/>
  <c r="I254" i="91"/>
  <c r="I247" i="91"/>
  <c r="I245" i="91"/>
  <c r="I244" i="91"/>
  <c r="I237" i="91"/>
  <c r="I236" i="91"/>
  <c r="I235" i="91"/>
  <c r="I227" i="91"/>
  <c r="I218" i="91"/>
  <c r="I217" i="91"/>
  <c r="I203" i="91"/>
  <c r="I204" i="91" s="1"/>
  <c r="I202" i="91"/>
  <c r="I201" i="91"/>
  <c r="I195" i="91"/>
  <c r="I196" i="91" s="1"/>
  <c r="I194" i="91"/>
  <c r="I193" i="91"/>
  <c r="I186" i="91"/>
  <c r="I185" i="91"/>
  <c r="I179" i="91"/>
  <c r="I180" i="91" s="1"/>
  <c r="I178" i="91"/>
  <c r="I177" i="91"/>
  <c r="I171" i="91"/>
  <c r="I172" i="91" s="1"/>
  <c r="I170" i="91"/>
  <c r="I169" i="91"/>
  <c r="I163" i="91"/>
  <c r="I162" i="91"/>
  <c r="I161" i="91"/>
  <c r="I160" i="91"/>
  <c r="I151" i="91"/>
  <c r="I150" i="91"/>
  <c r="I149" i="91"/>
  <c r="I148" i="91"/>
  <c r="I147" i="91"/>
  <c r="I146" i="91"/>
  <c r="I139" i="91"/>
  <c r="I138" i="91"/>
  <c r="I137" i="91"/>
  <c r="I136" i="91"/>
  <c r="I128" i="91"/>
  <c r="I127" i="91"/>
  <c r="I126" i="91"/>
  <c r="I125" i="91"/>
  <c r="I119" i="91"/>
  <c r="I120" i="91" s="1"/>
  <c r="I118" i="91"/>
  <c r="I117" i="91"/>
  <c r="I116" i="91"/>
  <c r="I115" i="91"/>
  <c r="I108" i="91"/>
  <c r="I107" i="91"/>
  <c r="I106" i="91"/>
  <c r="I105" i="91"/>
  <c r="I96" i="91"/>
  <c r="I95" i="91"/>
  <c r="I94" i="91"/>
  <c r="I88" i="91"/>
  <c r="I87" i="91"/>
  <c r="I86" i="91"/>
  <c r="I85" i="91"/>
  <c r="I78" i="91"/>
  <c r="I77" i="91"/>
  <c r="I71" i="91"/>
  <c r="I69" i="91"/>
  <c r="I68" i="91"/>
  <c r="I60" i="91"/>
  <c r="I59" i="91"/>
  <c r="I58" i="91"/>
  <c r="I49" i="91"/>
  <c r="I48" i="91"/>
  <c r="I40" i="91"/>
  <c r="I39" i="91"/>
  <c r="I38" i="91"/>
  <c r="I29" i="91"/>
  <c r="I28" i="91"/>
  <c r="I19" i="91"/>
  <c r="I16" i="91"/>
  <c r="I9" i="91"/>
  <c r="I8" i="91"/>
  <c r="I7" i="91"/>
  <c r="I6" i="91"/>
  <c r="I5" i="91"/>
  <c r="F36" i="57"/>
  <c r="E36" i="57"/>
  <c r="C36" i="57"/>
  <c r="F35" i="57"/>
  <c r="E35" i="57"/>
  <c r="C35" i="57"/>
  <c r="F34" i="57"/>
  <c r="E34" i="57"/>
  <c r="C34" i="57"/>
  <c r="H24" i="36"/>
  <c r="H25" i="23"/>
  <c r="H26" i="18"/>
  <c r="H24" i="34"/>
  <c r="H25" i="30"/>
  <c r="I29" i="30" s="1"/>
  <c r="H25" i="28"/>
  <c r="H24" i="28"/>
  <c r="H25" i="25"/>
  <c r="I29" i="25" s="1"/>
  <c r="H28" i="22"/>
  <c r="I29" i="22" s="1"/>
  <c r="H27" i="22"/>
  <c r="H26" i="22"/>
  <c r="H25" i="22"/>
  <c r="H27" i="19"/>
  <c r="H26" i="19"/>
  <c r="H26" i="64"/>
  <c r="H27" i="57"/>
  <c r="F33" i="57"/>
  <c r="H33" i="57" s="1"/>
  <c r="E33" i="57"/>
  <c r="C33" i="57"/>
  <c r="H24" i="47"/>
  <c r="I26" i="47"/>
  <c r="H24" i="44"/>
  <c r="I26" i="44"/>
  <c r="H20" i="39"/>
  <c r="E20" i="22"/>
  <c r="C21" i="25"/>
  <c r="F19" i="21"/>
  <c r="H19" i="21"/>
  <c r="H24" i="99"/>
  <c r="I26" i="99"/>
  <c r="I27" i="99"/>
  <c r="I28" i="99"/>
  <c r="H24" i="98"/>
  <c r="I26" i="98"/>
  <c r="I27" i="98"/>
  <c r="I28" i="98"/>
  <c r="H24" i="97"/>
  <c r="I26" i="97"/>
  <c r="I27" i="97"/>
  <c r="I28" i="97"/>
  <c r="H24" i="74"/>
  <c r="I26" i="74"/>
  <c r="H24" i="70"/>
  <c r="I26" i="70"/>
  <c r="H24" i="69"/>
  <c r="I26" i="69"/>
  <c r="H24" i="68"/>
  <c r="I26" i="68"/>
  <c r="H24" i="50"/>
  <c r="I26" i="50"/>
  <c r="E34" i="88"/>
  <c r="C34" i="88"/>
  <c r="H29" i="88"/>
  <c r="I31" i="88"/>
  <c r="C29" i="88"/>
  <c r="H23" i="88"/>
  <c r="I24" i="88"/>
  <c r="E23" i="88"/>
  <c r="F19" i="88"/>
  <c r="E19" i="88"/>
  <c r="C19" i="88"/>
  <c r="F18" i="88"/>
  <c r="H18" i="88"/>
  <c r="E18" i="88"/>
  <c r="C18" i="88"/>
  <c r="E34" i="87"/>
  <c r="C34" i="87"/>
  <c r="H29" i="87"/>
  <c r="I31" i="87"/>
  <c r="C29" i="87"/>
  <c r="H23" i="87"/>
  <c r="I24" i="87"/>
  <c r="E23" i="87"/>
  <c r="F19" i="87"/>
  <c r="H19" i="87"/>
  <c r="E19" i="87"/>
  <c r="C19" i="87"/>
  <c r="F18" i="87"/>
  <c r="H18" i="87"/>
  <c r="E18" i="87"/>
  <c r="C18" i="87"/>
  <c r="H23" i="86"/>
  <c r="I24" i="86"/>
  <c r="E23" i="86"/>
  <c r="C23" i="86"/>
  <c r="E34" i="86"/>
  <c r="C34" i="86"/>
  <c r="H29" i="86"/>
  <c r="I31" i="86"/>
  <c r="C29" i="86"/>
  <c r="F19" i="86"/>
  <c r="H19" i="86"/>
  <c r="E19" i="86"/>
  <c r="C19" i="86"/>
  <c r="F18" i="86"/>
  <c r="H18" i="86"/>
  <c r="E18" i="86"/>
  <c r="C18" i="86"/>
  <c r="H23" i="85"/>
  <c r="I24" i="85"/>
  <c r="E23" i="85"/>
  <c r="C23" i="85"/>
  <c r="E34" i="85"/>
  <c r="C34" i="85"/>
  <c r="H29" i="85"/>
  <c r="I31" i="85"/>
  <c r="C29" i="85"/>
  <c r="F19" i="85"/>
  <c r="E19" i="85"/>
  <c r="C19" i="85"/>
  <c r="F18" i="85"/>
  <c r="H18" i="85"/>
  <c r="E18" i="85"/>
  <c r="C18" i="85"/>
  <c r="E34" i="84"/>
  <c r="C34" i="84"/>
  <c r="I24" i="84"/>
  <c r="F19" i="84"/>
  <c r="E19" i="84"/>
  <c r="C19" i="84"/>
  <c r="F18" i="84"/>
  <c r="H18" i="84"/>
  <c r="E18" i="84"/>
  <c r="C18" i="84"/>
  <c r="E34" i="83"/>
  <c r="C34" i="83"/>
  <c r="H29" i="83"/>
  <c r="I31" i="83"/>
  <c r="C29" i="83"/>
  <c r="I24" i="83"/>
  <c r="F19" i="83"/>
  <c r="E19" i="83"/>
  <c r="C19" i="83"/>
  <c r="F18" i="83"/>
  <c r="H18" i="83"/>
  <c r="E18" i="83"/>
  <c r="C18" i="83"/>
  <c r="E34" i="82"/>
  <c r="C34" i="82"/>
  <c r="H29" i="82"/>
  <c r="I31" i="82"/>
  <c r="C29" i="82"/>
  <c r="H23" i="82"/>
  <c r="I24" i="82"/>
  <c r="E23" i="82"/>
  <c r="F19" i="82"/>
  <c r="E19" i="82"/>
  <c r="C19" i="82"/>
  <c r="F18" i="82"/>
  <c r="H18" i="82"/>
  <c r="E18" i="82"/>
  <c r="C18" i="82"/>
  <c r="E34" i="81"/>
  <c r="C34" i="81"/>
  <c r="H29" i="81"/>
  <c r="I31" i="81"/>
  <c r="C29" i="81"/>
  <c r="H23" i="81"/>
  <c r="I24" i="81"/>
  <c r="E23" i="81"/>
  <c r="C23" i="81"/>
  <c r="F19" i="81"/>
  <c r="E19" i="81"/>
  <c r="C19" i="81"/>
  <c r="F18" i="81"/>
  <c r="H18" i="81"/>
  <c r="E18" i="81"/>
  <c r="C18" i="81"/>
  <c r="E34" i="80"/>
  <c r="C34" i="80"/>
  <c r="H29" i="80"/>
  <c r="I31" i="80"/>
  <c r="C29" i="80"/>
  <c r="H23" i="80"/>
  <c r="I24" i="80"/>
  <c r="E23" i="80"/>
  <c r="C23" i="80"/>
  <c r="F19" i="80"/>
  <c r="E19" i="80"/>
  <c r="C19" i="80"/>
  <c r="F18" i="80"/>
  <c r="H18" i="80"/>
  <c r="E18" i="80"/>
  <c r="C18" i="80"/>
  <c r="E36" i="79"/>
  <c r="C36" i="79"/>
  <c r="H31" i="79"/>
  <c r="I33" i="79"/>
  <c r="C31" i="79"/>
  <c r="I26" i="79"/>
  <c r="F19" i="79"/>
  <c r="H19" i="79"/>
  <c r="E19" i="79"/>
  <c r="C19" i="79"/>
  <c r="F18" i="79"/>
  <c r="H18" i="79"/>
  <c r="E18" i="79"/>
  <c r="C18" i="79"/>
  <c r="I32" i="78"/>
  <c r="H23" i="78"/>
  <c r="I25" i="78"/>
  <c r="I26" i="78"/>
  <c r="E23" i="78"/>
  <c r="C23" i="78"/>
  <c r="F19" i="78"/>
  <c r="H19" i="78"/>
  <c r="E19" i="78"/>
  <c r="C19" i="78"/>
  <c r="F18" i="78"/>
  <c r="H18" i="78"/>
  <c r="E18" i="78"/>
  <c r="C18" i="78"/>
  <c r="F33" i="77"/>
  <c r="H33" i="77"/>
  <c r="E33" i="77"/>
  <c r="C33" i="77"/>
  <c r="F32" i="77"/>
  <c r="H32" i="77"/>
  <c r="E32" i="77"/>
  <c r="C32" i="77"/>
  <c r="F31" i="77"/>
  <c r="H31" i="77"/>
  <c r="E31" i="77"/>
  <c r="C31" i="77"/>
  <c r="F30" i="77"/>
  <c r="H30" i="77"/>
  <c r="E30" i="77"/>
  <c r="C30" i="77"/>
  <c r="F29" i="77"/>
  <c r="H29" i="77"/>
  <c r="E29" i="77"/>
  <c r="C29" i="77"/>
  <c r="F28" i="77"/>
  <c r="H28" i="77"/>
  <c r="E28" i="77"/>
  <c r="C28" i="77"/>
  <c r="F27" i="77"/>
  <c r="H27" i="77"/>
  <c r="E27" i="77"/>
  <c r="C27" i="77"/>
  <c r="F26" i="77"/>
  <c r="H26" i="77"/>
  <c r="E26" i="77"/>
  <c r="C26" i="77"/>
  <c r="F25" i="77"/>
  <c r="H25" i="77"/>
  <c r="E25" i="77"/>
  <c r="C25" i="77"/>
  <c r="F24" i="77"/>
  <c r="H24" i="77"/>
  <c r="E24" i="77"/>
  <c r="C24" i="77"/>
  <c r="E44" i="77"/>
  <c r="C44" i="77"/>
  <c r="H39" i="77"/>
  <c r="I41" i="77"/>
  <c r="C39" i="77"/>
  <c r="F23" i="77"/>
  <c r="H23" i="77"/>
  <c r="E23" i="77"/>
  <c r="C23" i="77"/>
  <c r="F19" i="77"/>
  <c r="E19" i="77"/>
  <c r="C19" i="77"/>
  <c r="F18" i="77"/>
  <c r="H18" i="77"/>
  <c r="E18" i="77"/>
  <c r="C18" i="77"/>
  <c r="F24" i="76"/>
  <c r="H24" i="76"/>
  <c r="E24" i="76"/>
  <c r="C24" i="76"/>
  <c r="F23" i="76"/>
  <c r="H23" i="76"/>
  <c r="E23" i="76"/>
  <c r="C23" i="76"/>
  <c r="E35" i="76"/>
  <c r="C35" i="76"/>
  <c r="H30" i="76"/>
  <c r="I32" i="76"/>
  <c r="C30" i="76"/>
  <c r="F19" i="76"/>
  <c r="E19" i="76"/>
  <c r="C19" i="76"/>
  <c r="F18" i="76"/>
  <c r="H18" i="76"/>
  <c r="E18" i="76"/>
  <c r="C18" i="76"/>
  <c r="F29" i="75"/>
  <c r="H29" i="75"/>
  <c r="E29" i="75"/>
  <c r="C29" i="75"/>
  <c r="F28" i="75"/>
  <c r="H28" i="75"/>
  <c r="E28" i="75"/>
  <c r="C28" i="75"/>
  <c r="F26" i="75"/>
  <c r="H26" i="75" s="1"/>
  <c r="E26" i="75"/>
  <c r="C26" i="75"/>
  <c r="F25" i="75"/>
  <c r="H25" i="75"/>
  <c r="E25" i="75"/>
  <c r="C25" i="75"/>
  <c r="F24" i="75"/>
  <c r="H24" i="75" s="1"/>
  <c r="E24" i="75"/>
  <c r="C24" i="75"/>
  <c r="F27" i="75"/>
  <c r="H27" i="75"/>
  <c r="E27" i="75"/>
  <c r="C27" i="75"/>
  <c r="E42" i="75"/>
  <c r="C42" i="75"/>
  <c r="E41" i="75"/>
  <c r="C41" i="75"/>
  <c r="H36" i="75"/>
  <c r="I38" i="75"/>
  <c r="C36" i="75"/>
  <c r="F30" i="75"/>
  <c r="H30" i="75" s="1"/>
  <c r="E30" i="75"/>
  <c r="C30" i="75"/>
  <c r="F19" i="75"/>
  <c r="E19" i="75"/>
  <c r="C19" i="75"/>
  <c r="F18" i="75"/>
  <c r="H18" i="75"/>
  <c r="E18" i="75"/>
  <c r="C18" i="75"/>
  <c r="E36" i="74"/>
  <c r="C36" i="74"/>
  <c r="I33" i="74"/>
  <c r="F19" i="74"/>
  <c r="H19" i="74"/>
  <c r="E19" i="74"/>
  <c r="C19" i="74"/>
  <c r="F18" i="74"/>
  <c r="H18" i="74"/>
  <c r="E18" i="74"/>
  <c r="C18" i="74"/>
  <c r="E36" i="73"/>
  <c r="C36" i="73"/>
  <c r="I33" i="73"/>
  <c r="I26" i="73"/>
  <c r="F19" i="73"/>
  <c r="H19" i="73"/>
  <c r="E19" i="73"/>
  <c r="C19" i="73"/>
  <c r="F18" i="73"/>
  <c r="H18" i="73"/>
  <c r="E18" i="73"/>
  <c r="C18" i="73"/>
  <c r="E36" i="72"/>
  <c r="C36" i="72"/>
  <c r="I33" i="72"/>
  <c r="F19" i="72"/>
  <c r="H19" i="72"/>
  <c r="E19" i="72"/>
  <c r="C19" i="72"/>
  <c r="F18" i="72"/>
  <c r="H18" i="72"/>
  <c r="E18" i="72"/>
  <c r="C18" i="72"/>
  <c r="E36" i="71"/>
  <c r="C36" i="71"/>
  <c r="I33" i="71"/>
  <c r="F19" i="71"/>
  <c r="H19" i="71"/>
  <c r="E19" i="71"/>
  <c r="C19" i="71"/>
  <c r="F18" i="71"/>
  <c r="H18" i="71"/>
  <c r="E18" i="71"/>
  <c r="C18" i="71"/>
  <c r="E36" i="70"/>
  <c r="C36" i="70"/>
  <c r="I33" i="70"/>
  <c r="F19" i="70"/>
  <c r="H19" i="70"/>
  <c r="E19" i="70"/>
  <c r="C19" i="70"/>
  <c r="F18" i="70"/>
  <c r="H18" i="70"/>
  <c r="E18" i="70"/>
  <c r="C18" i="70"/>
  <c r="E36" i="69"/>
  <c r="C36" i="69"/>
  <c r="I33" i="69"/>
  <c r="F19" i="69"/>
  <c r="H19" i="69"/>
  <c r="E19" i="69"/>
  <c r="C19" i="69"/>
  <c r="F18" i="69"/>
  <c r="H18" i="69"/>
  <c r="E18" i="69"/>
  <c r="C18" i="69"/>
  <c r="E36" i="68"/>
  <c r="C36" i="68"/>
  <c r="I33" i="68"/>
  <c r="F19" i="68"/>
  <c r="H19" i="68"/>
  <c r="E19" i="68"/>
  <c r="C19" i="68"/>
  <c r="F18" i="68"/>
  <c r="H18" i="68"/>
  <c r="E18" i="68"/>
  <c r="C18" i="68"/>
  <c r="E36" i="67"/>
  <c r="C36" i="67"/>
  <c r="E35" i="67"/>
  <c r="C35" i="67"/>
  <c r="H30" i="67"/>
  <c r="I32" i="67"/>
  <c r="C30" i="67"/>
  <c r="F24" i="67"/>
  <c r="H24" i="67" s="1"/>
  <c r="I25" i="67" s="1"/>
  <c r="E24" i="67"/>
  <c r="C24" i="67"/>
  <c r="F19" i="67"/>
  <c r="H19" i="67"/>
  <c r="E19" i="67"/>
  <c r="C19" i="67"/>
  <c r="F18" i="67"/>
  <c r="H18" i="67"/>
  <c r="E18" i="67"/>
  <c r="C18" i="67"/>
  <c r="E37" i="66"/>
  <c r="C37" i="66"/>
  <c r="E36" i="66"/>
  <c r="C36" i="66"/>
  <c r="H31" i="66"/>
  <c r="I33" i="66"/>
  <c r="C31" i="66"/>
  <c r="F25" i="66"/>
  <c r="H25" i="66"/>
  <c r="E25" i="66"/>
  <c r="C25" i="66"/>
  <c r="F24" i="66"/>
  <c r="H24" i="66"/>
  <c r="I26" i="66" s="1"/>
  <c r="E24" i="66"/>
  <c r="C24" i="66"/>
  <c r="F19" i="66"/>
  <c r="H19" i="66"/>
  <c r="E19" i="66"/>
  <c r="C19" i="66"/>
  <c r="F18" i="66"/>
  <c r="H18" i="66"/>
  <c r="E18" i="66"/>
  <c r="C18" i="66"/>
  <c r="F27" i="65"/>
  <c r="H27" i="65"/>
  <c r="E27" i="65"/>
  <c r="C27" i="65"/>
  <c r="F26" i="65"/>
  <c r="H26" i="65"/>
  <c r="E26" i="65"/>
  <c r="C26" i="65"/>
  <c r="F28" i="64"/>
  <c r="H28" i="64"/>
  <c r="E28" i="64"/>
  <c r="C28" i="64"/>
  <c r="F25" i="64"/>
  <c r="H25" i="64"/>
  <c r="I32" i="64" s="1"/>
  <c r="E25" i="64"/>
  <c r="C25" i="64"/>
  <c r="F24" i="64"/>
  <c r="H24" i="64"/>
  <c r="E24" i="64"/>
  <c r="C24" i="64"/>
  <c r="C25" i="62"/>
  <c r="E25" i="62"/>
  <c r="H25" i="62"/>
  <c r="C26" i="62"/>
  <c r="E26" i="62"/>
  <c r="F26" i="62"/>
  <c r="H26" i="62" s="1"/>
  <c r="I28" i="62" s="1"/>
  <c r="E40" i="65"/>
  <c r="C40" i="65"/>
  <c r="E39" i="65"/>
  <c r="C39" i="65"/>
  <c r="H34" i="65"/>
  <c r="I36" i="65"/>
  <c r="C34" i="65"/>
  <c r="F28" i="65"/>
  <c r="H28" i="65"/>
  <c r="E28" i="65"/>
  <c r="C28" i="65"/>
  <c r="F25" i="65"/>
  <c r="H25" i="65" s="1"/>
  <c r="I29" i="65" s="1"/>
  <c r="E25" i="65"/>
  <c r="C25" i="65"/>
  <c r="F24" i="65"/>
  <c r="H24" i="65"/>
  <c r="E24" i="65"/>
  <c r="C24" i="65"/>
  <c r="F19" i="65"/>
  <c r="H19" i="65"/>
  <c r="E19" i="65"/>
  <c r="C19" i="65"/>
  <c r="F18" i="65"/>
  <c r="H18" i="65"/>
  <c r="E18" i="65"/>
  <c r="C18" i="65"/>
  <c r="H33" i="62"/>
  <c r="I35" i="62"/>
  <c r="C33" i="62"/>
  <c r="H32" i="61"/>
  <c r="C32" i="61"/>
  <c r="C19" i="62"/>
  <c r="E19" i="62"/>
  <c r="F19" i="62"/>
  <c r="H24" i="62"/>
  <c r="E24" i="62"/>
  <c r="C24" i="62"/>
  <c r="E43" i="64"/>
  <c r="C43" i="64"/>
  <c r="E42" i="64"/>
  <c r="C42" i="64"/>
  <c r="H37" i="64"/>
  <c r="I39" i="64"/>
  <c r="C37" i="64"/>
  <c r="F19" i="64"/>
  <c r="H19" i="64"/>
  <c r="E19" i="64"/>
  <c r="C19" i="64"/>
  <c r="F18" i="64"/>
  <c r="H18" i="64"/>
  <c r="E18" i="64"/>
  <c r="C18" i="64"/>
  <c r="H31" i="60"/>
  <c r="I33" i="60"/>
  <c r="C31" i="60"/>
  <c r="E39" i="62"/>
  <c r="C39" i="62"/>
  <c r="E38" i="62"/>
  <c r="C38" i="62"/>
  <c r="F18" i="62"/>
  <c r="H18" i="62"/>
  <c r="E18" i="62"/>
  <c r="C18" i="62"/>
  <c r="E38" i="61"/>
  <c r="C38" i="61"/>
  <c r="E37" i="61"/>
  <c r="C37" i="61"/>
  <c r="I34" i="61"/>
  <c r="F26" i="61"/>
  <c r="H26" i="61"/>
  <c r="E26" i="61"/>
  <c r="C26" i="61"/>
  <c r="F25" i="61"/>
  <c r="H25" i="61"/>
  <c r="E25" i="61"/>
  <c r="C25" i="61"/>
  <c r="F24" i="61"/>
  <c r="H24" i="61"/>
  <c r="E24" i="61"/>
  <c r="C24" i="61"/>
  <c r="F19" i="61"/>
  <c r="H19" i="61"/>
  <c r="E19" i="61"/>
  <c r="C19" i="61"/>
  <c r="F18" i="61"/>
  <c r="H18" i="61"/>
  <c r="E18" i="61"/>
  <c r="C18" i="61"/>
  <c r="E36" i="60"/>
  <c r="C36" i="60"/>
  <c r="F25" i="60"/>
  <c r="H25" i="60" s="1"/>
  <c r="E25" i="60"/>
  <c r="C25" i="60"/>
  <c r="C24" i="60"/>
  <c r="F20" i="57"/>
  <c r="H20" i="57"/>
  <c r="E20" i="57"/>
  <c r="C20" i="57"/>
  <c r="F32" i="57"/>
  <c r="H32" i="57" s="1"/>
  <c r="E32" i="57"/>
  <c r="C32" i="57"/>
  <c r="F31" i="57"/>
  <c r="H31" i="57" s="1"/>
  <c r="E31" i="57"/>
  <c r="C31" i="57"/>
  <c r="F30" i="57"/>
  <c r="H30" i="57" s="1"/>
  <c r="E30" i="57"/>
  <c r="C30" i="57"/>
  <c r="F29" i="57"/>
  <c r="H29" i="57" s="1"/>
  <c r="E29" i="57"/>
  <c r="C29" i="57"/>
  <c r="F28" i="57"/>
  <c r="H28" i="57" s="1"/>
  <c r="E28" i="57"/>
  <c r="C28" i="57"/>
  <c r="E34" i="13"/>
  <c r="F26" i="57"/>
  <c r="H26" i="57"/>
  <c r="E26" i="57"/>
  <c r="C26" i="57"/>
  <c r="F25" i="57"/>
  <c r="H25" i="57"/>
  <c r="E25" i="57"/>
  <c r="C25" i="57"/>
  <c r="E37" i="60"/>
  <c r="C37" i="60"/>
  <c r="F24" i="60"/>
  <c r="H24" i="60" s="1"/>
  <c r="I26" i="60" s="1"/>
  <c r="E24" i="60"/>
  <c r="F19" i="60"/>
  <c r="H19" i="60"/>
  <c r="E19" i="60"/>
  <c r="C19" i="60"/>
  <c r="F18" i="60"/>
  <c r="H18" i="60"/>
  <c r="E18" i="60"/>
  <c r="C18" i="60"/>
  <c r="F19" i="57"/>
  <c r="H19" i="57"/>
  <c r="E19" i="57"/>
  <c r="C19" i="57"/>
  <c r="E48" i="57"/>
  <c r="C48" i="57"/>
  <c r="I45" i="57"/>
  <c r="F24" i="57"/>
  <c r="H24" i="57" s="1"/>
  <c r="E24" i="57"/>
  <c r="C24" i="57"/>
  <c r="F18" i="57"/>
  <c r="H18" i="57"/>
  <c r="E18" i="57"/>
  <c r="C18" i="57"/>
  <c r="E36" i="54"/>
  <c r="C36" i="54"/>
  <c r="I33" i="54"/>
  <c r="F24" i="54"/>
  <c r="H24" i="54" s="1"/>
  <c r="I26" i="54" s="1"/>
  <c r="E24" i="54"/>
  <c r="C24" i="54"/>
  <c r="F18" i="54"/>
  <c r="H18" i="54"/>
  <c r="I21" i="54"/>
  <c r="E18" i="54"/>
  <c r="C18" i="54"/>
  <c r="E36" i="53"/>
  <c r="C36" i="53"/>
  <c r="I33" i="53"/>
  <c r="F24" i="53"/>
  <c r="H24" i="53" s="1"/>
  <c r="I26" i="53" s="1"/>
  <c r="E24" i="53"/>
  <c r="C24" i="53"/>
  <c r="F18" i="53"/>
  <c r="H18" i="53"/>
  <c r="I21" i="53"/>
  <c r="E18" i="53"/>
  <c r="C18" i="53"/>
  <c r="E36" i="50"/>
  <c r="C36" i="50"/>
  <c r="I33" i="50"/>
  <c r="F19" i="50"/>
  <c r="H19" i="50"/>
  <c r="E19" i="50"/>
  <c r="C19" i="50"/>
  <c r="F18" i="50"/>
  <c r="H18" i="50"/>
  <c r="E18" i="50"/>
  <c r="C18" i="50"/>
  <c r="E36" i="47"/>
  <c r="C36" i="47"/>
  <c r="I33" i="47"/>
  <c r="F19" i="47"/>
  <c r="H19" i="47"/>
  <c r="E19" i="47"/>
  <c r="C19" i="47"/>
  <c r="F18" i="47"/>
  <c r="H18" i="47"/>
  <c r="E18" i="47"/>
  <c r="C18" i="47"/>
  <c r="E36" i="46"/>
  <c r="C36" i="46"/>
  <c r="I33" i="46"/>
  <c r="F19" i="46"/>
  <c r="H19" i="46"/>
  <c r="E19" i="46"/>
  <c r="C19" i="46"/>
  <c r="F18" i="46"/>
  <c r="H18" i="46"/>
  <c r="E18" i="46"/>
  <c r="C18" i="46"/>
  <c r="E36" i="45"/>
  <c r="C36" i="45"/>
  <c r="I33" i="45"/>
  <c r="F19" i="45"/>
  <c r="H19" i="45"/>
  <c r="E19" i="45"/>
  <c r="C19" i="45"/>
  <c r="F18" i="45"/>
  <c r="H18" i="45"/>
  <c r="E18" i="45"/>
  <c r="C18" i="45"/>
  <c r="E36" i="44"/>
  <c r="C36" i="44"/>
  <c r="I33" i="44"/>
  <c r="F19" i="44"/>
  <c r="H19" i="44"/>
  <c r="E19" i="44"/>
  <c r="C19" i="44"/>
  <c r="F18" i="44"/>
  <c r="H18" i="44"/>
  <c r="E18" i="44"/>
  <c r="C18" i="44"/>
  <c r="E38" i="43"/>
  <c r="C38" i="43"/>
  <c r="I35" i="43"/>
  <c r="F25" i="43"/>
  <c r="H25" i="43"/>
  <c r="E25" i="43"/>
  <c r="C25" i="43"/>
  <c r="F19" i="43"/>
  <c r="H19" i="43"/>
  <c r="E19" i="43"/>
  <c r="C19" i="43"/>
  <c r="F18" i="43"/>
  <c r="H18" i="43"/>
  <c r="E18" i="43"/>
  <c r="C18" i="43"/>
  <c r="E36" i="42"/>
  <c r="C36" i="42"/>
  <c r="I33" i="42"/>
  <c r="F24" i="42"/>
  <c r="H24" i="42"/>
  <c r="I26" i="42"/>
  <c r="E24" i="42"/>
  <c r="F20" i="42"/>
  <c r="H20" i="42"/>
  <c r="E20" i="42"/>
  <c r="C20" i="42"/>
  <c r="F19" i="42"/>
  <c r="H19" i="42"/>
  <c r="E19" i="42"/>
  <c r="C19" i="42"/>
  <c r="F18" i="42"/>
  <c r="H18" i="42"/>
  <c r="E18" i="42"/>
  <c r="C18" i="42"/>
  <c r="E36" i="41"/>
  <c r="C36" i="41"/>
  <c r="I33" i="41"/>
  <c r="F24" i="41"/>
  <c r="H24" i="41"/>
  <c r="I26" i="41" s="1"/>
  <c r="E24" i="41"/>
  <c r="C24" i="41"/>
  <c r="F20" i="41"/>
  <c r="H20" i="41"/>
  <c r="E20" i="41"/>
  <c r="C20" i="41"/>
  <c r="F19" i="41"/>
  <c r="H19" i="41"/>
  <c r="E19" i="41"/>
  <c r="C19" i="41"/>
  <c r="F18" i="41"/>
  <c r="H18" i="41"/>
  <c r="E18" i="41"/>
  <c r="C18" i="41"/>
  <c r="F20" i="40"/>
  <c r="H20" i="40"/>
  <c r="E20" i="40"/>
  <c r="C20" i="40"/>
  <c r="E36" i="40"/>
  <c r="C36" i="40"/>
  <c r="I33" i="40"/>
  <c r="F25" i="40"/>
  <c r="H25" i="40"/>
  <c r="C25" i="40"/>
  <c r="F24" i="40"/>
  <c r="H24" i="40" s="1"/>
  <c r="I26" i="40" s="1"/>
  <c r="E24" i="40"/>
  <c r="C24" i="40"/>
  <c r="F19" i="40"/>
  <c r="H19" i="40"/>
  <c r="E19" i="40"/>
  <c r="C19" i="40"/>
  <c r="F18" i="40"/>
  <c r="H18" i="40"/>
  <c r="E18" i="40"/>
  <c r="C18" i="40"/>
  <c r="F24" i="39"/>
  <c r="H24" i="39" s="1"/>
  <c r="I26" i="39" s="1"/>
  <c r="E24" i="39"/>
  <c r="C24" i="39"/>
  <c r="E36" i="39"/>
  <c r="C36" i="39"/>
  <c r="I33" i="39"/>
  <c r="F25" i="39"/>
  <c r="H25" i="39"/>
  <c r="E25" i="39"/>
  <c r="C25" i="39"/>
  <c r="F19" i="39"/>
  <c r="H19" i="39"/>
  <c r="E19" i="39"/>
  <c r="C19" i="39"/>
  <c r="F18" i="39"/>
  <c r="H18" i="39"/>
  <c r="E18" i="39"/>
  <c r="C18" i="39"/>
  <c r="E35" i="38"/>
  <c r="C35" i="38"/>
  <c r="I32" i="38"/>
  <c r="F24" i="38"/>
  <c r="H24" i="38"/>
  <c r="I25" i="38"/>
  <c r="E24" i="38"/>
  <c r="C24" i="38"/>
  <c r="F19" i="38"/>
  <c r="H19" i="38"/>
  <c r="E19" i="38"/>
  <c r="C19" i="38"/>
  <c r="F18" i="38"/>
  <c r="H18" i="38"/>
  <c r="E18" i="38"/>
  <c r="C18" i="38"/>
  <c r="E37" i="37"/>
  <c r="C37" i="37"/>
  <c r="G32" i="37"/>
  <c r="H32" i="37"/>
  <c r="I34" i="37"/>
  <c r="D32" i="37"/>
  <c r="C32" i="37"/>
  <c r="F26" i="37"/>
  <c r="H26" i="37" s="1"/>
  <c r="E26" i="37"/>
  <c r="C26" i="37"/>
  <c r="F25" i="37"/>
  <c r="H25" i="37"/>
  <c r="E25" i="37"/>
  <c r="C25" i="37"/>
  <c r="F24" i="37"/>
  <c r="H24" i="37" s="1"/>
  <c r="E24" i="37"/>
  <c r="C24" i="37"/>
  <c r="F19" i="37"/>
  <c r="H19" i="37"/>
  <c r="E19" i="37"/>
  <c r="C19" i="37"/>
  <c r="F18" i="37"/>
  <c r="H18" i="37"/>
  <c r="E18" i="37"/>
  <c r="C18" i="37"/>
  <c r="G33" i="36"/>
  <c r="H33" i="36"/>
  <c r="I35" i="36"/>
  <c r="D33" i="36"/>
  <c r="C33" i="36"/>
  <c r="F27" i="36"/>
  <c r="H27" i="36" s="1"/>
  <c r="I28" i="36" s="1"/>
  <c r="E27" i="36"/>
  <c r="C27" i="36"/>
  <c r="F26" i="36"/>
  <c r="H26" i="36"/>
  <c r="E26" i="36"/>
  <c r="C26" i="36"/>
  <c r="E38" i="36"/>
  <c r="C38" i="36"/>
  <c r="F25" i="36"/>
  <c r="H25" i="36"/>
  <c r="E25" i="36"/>
  <c r="C25" i="36"/>
  <c r="F19" i="36"/>
  <c r="H19" i="36"/>
  <c r="E19" i="36"/>
  <c r="C19" i="36"/>
  <c r="F18" i="36"/>
  <c r="H18" i="36"/>
  <c r="E18" i="36"/>
  <c r="C18" i="36"/>
  <c r="F25" i="34"/>
  <c r="H25" i="34"/>
  <c r="I28" i="34" s="1"/>
  <c r="E25" i="34"/>
  <c r="C25" i="34"/>
  <c r="F20" i="34"/>
  <c r="H20" i="34"/>
  <c r="E20" i="34"/>
  <c r="C20" i="34"/>
  <c r="F19" i="34"/>
  <c r="H19" i="34"/>
  <c r="E19" i="34"/>
  <c r="C19" i="34"/>
  <c r="F20" i="30"/>
  <c r="H20" i="30"/>
  <c r="E20" i="30"/>
  <c r="C20" i="30"/>
  <c r="F20" i="28"/>
  <c r="H20" i="28"/>
  <c r="E20" i="28"/>
  <c r="C20" i="28"/>
  <c r="F20" i="25"/>
  <c r="H20" i="25"/>
  <c r="E20" i="25"/>
  <c r="C20" i="25"/>
  <c r="F19" i="23"/>
  <c r="H19" i="23"/>
  <c r="E19" i="23"/>
  <c r="C19" i="23"/>
  <c r="F20" i="22"/>
  <c r="H20" i="22"/>
  <c r="C20" i="22"/>
  <c r="E19" i="21"/>
  <c r="C19" i="21"/>
  <c r="F19" i="19"/>
  <c r="H19" i="19"/>
  <c r="E19" i="19"/>
  <c r="C19" i="19"/>
  <c r="F19" i="18"/>
  <c r="H19" i="18"/>
  <c r="E19" i="18"/>
  <c r="C19" i="18"/>
  <c r="F19" i="13"/>
  <c r="H19" i="13"/>
  <c r="E19" i="13"/>
  <c r="C19" i="13"/>
  <c r="F19" i="12"/>
  <c r="H19" i="12"/>
  <c r="E19" i="12"/>
  <c r="C19" i="12"/>
  <c r="C19" i="11"/>
  <c r="E19" i="11"/>
  <c r="F19" i="11"/>
  <c r="H19" i="11"/>
  <c r="F19" i="9"/>
  <c r="H19" i="9"/>
  <c r="E19" i="9"/>
  <c r="C19" i="9"/>
  <c r="C20" i="9"/>
  <c r="E20" i="9"/>
  <c r="F20" i="9"/>
  <c r="H20" i="9"/>
  <c r="F20" i="2"/>
  <c r="H20" i="2"/>
  <c r="E20" i="2"/>
  <c r="C20" i="2"/>
  <c r="F18" i="17"/>
  <c r="H18" i="17"/>
  <c r="E18" i="17"/>
  <c r="C18" i="17"/>
  <c r="F19" i="16"/>
  <c r="H19" i="16"/>
  <c r="E19" i="16"/>
  <c r="C19" i="16"/>
  <c r="F20" i="13"/>
  <c r="H20" i="13"/>
  <c r="E20" i="13"/>
  <c r="C20" i="13"/>
  <c r="F24" i="21"/>
  <c r="H24" i="21"/>
  <c r="E24" i="21"/>
  <c r="C24" i="21"/>
  <c r="F20" i="21"/>
  <c r="H20" i="21"/>
  <c r="E20" i="21"/>
  <c r="C20" i="21"/>
  <c r="G34" i="19"/>
  <c r="H34" i="19"/>
  <c r="I36" i="19"/>
  <c r="D34" i="19"/>
  <c r="D33" i="18"/>
  <c r="G33" i="18"/>
  <c r="C33" i="18"/>
  <c r="E33" i="12"/>
  <c r="E33" i="11"/>
  <c r="E33" i="9"/>
  <c r="H34" i="13"/>
  <c r="I36" i="13"/>
  <c r="D34" i="13"/>
  <c r="C34" i="13"/>
  <c r="F21" i="13"/>
  <c r="H21" i="13"/>
  <c r="E21" i="13"/>
  <c r="C21" i="13"/>
  <c r="E38" i="34"/>
  <c r="C38" i="34"/>
  <c r="C33" i="28"/>
  <c r="E39" i="30"/>
  <c r="C39" i="30"/>
  <c r="E38" i="28"/>
  <c r="C38" i="28"/>
  <c r="E33" i="28"/>
  <c r="D33" i="28"/>
  <c r="C34" i="19"/>
  <c r="E38" i="16"/>
  <c r="C39" i="25"/>
  <c r="E39" i="25"/>
  <c r="C39" i="23"/>
  <c r="E39" i="23"/>
  <c r="C39" i="22"/>
  <c r="E21" i="22"/>
  <c r="F21" i="22"/>
  <c r="H21" i="22"/>
  <c r="C21" i="22"/>
  <c r="C19" i="22"/>
  <c r="E39" i="22"/>
  <c r="C39" i="19"/>
  <c r="E38" i="21"/>
  <c r="C38" i="21"/>
  <c r="E39" i="19"/>
  <c r="E38" i="18"/>
  <c r="C38" i="18"/>
  <c r="C38" i="17"/>
  <c r="F437" i="3"/>
  <c r="E38" i="17"/>
  <c r="C38" i="16"/>
  <c r="G33" i="17"/>
  <c r="H33" i="17"/>
  <c r="I35" i="17"/>
  <c r="D33" i="17"/>
  <c r="G33" i="16"/>
  <c r="H33" i="16"/>
  <c r="I35" i="16"/>
  <c r="D33" i="16"/>
  <c r="G32" i="15"/>
  <c r="H32" i="15"/>
  <c r="I34" i="15"/>
  <c r="D32" i="15"/>
  <c r="C33" i="12"/>
  <c r="C37" i="15"/>
  <c r="F19" i="15"/>
  <c r="H19" i="15"/>
  <c r="E19" i="15"/>
  <c r="C19" i="15"/>
  <c r="C18" i="15"/>
  <c r="E37" i="15"/>
  <c r="C39" i="13"/>
  <c r="C38" i="12"/>
  <c r="G33" i="12"/>
  <c r="D33" i="12"/>
  <c r="G33" i="11"/>
  <c r="D33" i="11"/>
  <c r="G33" i="9"/>
  <c r="D33" i="9"/>
  <c r="D34" i="2"/>
  <c r="G34" i="2"/>
  <c r="C34" i="2"/>
  <c r="F20" i="12"/>
  <c r="H20" i="12"/>
  <c r="E20" i="12"/>
  <c r="C20" i="12"/>
  <c r="C20" i="11"/>
  <c r="E38" i="12"/>
  <c r="E38" i="11"/>
  <c r="C38" i="11"/>
  <c r="C39" i="2"/>
  <c r="C38" i="9"/>
  <c r="E39" i="2"/>
  <c r="C18" i="2"/>
  <c r="F12" i="4"/>
  <c r="G12" i="4"/>
  <c r="H12" i="4"/>
  <c r="I12" i="4"/>
  <c r="D27" i="4"/>
  <c r="G13" i="4"/>
  <c r="H13" i="4"/>
  <c r="I13" i="4"/>
  <c r="D26" i="4"/>
  <c r="H15" i="4"/>
  <c r="I15" i="4"/>
  <c r="D25" i="4"/>
  <c r="G25" i="4"/>
  <c r="G16" i="4"/>
  <c r="H16" i="4"/>
  <c r="I16" i="4"/>
  <c r="G14" i="4"/>
  <c r="H14" i="4"/>
  <c r="I14" i="4"/>
  <c r="D24" i="4"/>
  <c r="G24" i="4"/>
  <c r="N27" i="18"/>
  <c r="I35" i="34"/>
  <c r="F18" i="34"/>
  <c r="H18" i="34"/>
  <c r="E18" i="34"/>
  <c r="C18" i="34"/>
  <c r="F19" i="28"/>
  <c r="H19" i="28"/>
  <c r="E19" i="28"/>
  <c r="C19" i="28"/>
  <c r="C18" i="28"/>
  <c r="F19" i="25"/>
  <c r="H19" i="25"/>
  <c r="F21" i="30"/>
  <c r="H21" i="30"/>
  <c r="E21" i="30"/>
  <c r="C21" i="30"/>
  <c r="F19" i="30"/>
  <c r="H19" i="30"/>
  <c r="E19" i="30"/>
  <c r="C19" i="30"/>
  <c r="C18" i="30"/>
  <c r="I36" i="30"/>
  <c r="F18" i="30"/>
  <c r="H18" i="30"/>
  <c r="E18" i="30"/>
  <c r="E9" i="21"/>
  <c r="F18" i="28"/>
  <c r="H18" i="28"/>
  <c r="E18" i="28"/>
  <c r="F21" i="25"/>
  <c r="H21" i="25"/>
  <c r="E21" i="25"/>
  <c r="C19" i="25"/>
  <c r="I36" i="25"/>
  <c r="E19" i="25"/>
  <c r="F18" i="25"/>
  <c r="H18" i="25"/>
  <c r="E18" i="25"/>
  <c r="C18" i="25"/>
  <c r="F20" i="18"/>
  <c r="H20" i="18"/>
  <c r="E20" i="18"/>
  <c r="F20" i="11"/>
  <c r="H20" i="11"/>
  <c r="E20" i="11"/>
  <c r="F19" i="2"/>
  <c r="H19" i="2"/>
  <c r="E19" i="2"/>
  <c r="C19" i="2"/>
  <c r="F21" i="2"/>
  <c r="H21" i="2"/>
  <c r="E21" i="2"/>
  <c r="C21" i="2"/>
  <c r="C18" i="9"/>
  <c r="I36" i="23"/>
  <c r="F20" i="23"/>
  <c r="H20" i="23"/>
  <c r="E20" i="23"/>
  <c r="C20" i="23"/>
  <c r="F18" i="23"/>
  <c r="H18" i="23"/>
  <c r="E18" i="23"/>
  <c r="C18" i="23"/>
  <c r="G26" i="22"/>
  <c r="F19" i="22"/>
  <c r="H19" i="22"/>
  <c r="E19" i="22"/>
  <c r="C18" i="22"/>
  <c r="H25" i="18"/>
  <c r="I36" i="22"/>
  <c r="F18" i="22"/>
  <c r="H18" i="22"/>
  <c r="E18" i="22"/>
  <c r="I35" i="21"/>
  <c r="F18" i="21"/>
  <c r="H18" i="21"/>
  <c r="E18" i="21"/>
  <c r="C18" i="21"/>
  <c r="F21" i="19"/>
  <c r="H21" i="19"/>
  <c r="E21" i="19"/>
  <c r="C21" i="19"/>
  <c r="F18" i="19"/>
  <c r="H18" i="19"/>
  <c r="E18" i="19"/>
  <c r="C18" i="19"/>
  <c r="C20" i="18"/>
  <c r="C18" i="18"/>
  <c r="F406" i="3"/>
  <c r="F390" i="3"/>
  <c r="F356" i="3"/>
  <c r="F459" i="3"/>
  <c r="F359" i="3"/>
  <c r="F18" i="18"/>
  <c r="H18" i="18"/>
  <c r="E18" i="18"/>
  <c r="C33" i="17"/>
  <c r="F20" i="17"/>
  <c r="H20" i="17"/>
  <c r="E20" i="17"/>
  <c r="C20" i="17"/>
  <c r="F19" i="17"/>
  <c r="H19" i="17"/>
  <c r="E19" i="17"/>
  <c r="C19" i="17"/>
  <c r="E20" i="16"/>
  <c r="F20" i="16"/>
  <c r="H20" i="16"/>
  <c r="C20" i="16"/>
  <c r="C18" i="16"/>
  <c r="C33" i="16"/>
  <c r="F18" i="16"/>
  <c r="H18" i="16"/>
  <c r="E18" i="16"/>
  <c r="E34" i="2"/>
  <c r="C32" i="15"/>
  <c r="F18" i="15"/>
  <c r="H18" i="15"/>
  <c r="E18" i="15"/>
  <c r="I29" i="13"/>
  <c r="F18" i="13"/>
  <c r="H18" i="13"/>
  <c r="E18" i="13"/>
  <c r="C18" i="13"/>
  <c r="I28" i="12"/>
  <c r="F18" i="12"/>
  <c r="H18" i="12"/>
  <c r="E18" i="12"/>
  <c r="C18" i="12"/>
  <c r="D9" i="12"/>
  <c r="C33" i="11"/>
  <c r="F18" i="11"/>
  <c r="H18" i="11"/>
  <c r="E18" i="11"/>
  <c r="C18" i="11"/>
  <c r="D9" i="11"/>
  <c r="D9" i="9"/>
  <c r="C33" i="9"/>
  <c r="F18" i="9"/>
  <c r="H18" i="9"/>
  <c r="E18" i="9"/>
  <c r="F63" i="5"/>
  <c r="F62" i="5"/>
  <c r="F18" i="2"/>
  <c r="H18" i="2"/>
  <c r="E18" i="2"/>
  <c r="F25" i="19"/>
  <c r="F24" i="18"/>
  <c r="D38" i="4"/>
  <c r="D30" i="4"/>
  <c r="D39" i="4"/>
  <c r="F35" i="119"/>
  <c r="H35" i="119"/>
  <c r="I37" i="119"/>
  <c r="D29" i="4"/>
  <c r="D34" i="4"/>
  <c r="I10" i="91"/>
  <c r="I22" i="43"/>
  <c r="I21" i="12"/>
  <c r="I20" i="15"/>
  <c r="I21" i="17"/>
  <c r="I21" i="16"/>
  <c r="I27" i="61"/>
  <c r="I28" i="61" s="1"/>
  <c r="I29" i="61" s="1"/>
  <c r="I41" i="61" s="1"/>
  <c r="F25" i="96"/>
  <c r="H25" i="96" s="1"/>
  <c r="I27" i="96" s="1"/>
  <c r="F26" i="96"/>
  <c r="H26" i="96"/>
  <c r="I20" i="85"/>
  <c r="I20" i="86"/>
  <c r="I21" i="45"/>
  <c r="I20" i="87"/>
  <c r="I307" i="91"/>
  <c r="I308" i="91" s="1"/>
  <c r="I248" i="91"/>
  <c r="I249" i="91" s="1"/>
  <c r="I238" i="91"/>
  <c r="I239" i="91" s="1"/>
  <c r="I97" i="91"/>
  <c r="I98" i="91" s="1"/>
  <c r="I299" i="91"/>
  <c r="I300" i="91" s="1"/>
  <c r="I109" i="91"/>
  <c r="I110" i="91" s="1"/>
  <c r="I21" i="91"/>
  <c r="I129" i="91"/>
  <c r="I130" i="91" s="1"/>
  <c r="I62" i="91"/>
  <c r="I63" i="91" s="1"/>
  <c r="I220" i="91"/>
  <c r="I221" i="91" s="1"/>
  <c r="I79" i="91"/>
  <c r="I80" i="91" s="1"/>
  <c r="I52" i="91"/>
  <c r="I53" i="91" s="1"/>
  <c r="I288" i="91"/>
  <c r="I289" i="91" s="1"/>
  <c r="I229" i="91"/>
  <c r="I230" i="91" s="1"/>
  <c r="I140" i="91"/>
  <c r="I141" i="91" s="1"/>
  <c r="I42" i="91"/>
  <c r="I43" i="91" s="1"/>
  <c r="I187" i="91"/>
  <c r="I188" i="91" s="1"/>
  <c r="H36" i="57"/>
  <c r="H35" i="57"/>
  <c r="H27" i="62"/>
  <c r="H37" i="57"/>
  <c r="H27" i="64"/>
  <c r="H34" i="57"/>
  <c r="I21" i="73"/>
  <c r="I21" i="61"/>
  <c r="I21" i="72"/>
  <c r="I21" i="67"/>
  <c r="I20" i="83"/>
  <c r="I21" i="74"/>
  <c r="I20" i="81"/>
  <c r="I25" i="88"/>
  <c r="I26" i="88"/>
  <c r="I20" i="88"/>
  <c r="I25" i="87"/>
  <c r="I26" i="87"/>
  <c r="I25" i="86"/>
  <c r="I26" i="86"/>
  <c r="I25" i="85"/>
  <c r="I26" i="85"/>
  <c r="I25" i="84"/>
  <c r="I26" i="84"/>
  <c r="I37" i="84"/>
  <c r="I25" i="83"/>
  <c r="I26" i="83"/>
  <c r="I20" i="82"/>
  <c r="I25" i="82"/>
  <c r="I26" i="82"/>
  <c r="I25" i="81"/>
  <c r="I26" i="81"/>
  <c r="I20" i="80"/>
  <c r="I25" i="80"/>
  <c r="I26" i="80"/>
  <c r="I20" i="79"/>
  <c r="I20" i="78"/>
  <c r="I27" i="79"/>
  <c r="I28" i="79"/>
  <c r="I27" i="78"/>
  <c r="I20" i="77"/>
  <c r="I34" i="77"/>
  <c r="I35" i="77"/>
  <c r="I36" i="77"/>
  <c r="I20" i="76"/>
  <c r="I21" i="69"/>
  <c r="I21" i="70"/>
  <c r="I21" i="64"/>
  <c r="I21" i="71"/>
  <c r="I21" i="68"/>
  <c r="I25" i="76"/>
  <c r="I27" i="74"/>
  <c r="I28" i="74"/>
  <c r="I27" i="73"/>
  <c r="I28" i="73"/>
  <c r="I27" i="72"/>
  <c r="I28" i="72"/>
  <c r="I27" i="71"/>
  <c r="I28" i="71"/>
  <c r="I27" i="70"/>
  <c r="I28" i="70"/>
  <c r="I27" i="69"/>
  <c r="I28" i="69"/>
  <c r="I27" i="68"/>
  <c r="I28" i="68"/>
  <c r="I21" i="66"/>
  <c r="I21" i="65"/>
  <c r="I21" i="62"/>
  <c r="I21" i="47"/>
  <c r="I21" i="46"/>
  <c r="I21" i="60"/>
  <c r="I21" i="41"/>
  <c r="I21" i="34"/>
  <c r="I21" i="42"/>
  <c r="I21" i="36"/>
  <c r="I21" i="44"/>
  <c r="I21" i="50"/>
  <c r="H33" i="28"/>
  <c r="I35" i="28"/>
  <c r="I27" i="50"/>
  <c r="I28" i="50"/>
  <c r="I27" i="47"/>
  <c r="I28" i="47"/>
  <c r="I27" i="46"/>
  <c r="I28" i="46"/>
  <c r="I27" i="45"/>
  <c r="I28" i="45"/>
  <c r="I27" i="44"/>
  <c r="I28" i="44"/>
  <c r="I27" i="42"/>
  <c r="I28" i="42"/>
  <c r="I39" i="42" s="1"/>
  <c r="E25" i="40"/>
  <c r="I21" i="40"/>
  <c r="I21" i="39"/>
  <c r="I21" i="38"/>
  <c r="I26" i="38"/>
  <c r="I27" i="38"/>
  <c r="I38" i="38" s="1"/>
  <c r="I21" i="37"/>
  <c r="I22" i="19"/>
  <c r="F27" i="18"/>
  <c r="H27" i="18"/>
  <c r="H33" i="18"/>
  <c r="I35" i="18"/>
  <c r="H34" i="2"/>
  <c r="I36" i="2"/>
  <c r="I21" i="21"/>
  <c r="H33" i="12"/>
  <c r="I35" i="12"/>
  <c r="H33" i="11"/>
  <c r="I35" i="11"/>
  <c r="H33" i="9"/>
  <c r="I35" i="9"/>
  <c r="D41" i="4"/>
  <c r="G41" i="4"/>
  <c r="D32" i="4"/>
  <c r="G32" i="4"/>
  <c r="I21" i="28"/>
  <c r="D45" i="4"/>
  <c r="G45" i="4"/>
  <c r="D44" i="4"/>
  <c r="D43" i="4"/>
  <c r="F35" i="78"/>
  <c r="H35" i="78"/>
  <c r="D42" i="4"/>
  <c r="D40" i="4"/>
  <c r="G40" i="4"/>
  <c r="G27" i="4"/>
  <c r="D37" i="4"/>
  <c r="G37" i="4"/>
  <c r="D36" i="4"/>
  <c r="D35" i="4"/>
  <c r="D33" i="4"/>
  <c r="G33" i="4"/>
  <c r="D31" i="4"/>
  <c r="G31" i="4"/>
  <c r="D28" i="4"/>
  <c r="G26" i="4"/>
  <c r="N12" i="4"/>
  <c r="N13" i="4"/>
  <c r="N14" i="4"/>
  <c r="N15" i="4"/>
  <c r="N16" i="4"/>
  <c r="I22" i="30"/>
  <c r="I22" i="25"/>
  <c r="I28" i="28"/>
  <c r="I29" i="28" s="1"/>
  <c r="I30" i="28" s="1"/>
  <c r="I41" i="28" s="1"/>
  <c r="I22" i="23"/>
  <c r="I21" i="11"/>
  <c r="I21" i="9"/>
  <c r="I22" i="2"/>
  <c r="I29" i="23"/>
  <c r="I30" i="23"/>
  <c r="I31" i="23"/>
  <c r="H28" i="19"/>
  <c r="I28" i="21"/>
  <c r="I29" i="21"/>
  <c r="I30" i="21" s="1"/>
  <c r="I41" i="21" s="1"/>
  <c r="I22" i="22"/>
  <c r="I21" i="18"/>
  <c r="I30" i="13"/>
  <c r="I31" i="13"/>
  <c r="I29" i="12"/>
  <c r="I30" i="12"/>
  <c r="H24" i="18"/>
  <c r="I28" i="18" s="1"/>
  <c r="H25" i="19"/>
  <c r="I29" i="19" s="1"/>
  <c r="F38" i="17"/>
  <c r="H38" i="17"/>
  <c r="F38" i="18"/>
  <c r="H38" i="18"/>
  <c r="F39" i="19"/>
  <c r="H39" i="19"/>
  <c r="F38" i="21"/>
  <c r="H38" i="21"/>
  <c r="F39" i="22"/>
  <c r="H39" i="22"/>
  <c r="F39" i="23"/>
  <c r="H39" i="23"/>
  <c r="F39" i="25"/>
  <c r="F38" i="16"/>
  <c r="H38" i="16"/>
  <c r="F38" i="28"/>
  <c r="H38" i="28"/>
  <c r="F39" i="30"/>
  <c r="H39" i="30"/>
  <c r="F38" i="34"/>
  <c r="H38" i="34"/>
  <c r="F34" i="80"/>
  <c r="H34" i="80"/>
  <c r="I37" i="80"/>
  <c r="F39" i="2"/>
  <c r="H39" i="2"/>
  <c r="F38" i="9"/>
  <c r="H38" i="9"/>
  <c r="F38" i="11"/>
  <c r="H38" i="11"/>
  <c r="F38" i="12"/>
  <c r="H38" i="12"/>
  <c r="F39" i="13"/>
  <c r="H39" i="13"/>
  <c r="F37" i="15"/>
  <c r="H37" i="15"/>
  <c r="F38" i="36"/>
  <c r="H38" i="36"/>
  <c r="I40" i="36"/>
  <c r="F37" i="37"/>
  <c r="H37" i="37"/>
  <c r="I39" i="37"/>
  <c r="F35" i="38"/>
  <c r="H35" i="38"/>
  <c r="I37" i="38"/>
  <c r="F36" i="39"/>
  <c r="H36" i="39"/>
  <c r="I38" i="39"/>
  <c r="F36" i="40"/>
  <c r="H36" i="40"/>
  <c r="I38" i="40"/>
  <c r="F36" i="41"/>
  <c r="H36" i="41"/>
  <c r="I38" i="41"/>
  <c r="F36" i="42"/>
  <c r="H36" i="42"/>
  <c r="I38" i="42"/>
  <c r="F38" i="43"/>
  <c r="H38" i="43"/>
  <c r="I40" i="43"/>
  <c r="F36" i="44"/>
  <c r="H36" i="44"/>
  <c r="I38" i="44"/>
  <c r="F36" i="45"/>
  <c r="H36" i="45"/>
  <c r="I38" i="45"/>
  <c r="F36" i="46"/>
  <c r="H36" i="46"/>
  <c r="I38" i="46"/>
  <c r="F36" i="47"/>
  <c r="H36" i="47"/>
  <c r="I38" i="47"/>
  <c r="F36" i="50"/>
  <c r="H36" i="50"/>
  <c r="I38" i="50"/>
  <c r="F48" i="57"/>
  <c r="H48" i="57"/>
  <c r="F36" i="68"/>
  <c r="H36" i="68"/>
  <c r="I38" i="68"/>
  <c r="F36" i="69"/>
  <c r="H36" i="69"/>
  <c r="I38" i="69"/>
  <c r="F36" i="70"/>
  <c r="H36" i="70"/>
  <c r="I38" i="70"/>
  <c r="F36" i="71"/>
  <c r="H36" i="71"/>
  <c r="I38" i="71"/>
  <c r="F36" i="72"/>
  <c r="H36" i="72"/>
  <c r="I38" i="72"/>
  <c r="F36" i="73"/>
  <c r="H36" i="73"/>
  <c r="I38" i="73"/>
  <c r="F36" i="74"/>
  <c r="H36" i="74"/>
  <c r="I38" i="74"/>
  <c r="F44" i="77"/>
  <c r="H44" i="77"/>
  <c r="I47" i="77"/>
  <c r="F36" i="79"/>
  <c r="H36" i="79"/>
  <c r="I40" i="79"/>
  <c r="F37" i="96"/>
  <c r="H37" i="96"/>
  <c r="I39" i="96"/>
  <c r="F36" i="97"/>
  <c r="H36" i="97"/>
  <c r="I38" i="97"/>
  <c r="I39" i="97"/>
  <c r="F36" i="98"/>
  <c r="H36" i="98"/>
  <c r="I38" i="98"/>
  <c r="I39" i="98"/>
  <c r="F36" i="99"/>
  <c r="H36" i="99"/>
  <c r="I38" i="99"/>
  <c r="I39" i="99"/>
  <c r="F36" i="100"/>
  <c r="H36" i="100"/>
  <c r="I38" i="100"/>
  <c r="I39" i="100"/>
  <c r="F38" i="109"/>
  <c r="H38" i="109"/>
  <c r="F38" i="110"/>
  <c r="H38" i="110"/>
  <c r="I40" i="110"/>
  <c r="F38" i="111"/>
  <c r="H38" i="111"/>
  <c r="I40" i="111"/>
  <c r="F39" i="107"/>
  <c r="H39" i="107"/>
  <c r="I41" i="107"/>
  <c r="F39" i="108"/>
  <c r="H39" i="108"/>
  <c r="I41" i="108"/>
  <c r="F39" i="112"/>
  <c r="H39" i="112"/>
  <c r="I41" i="112"/>
  <c r="F39" i="114"/>
  <c r="H39" i="114"/>
  <c r="I41" i="114"/>
  <c r="F36" i="128"/>
  <c r="H36" i="128"/>
  <c r="I38" i="128"/>
  <c r="F36" i="133"/>
  <c r="H36" i="133"/>
  <c r="I38" i="133"/>
  <c r="F40" i="13"/>
  <c r="H40" i="13"/>
  <c r="G34" i="4"/>
  <c r="G38" i="4"/>
  <c r="G30" i="4"/>
  <c r="G29" i="4"/>
  <c r="F36" i="76"/>
  <c r="H36" i="76"/>
  <c r="F36" i="78"/>
  <c r="H36" i="78"/>
  <c r="I38" i="78"/>
  <c r="G36" i="4"/>
  <c r="F34" i="132"/>
  <c r="H34" i="132"/>
  <c r="I36" i="132"/>
  <c r="F38" i="130"/>
  <c r="H38" i="130"/>
  <c r="I40" i="130"/>
  <c r="F37" i="131"/>
  <c r="H37" i="131"/>
  <c r="I39" i="131"/>
  <c r="F38" i="129"/>
  <c r="H38" i="129"/>
  <c r="I40" i="129"/>
  <c r="F35" i="127"/>
  <c r="H35" i="127"/>
  <c r="I37" i="127"/>
  <c r="F39" i="124"/>
  <c r="H39" i="124"/>
  <c r="I41" i="124"/>
  <c r="F40" i="115"/>
  <c r="H40" i="115"/>
  <c r="I42" i="115"/>
  <c r="G35" i="4"/>
  <c r="F39" i="135"/>
  <c r="H39" i="135"/>
  <c r="I41" i="135"/>
  <c r="F34" i="123"/>
  <c r="H34" i="123"/>
  <c r="I36" i="123"/>
  <c r="F39" i="118"/>
  <c r="H39" i="118"/>
  <c r="F38" i="117"/>
  <c r="H38" i="117"/>
  <c r="I40" i="117"/>
  <c r="F35" i="122"/>
  <c r="H35" i="122"/>
  <c r="I37" i="122"/>
  <c r="I38" i="122"/>
  <c r="F36" i="121"/>
  <c r="H36" i="121"/>
  <c r="I38" i="121"/>
  <c r="F35" i="120"/>
  <c r="H35" i="120"/>
  <c r="I37" i="120"/>
  <c r="F39" i="116"/>
  <c r="H39" i="116"/>
  <c r="I41" i="116"/>
  <c r="F41" i="113"/>
  <c r="H41" i="113"/>
  <c r="I43" i="113"/>
  <c r="F34" i="103"/>
  <c r="H34" i="103"/>
  <c r="I36" i="103"/>
  <c r="I37" i="103"/>
  <c r="F34" i="101"/>
  <c r="H34" i="101"/>
  <c r="I36" i="101"/>
  <c r="I37" i="101"/>
  <c r="F34" i="106"/>
  <c r="H34" i="106"/>
  <c r="I36" i="106"/>
  <c r="I37" i="106"/>
  <c r="F34" i="105"/>
  <c r="H34" i="105"/>
  <c r="I36" i="105"/>
  <c r="I37" i="105"/>
  <c r="F34" i="104"/>
  <c r="H34" i="104"/>
  <c r="I36" i="104"/>
  <c r="I37" i="104"/>
  <c r="F34" i="102"/>
  <c r="H34" i="102"/>
  <c r="I36" i="102"/>
  <c r="I37" i="102"/>
  <c r="I39" i="45"/>
  <c r="I39" i="73"/>
  <c r="G44" i="4"/>
  <c r="F37" i="66"/>
  <c r="H37" i="66"/>
  <c r="F42" i="75"/>
  <c r="H42" i="75"/>
  <c r="F39" i="62"/>
  <c r="H39" i="62"/>
  <c r="F37" i="60"/>
  <c r="H37" i="60"/>
  <c r="F38" i="61"/>
  <c r="H38" i="61"/>
  <c r="F36" i="67"/>
  <c r="H36" i="67"/>
  <c r="F40" i="65"/>
  <c r="H40" i="65"/>
  <c r="F43" i="64"/>
  <c r="H43" i="64"/>
  <c r="G43" i="4"/>
  <c r="F39" i="65"/>
  <c r="H39" i="65"/>
  <c r="F42" i="64"/>
  <c r="H42" i="64"/>
  <c r="I45" i="64"/>
  <c r="F36" i="66"/>
  <c r="H36" i="66"/>
  <c r="I39" i="66"/>
  <c r="F36" i="60"/>
  <c r="H36" i="60"/>
  <c r="F41" i="75"/>
  <c r="H41" i="75"/>
  <c r="F38" i="62"/>
  <c r="H38" i="62"/>
  <c r="F37" i="61"/>
  <c r="H37" i="61"/>
  <c r="I40" i="61"/>
  <c r="F35" i="67"/>
  <c r="H35" i="67"/>
  <c r="F35" i="76"/>
  <c r="H35" i="76"/>
  <c r="I38" i="76"/>
  <c r="G39" i="4"/>
  <c r="F36" i="95"/>
  <c r="H36" i="95"/>
  <c r="I39" i="95"/>
  <c r="F38" i="93"/>
  <c r="H38" i="93"/>
  <c r="F36" i="94"/>
  <c r="H36" i="94"/>
  <c r="I39" i="94"/>
  <c r="F37" i="92"/>
  <c r="H37" i="92"/>
  <c r="I40" i="92"/>
  <c r="G28" i="4"/>
  <c r="F34" i="83"/>
  <c r="H34" i="83"/>
  <c r="I36" i="83"/>
  <c r="I37" i="83"/>
  <c r="F34" i="88"/>
  <c r="H34" i="88"/>
  <c r="I36" i="88"/>
  <c r="F34" i="86"/>
  <c r="H34" i="86"/>
  <c r="I36" i="86"/>
  <c r="I37" i="86"/>
  <c r="F36" i="54"/>
  <c r="H36" i="54"/>
  <c r="I38" i="54"/>
  <c r="F34" i="82"/>
  <c r="H34" i="82"/>
  <c r="I36" i="82"/>
  <c r="I37" i="82"/>
  <c r="F34" i="81"/>
  <c r="H34" i="81"/>
  <c r="I38" i="81"/>
  <c r="F36" i="53"/>
  <c r="H36" i="53"/>
  <c r="I38" i="53"/>
  <c r="F34" i="87"/>
  <c r="H34" i="87"/>
  <c r="I37" i="87"/>
  <c r="F34" i="85"/>
  <c r="H34" i="85"/>
  <c r="I36" i="85"/>
  <c r="I37" i="85"/>
  <c r="F34" i="84"/>
  <c r="H34" i="84"/>
  <c r="I26" i="76"/>
  <c r="I27" i="76"/>
  <c r="G42" i="4"/>
  <c r="D46" i="4"/>
  <c r="G46" i="4"/>
  <c r="I41" i="62"/>
  <c r="I39" i="78"/>
  <c r="I48" i="77"/>
  <c r="I39" i="74"/>
  <c r="I39" i="72"/>
  <c r="I39" i="71"/>
  <c r="I39" i="70"/>
  <c r="I39" i="69"/>
  <c r="I38" i="80"/>
  <c r="I39" i="68"/>
  <c r="I39" i="47"/>
  <c r="I39" i="46"/>
  <c r="I39" i="44"/>
  <c r="I39" i="50"/>
  <c r="I40" i="9"/>
  <c r="I40" i="16"/>
  <c r="I40" i="21"/>
  <c r="I39" i="15"/>
  <c r="I41" i="23"/>
  <c r="I42" i="23"/>
  <c r="I40" i="34"/>
  <c r="I40" i="12"/>
  <c r="I41" i="12"/>
  <c r="I41" i="30"/>
  <c r="I41" i="19"/>
  <c r="I40" i="17"/>
  <c r="I40" i="11"/>
  <c r="I40" i="18"/>
  <c r="I41" i="22"/>
  <c r="I40" i="28"/>
  <c r="H39" i="25"/>
  <c r="I41" i="25"/>
  <c r="I41" i="2"/>
  <c r="I42" i="13"/>
  <c r="I44" i="75"/>
  <c r="I38" i="67"/>
  <c r="I42" i="65"/>
  <c r="I41" i="93"/>
  <c r="I39" i="60"/>
  <c r="I39" i="76"/>
  <c r="I21" i="75"/>
  <c r="I29" i="34" l="1"/>
  <c r="I30" i="34" s="1"/>
  <c r="I41" i="34" s="1"/>
  <c r="I29" i="107"/>
  <c r="I29" i="116"/>
  <c r="I28" i="129"/>
  <c r="I29" i="9"/>
  <c r="I30" i="9" s="1"/>
  <c r="I41" i="9" s="1"/>
  <c r="I29" i="110"/>
  <c r="I30" i="110" s="1"/>
  <c r="I41" i="110" s="1"/>
  <c r="I27" i="121"/>
  <c r="I28" i="121" s="1"/>
  <c r="I39" i="121" s="1"/>
  <c r="I30" i="135"/>
  <c r="I31" i="135" s="1"/>
  <c r="I42" i="135" s="1"/>
  <c r="I29" i="140"/>
  <c r="I30" i="140" s="1"/>
  <c r="I41" i="140" s="1"/>
  <c r="I30" i="22"/>
  <c r="I31" i="22" s="1"/>
  <c r="I42" i="22" s="1"/>
  <c r="I27" i="128"/>
  <c r="I28" i="128"/>
  <c r="I39" i="128" s="1"/>
  <c r="I29" i="112"/>
  <c r="I32" i="113"/>
  <c r="I33" i="113" s="1"/>
  <c r="I44" i="113" s="1"/>
  <c r="I28" i="43"/>
  <c r="I27" i="40"/>
  <c r="I28" i="40" s="1"/>
  <c r="I39" i="40" s="1"/>
  <c r="I30" i="11"/>
  <c r="I41" i="11" s="1"/>
  <c r="I29" i="11"/>
  <c r="I31" i="115"/>
  <c r="I32" i="115"/>
  <c r="I43" i="115" s="1"/>
  <c r="I26" i="120"/>
  <c r="I27" i="120"/>
  <c r="I38" i="120" s="1"/>
  <c r="I27" i="41"/>
  <c r="I28" i="41"/>
  <c r="I39" i="41" s="1"/>
  <c r="I27" i="54"/>
  <c r="I28" i="54" s="1"/>
  <c r="I39" i="54" s="1"/>
  <c r="I30" i="62"/>
  <c r="I42" i="62" s="1"/>
  <c r="I29" i="62"/>
  <c r="I31" i="75"/>
  <c r="I30" i="25"/>
  <c r="I31" i="25" s="1"/>
  <c r="I42" i="25" s="1"/>
  <c r="I27" i="94"/>
  <c r="I28" i="94"/>
  <c r="I40" i="94" s="1"/>
  <c r="I27" i="95"/>
  <c r="I28" i="95"/>
  <c r="I40" i="95" s="1"/>
  <c r="I30" i="19"/>
  <c r="I31" i="19" s="1"/>
  <c r="I42" i="19" s="1"/>
  <c r="I38" i="57"/>
  <c r="I30" i="108"/>
  <c r="I31" i="108"/>
  <c r="I42" i="108" s="1"/>
  <c r="I29" i="17"/>
  <c r="I30" i="17" s="1"/>
  <c r="I41" i="17" s="1"/>
  <c r="I26" i="119"/>
  <c r="I27" i="119"/>
  <c r="I38" i="119" s="1"/>
  <c r="I26" i="127"/>
  <c r="I27" i="127"/>
  <c r="I38" i="127" s="1"/>
  <c r="I29" i="109"/>
  <c r="I30" i="109"/>
  <c r="I41" i="109" s="1"/>
  <c r="I31" i="2"/>
  <c r="I42" i="2" s="1"/>
  <c r="I30" i="2"/>
  <c r="I25" i="126"/>
  <c r="I26" i="126" s="1"/>
  <c r="I37" i="126" s="1"/>
  <c r="I27" i="133"/>
  <c r="I28" i="133"/>
  <c r="I39" i="133" s="1"/>
  <c r="I29" i="18"/>
  <c r="I30" i="18"/>
  <c r="I41" i="18" s="1"/>
  <c r="I27" i="60"/>
  <c r="I28" i="60" s="1"/>
  <c r="I40" i="60" s="1"/>
  <c r="I26" i="67"/>
  <c r="I27" i="67" s="1"/>
  <c r="I39" i="67" s="1"/>
  <c r="I30" i="30"/>
  <c r="I31" i="30" s="1"/>
  <c r="I42" i="30" s="1"/>
  <c r="I30" i="65"/>
  <c r="I31" i="65" s="1"/>
  <c r="I43" i="65" s="1"/>
  <c r="I33" i="64"/>
  <c r="I34" i="64" s="1"/>
  <c r="I46" i="64" s="1"/>
  <c r="I27" i="66"/>
  <c r="I28" i="66" s="1"/>
  <c r="I40" i="66" s="1"/>
  <c r="I28" i="16"/>
  <c r="I28" i="117"/>
  <c r="I30" i="124"/>
  <c r="I31" i="124"/>
  <c r="I42" i="124" s="1"/>
  <c r="I25" i="125"/>
  <c r="I26" i="125" s="1"/>
  <c r="I37" i="125" s="1"/>
  <c r="I28" i="131"/>
  <c r="I29" i="131"/>
  <c r="I40" i="131" s="1"/>
  <c r="I25" i="132"/>
  <c r="I26" i="132" s="1"/>
  <c r="I37" i="132" s="1"/>
  <c r="I29" i="143"/>
  <c r="I30" i="143"/>
  <c r="I28" i="96"/>
  <c r="I29" i="96"/>
  <c r="I40" i="96" s="1"/>
  <c r="I29" i="36"/>
  <c r="I30" i="36"/>
  <c r="I41" i="36" s="1"/>
  <c r="I27" i="37"/>
  <c r="I27" i="39"/>
  <c r="I28" i="39"/>
  <c r="I39" i="39" s="1"/>
  <c r="I27" i="53"/>
  <c r="I28" i="53" s="1"/>
  <c r="I39" i="53" s="1"/>
  <c r="I27" i="92"/>
  <c r="I28" i="93"/>
  <c r="I28" i="15"/>
  <c r="I29" i="15"/>
  <c r="I40" i="15" s="1"/>
  <c r="I25" i="123"/>
  <c r="I26" i="123"/>
  <c r="I37" i="123" s="1"/>
  <c r="I28" i="130"/>
  <c r="I30" i="111"/>
  <c r="I41" i="111" s="1"/>
  <c r="I39" i="57" l="1"/>
  <c r="I40" i="57"/>
  <c r="I51" i="57" s="1"/>
  <c r="I29" i="43"/>
  <c r="I30" i="43"/>
  <c r="I41" i="43" s="1"/>
  <c r="I29" i="16"/>
  <c r="I30" i="16" s="1"/>
  <c r="I41" i="16" s="1"/>
  <c r="I33" i="75"/>
  <c r="I45" i="75" s="1"/>
  <c r="I32" i="75"/>
  <c r="I30" i="112"/>
  <c r="I31" i="112" s="1"/>
  <c r="I42" i="112" s="1"/>
  <c r="I29" i="129"/>
  <c r="I30" i="129"/>
  <c r="I41" i="129" s="1"/>
  <c r="I29" i="93"/>
  <c r="I30" i="93" s="1"/>
  <c r="I42" i="93" s="1"/>
  <c r="I28" i="92"/>
  <c r="I29" i="92" s="1"/>
  <c r="I41" i="92" s="1"/>
  <c r="I30" i="116"/>
  <c r="I31" i="116"/>
  <c r="I42" i="116" s="1"/>
  <c r="I30" i="107"/>
  <c r="I31" i="107"/>
  <c r="I42" i="107" s="1"/>
  <c r="I28" i="37"/>
  <c r="I29" i="37" s="1"/>
  <c r="I40" i="37" s="1"/>
  <c r="I29" i="117"/>
  <c r="I30" i="117" s="1"/>
  <c r="I41" i="117" s="1"/>
  <c r="I29" i="130"/>
  <c r="I30" i="130" s="1"/>
  <c r="I41" i="130" s="1"/>
</calcChain>
</file>

<file path=xl/sharedStrings.xml><?xml version="1.0" encoding="utf-8"?>
<sst xmlns="http://schemas.openxmlformats.org/spreadsheetml/2006/main" count="16961" uniqueCount="2332">
  <si>
    <t>CANTIDAD</t>
  </si>
  <si>
    <t>UNIDAD</t>
  </si>
  <si>
    <t>m2</t>
  </si>
  <si>
    <t>1.2</t>
  </si>
  <si>
    <t>MAMPOSTERIA</t>
  </si>
  <si>
    <t>2.1</t>
  </si>
  <si>
    <t>m3</t>
  </si>
  <si>
    <t>MURO</t>
  </si>
  <si>
    <t>2.2</t>
  </si>
  <si>
    <t>1.3</t>
  </si>
  <si>
    <t>ACABADOS</t>
  </si>
  <si>
    <t>2.3</t>
  </si>
  <si>
    <t>PISO</t>
  </si>
  <si>
    <t>2.4</t>
  </si>
  <si>
    <t>3.1</t>
  </si>
  <si>
    <t>3.2</t>
  </si>
  <si>
    <t>4.1</t>
  </si>
  <si>
    <t>1.4</t>
  </si>
  <si>
    <t>COLUMNA</t>
  </si>
  <si>
    <t>PUERTAS Y VENTANAS</t>
  </si>
  <si>
    <t>5.1</t>
  </si>
  <si>
    <t>1.5</t>
  </si>
  <si>
    <t>1.6</t>
  </si>
  <si>
    <t>un</t>
  </si>
  <si>
    <t>CERRADURAS</t>
  </si>
  <si>
    <t>INSTALACION ELECTRICA</t>
  </si>
  <si>
    <t>CIELO RASO</t>
  </si>
  <si>
    <t>ml</t>
  </si>
  <si>
    <t>1.7</t>
  </si>
  <si>
    <t>2.5</t>
  </si>
  <si>
    <t>10.3</t>
  </si>
  <si>
    <t>SISTEMA DE SONIDO Y VISION</t>
  </si>
  <si>
    <t xml:space="preserve">MOBILIARIO </t>
  </si>
  <si>
    <t>1.8</t>
  </si>
  <si>
    <t>Mueble para cafeteria</t>
  </si>
  <si>
    <t>Mesa para samovar</t>
  </si>
  <si>
    <t>Barra para samovar</t>
  </si>
  <si>
    <t>Samovar</t>
  </si>
  <si>
    <t>2.6</t>
  </si>
  <si>
    <t>2.7</t>
  </si>
  <si>
    <t>2.8</t>
  </si>
  <si>
    <t>LISTA DE PRECIOS</t>
  </si>
  <si>
    <t>CODIGO</t>
  </si>
  <si>
    <t>INSUMO</t>
  </si>
  <si>
    <t>PRECIO</t>
  </si>
  <si>
    <t>M01</t>
  </si>
  <si>
    <t xml:space="preserve">FECHA </t>
  </si>
  <si>
    <t xml:space="preserve">VERSION </t>
  </si>
  <si>
    <t xml:space="preserve">PAGINA </t>
  </si>
  <si>
    <t>ANALISIS DE PRECIOS UNITARIOS</t>
  </si>
  <si>
    <t xml:space="preserve">CAPÍTULO: </t>
  </si>
  <si>
    <t>ACTIVIDADES PRELIMINARES</t>
  </si>
  <si>
    <t xml:space="preserve">DATOS ESPECIFICOS </t>
  </si>
  <si>
    <t>ITEM</t>
  </si>
  <si>
    <t xml:space="preserve">DESCRIPCION </t>
  </si>
  <si>
    <t>ITEM DE PAGO</t>
  </si>
  <si>
    <t xml:space="preserve">ESPECIFICACION GENERAL </t>
  </si>
  <si>
    <t>I. EQUIPO</t>
  </si>
  <si>
    <t>DESCRIPCION</t>
  </si>
  <si>
    <t>TARIFA/UNIDAD</t>
  </si>
  <si>
    <t>RENDIM</t>
  </si>
  <si>
    <t>VALOR UNIT</t>
  </si>
  <si>
    <t>EQ63</t>
  </si>
  <si>
    <t xml:space="preserve"> </t>
  </si>
  <si>
    <t>SUB TOTAL</t>
  </si>
  <si>
    <t xml:space="preserve">II. MATERIALES DE OBRA </t>
  </si>
  <si>
    <t>PRECIO/UNITA</t>
  </si>
  <si>
    <t>CANTID</t>
  </si>
  <si>
    <t>M19</t>
  </si>
  <si>
    <t>M20</t>
  </si>
  <si>
    <t>M21</t>
  </si>
  <si>
    <t>M22</t>
  </si>
  <si>
    <t xml:space="preserve">DESPERDICIO </t>
  </si>
  <si>
    <t>TOTAL MATERIALES</t>
  </si>
  <si>
    <t xml:space="preserve">III. TRANSPORTE </t>
  </si>
  <si>
    <t xml:space="preserve">IV. MANO DE OBRA </t>
  </si>
  <si>
    <t xml:space="preserve">DESCRIPCIÓN </t>
  </si>
  <si>
    <t>VALOR UNITARIO</t>
  </si>
  <si>
    <t>REND.</t>
  </si>
  <si>
    <t>V/PARCIAL</t>
  </si>
  <si>
    <t>MO1</t>
  </si>
  <si>
    <t>DÍA</t>
  </si>
  <si>
    <t>MO2</t>
  </si>
  <si>
    <t>COSTO</t>
  </si>
  <si>
    <t>DESCRIPCIÓN</t>
  </si>
  <si>
    <t>AGUA</t>
  </si>
  <si>
    <t>Kg</t>
  </si>
  <si>
    <t>M401</t>
  </si>
  <si>
    <t>P7</t>
  </si>
  <si>
    <t>V5</t>
  </si>
  <si>
    <t>V4</t>
  </si>
  <si>
    <t>V3</t>
  </si>
  <si>
    <t>V2</t>
  </si>
  <si>
    <t>PV1</t>
  </si>
  <si>
    <t>M472</t>
  </si>
  <si>
    <t>M471</t>
  </si>
  <si>
    <t>M467</t>
  </si>
  <si>
    <t>M395</t>
  </si>
  <si>
    <t>M476</t>
  </si>
  <si>
    <t>M466</t>
  </si>
  <si>
    <t>M464</t>
  </si>
  <si>
    <t>M463</t>
  </si>
  <si>
    <t>M462</t>
  </si>
  <si>
    <t>M461</t>
  </si>
  <si>
    <t>M460</t>
  </si>
  <si>
    <t>M65</t>
  </si>
  <si>
    <t>M459</t>
  </si>
  <si>
    <t>M458</t>
  </si>
  <si>
    <t>M457</t>
  </si>
  <si>
    <t>M456</t>
  </si>
  <si>
    <t>M418</t>
  </si>
  <si>
    <t>M356</t>
  </si>
  <si>
    <t>M354</t>
  </si>
  <si>
    <t>M455</t>
  </si>
  <si>
    <t>M338</t>
  </si>
  <si>
    <t>M468</t>
  </si>
  <si>
    <t>M454</t>
  </si>
  <si>
    <t>M453</t>
  </si>
  <si>
    <t>M452</t>
  </si>
  <si>
    <t>EQ58</t>
  </si>
  <si>
    <t>M345</t>
  </si>
  <si>
    <t>M265</t>
  </si>
  <si>
    <t>M451</t>
  </si>
  <si>
    <t>EQ65</t>
  </si>
  <si>
    <t>M259</t>
  </si>
  <si>
    <t>M246</t>
  </si>
  <si>
    <t>M142</t>
  </si>
  <si>
    <t>EQ60</t>
  </si>
  <si>
    <t>M449</t>
  </si>
  <si>
    <t>M156</t>
  </si>
  <si>
    <t>M448</t>
  </si>
  <si>
    <t>M364</t>
  </si>
  <si>
    <t>M445</t>
  </si>
  <si>
    <t>M427</t>
  </si>
  <si>
    <t>M261</t>
  </si>
  <si>
    <t>M443</t>
  </si>
  <si>
    <t>UND</t>
  </si>
  <si>
    <t>ML</t>
  </si>
  <si>
    <t>M41</t>
  </si>
  <si>
    <t>M444</t>
  </si>
  <si>
    <t>M10</t>
  </si>
  <si>
    <t>M405</t>
  </si>
  <si>
    <t>M424</t>
  </si>
  <si>
    <t>M422</t>
  </si>
  <si>
    <t>M423</t>
  </si>
  <si>
    <t>M432</t>
  </si>
  <si>
    <t>M430</t>
  </si>
  <si>
    <t>M150</t>
  </si>
  <si>
    <t>M184</t>
  </si>
  <si>
    <t>GBL</t>
  </si>
  <si>
    <t>M421</t>
  </si>
  <si>
    <t>M242</t>
  </si>
  <si>
    <t>M435</t>
  </si>
  <si>
    <t>M440</t>
  </si>
  <si>
    <t>M475</t>
  </si>
  <si>
    <t>M442</t>
  </si>
  <si>
    <t>M433</t>
  </si>
  <si>
    <t>M474</t>
  </si>
  <si>
    <t>M441</t>
  </si>
  <si>
    <t>M</t>
  </si>
  <si>
    <t>M139</t>
  </si>
  <si>
    <t>M276</t>
  </si>
  <si>
    <t>M230</t>
  </si>
  <si>
    <t>M218</t>
  </si>
  <si>
    <t>M438</t>
  </si>
  <si>
    <t>M439</t>
  </si>
  <si>
    <t>M437</t>
  </si>
  <si>
    <t>M24</t>
  </si>
  <si>
    <t>M25</t>
  </si>
  <si>
    <t>EQ68</t>
  </si>
  <si>
    <t>und</t>
  </si>
  <si>
    <t>M14</t>
  </si>
  <si>
    <t>EQ3</t>
  </si>
  <si>
    <t>EQ15</t>
  </si>
  <si>
    <t>EQ9</t>
  </si>
  <si>
    <t>BLOQUE DE CEMENTO 0,09*0,19*0,39</t>
  </si>
  <si>
    <t>M436</t>
  </si>
  <si>
    <t>M11</t>
  </si>
  <si>
    <t>M225</t>
  </si>
  <si>
    <t>M425</t>
  </si>
  <si>
    <t>M37</t>
  </si>
  <si>
    <t>M243</t>
  </si>
  <si>
    <t>EQ2</t>
  </si>
  <si>
    <t>M04</t>
  </si>
  <si>
    <t>EQ67</t>
  </si>
  <si>
    <t>EQ66</t>
  </si>
  <si>
    <t>EQ29</t>
  </si>
  <si>
    <t>M275</t>
  </si>
  <si>
    <t>M447</t>
  </si>
  <si>
    <t>M446</t>
  </si>
  <si>
    <t>M307</t>
  </si>
  <si>
    <t>M234</t>
  </si>
  <si>
    <t>EQ19</t>
  </si>
  <si>
    <t>EQ25</t>
  </si>
  <si>
    <t>M280</t>
  </si>
  <si>
    <t>M469</t>
  </si>
  <si>
    <t>M2</t>
  </si>
  <si>
    <t>GLB</t>
  </si>
  <si>
    <t>EQ1</t>
  </si>
  <si>
    <t xml:space="preserve">HERRAMIENTAS MENORES </t>
  </si>
  <si>
    <t xml:space="preserve">CODIGO </t>
  </si>
  <si>
    <t>AYUDANTE</t>
  </si>
  <si>
    <t>OFICIAL</t>
  </si>
  <si>
    <t>MO3</t>
  </si>
  <si>
    <t>MAESTRO</t>
  </si>
  <si>
    <t>MO4</t>
  </si>
  <si>
    <t>TOPOGRAFO</t>
  </si>
  <si>
    <t>MO5</t>
  </si>
  <si>
    <t>CADENERO</t>
  </si>
  <si>
    <t xml:space="preserve">MANO DE OBRA </t>
  </si>
  <si>
    <t>SMMLV</t>
  </si>
  <si>
    <t xml:space="preserve">AUX. DE TRANSPORTE </t>
  </si>
  <si>
    <t>BULDOZER D6</t>
  </si>
  <si>
    <t>HORA</t>
  </si>
  <si>
    <t>VOLQUETA X 14M3</t>
  </si>
  <si>
    <t>VIAJE</t>
  </si>
  <si>
    <t>Andamios (1 cuerpo)</t>
  </si>
  <si>
    <t>EQ4</t>
  </si>
  <si>
    <t>Cercha 3m</t>
  </si>
  <si>
    <t>EQ5</t>
  </si>
  <si>
    <t>Compactador neumatico</t>
  </si>
  <si>
    <t>EQ6</t>
  </si>
  <si>
    <t>Compresor de 2 martillos</t>
  </si>
  <si>
    <t>EQ7</t>
  </si>
  <si>
    <t>Equipo de soldadura 250 AMP</t>
  </si>
  <si>
    <t>EQ8</t>
  </si>
  <si>
    <t>Equipo de topografía</t>
  </si>
  <si>
    <t>Formaleta</t>
  </si>
  <si>
    <t>EQ10</t>
  </si>
  <si>
    <t>Formaleta caja de inspeccion</t>
  </si>
  <si>
    <t>EQ11</t>
  </si>
  <si>
    <t>Gatos metalicos</t>
  </si>
  <si>
    <t>EQ12</t>
  </si>
  <si>
    <t>Grua capacidad 15 ton</t>
  </si>
  <si>
    <t>EQ13</t>
  </si>
  <si>
    <t>EQ14</t>
  </si>
  <si>
    <t>Planta electrica de 110v y 5000w de potencia</t>
  </si>
  <si>
    <t>Tablon</t>
  </si>
  <si>
    <t>EQ16</t>
  </si>
  <si>
    <t>Vibrador de Concreto</t>
  </si>
  <si>
    <t>EQ17</t>
  </si>
  <si>
    <t>VIBROCOMPACTADOR TIPO RANA</t>
  </si>
  <si>
    <t>EQ18</t>
  </si>
  <si>
    <t>VIBROCOMPACTADOR TIPO CANGURO</t>
  </si>
  <si>
    <t>EQ20</t>
  </si>
  <si>
    <t>TABLEROS 140x70</t>
  </si>
  <si>
    <t>EQ21</t>
  </si>
  <si>
    <t>FORMALETA LOSA ENTRE PISO POR M2</t>
  </si>
  <si>
    <t>MES</t>
  </si>
  <si>
    <t>EQ22</t>
  </si>
  <si>
    <t>MAQUINA BRILLADORA CON OPERARIO</t>
  </si>
  <si>
    <t>DIA</t>
  </si>
  <si>
    <t>EQ23</t>
  </si>
  <si>
    <t xml:space="preserve">CORTADORA DE PAVIMENTO CON DISCO MAS OPERADOR </t>
  </si>
  <si>
    <t>EQ24</t>
  </si>
  <si>
    <t>COMPRESOR CON MARTILLO</t>
  </si>
  <si>
    <t>RETROEXCAVADORA 320C</t>
  </si>
  <si>
    <t>EQ26</t>
  </si>
  <si>
    <t>CARROTANQUE T600</t>
  </si>
  <si>
    <t>EQ27</t>
  </si>
  <si>
    <t>MINI CARGADOR</t>
  </si>
  <si>
    <t>EQ28</t>
  </si>
  <si>
    <t>MOTONIVELADORA 102G</t>
  </si>
  <si>
    <t xml:space="preserve">VIBROCOMPACTADOR </t>
  </si>
  <si>
    <t>EQ30</t>
  </si>
  <si>
    <t>REGLA VIBRATORIA</t>
  </si>
  <si>
    <t>EQ31</t>
  </si>
  <si>
    <t>RIEL PARA PAVIMENTO (3 MT)</t>
  </si>
  <si>
    <t>EQ32</t>
  </si>
  <si>
    <t>BURRO DE ARRASTRE</t>
  </si>
  <si>
    <t>EQ33</t>
  </si>
  <si>
    <t>VIBRADOR DE CONCRETO</t>
  </si>
  <si>
    <t>EQ34</t>
  </si>
  <si>
    <t>ASPERSOR MANUAL</t>
  </si>
  <si>
    <t>EQ35</t>
  </si>
  <si>
    <t>CAMIONETA D300</t>
  </si>
  <si>
    <t>HH</t>
  </si>
  <si>
    <t>EQ36</t>
  </si>
  <si>
    <t>EQUIPO MANUAL 110MM, CARRO ALINEADOR, REFRENTADOR, PLANCHA CALEFACTORA Y JUEGO DE MORDAZAS 90MM</t>
  </si>
  <si>
    <t>EQ37</t>
  </si>
  <si>
    <t>PLANTA ELECTRICA 110V Y POTENCIA 5000W</t>
  </si>
  <si>
    <t>EQ38</t>
  </si>
  <si>
    <t>ACPM</t>
  </si>
  <si>
    <t>GLN</t>
  </si>
  <si>
    <t>EQ39</t>
  </si>
  <si>
    <t>EQUIPO DE NIVELACIÓN</t>
  </si>
  <si>
    <t>EQ40</t>
  </si>
  <si>
    <t>MARTILLO HIDRAULICO</t>
  </si>
  <si>
    <t>EQ41</t>
  </si>
  <si>
    <t>MOTOBOMBA DE 3" x 3"</t>
  </si>
  <si>
    <t>EQ42</t>
  </si>
  <si>
    <t>FORMALETA PARA MANHOLE 2 UNIDADES</t>
  </si>
  <si>
    <t>EQ43</t>
  </si>
  <si>
    <t>CONO PARA MANHOLE</t>
  </si>
  <si>
    <t>EQ44</t>
  </si>
  <si>
    <t>GATOS LARGOS</t>
  </si>
  <si>
    <t>DD</t>
  </si>
  <si>
    <t>EQ45</t>
  </si>
  <si>
    <t>TABLEROS 140X70</t>
  </si>
  <si>
    <t>EQ46</t>
  </si>
  <si>
    <t>CERCHAS DE 3 METROS</t>
  </si>
  <si>
    <t>EQ47</t>
  </si>
  <si>
    <t>EQUIPO DE PERFORACIÓN</t>
  </si>
  <si>
    <t>HR</t>
  </si>
  <si>
    <t>EQ48</t>
  </si>
  <si>
    <t>ALLANADORA O HELICOPTERO</t>
  </si>
  <si>
    <t>EQ49</t>
  </si>
  <si>
    <t>EQUIPO DE PINTURA COMPRESOR</t>
  </si>
  <si>
    <t>EQ50</t>
  </si>
  <si>
    <t>SERVICIO DE GRÚA PARA TRABAJOS EN CALIENTE</t>
  </si>
  <si>
    <t>EQ51</t>
  </si>
  <si>
    <t>MOTOBOMBA 2" a 3"</t>
  </si>
  <si>
    <t>EQ52</t>
  </si>
  <si>
    <t>BOMBA DE CONCRETO</t>
  </si>
  <si>
    <t>EQ53</t>
  </si>
  <si>
    <t>PISCINA DE AGUA</t>
  </si>
  <si>
    <t>EQ54</t>
  </si>
  <si>
    <t>GRUA IZAJE ACERO - TREMIE</t>
  </si>
  <si>
    <t>EQ55</t>
  </si>
  <si>
    <t>PALA AUXILIAR</t>
  </si>
  <si>
    <t>EQ56</t>
  </si>
  <si>
    <t>OXICORTE - ACETILENO Y OXIGENO</t>
  </si>
  <si>
    <t>EQ57</t>
  </si>
  <si>
    <t>TALADRO PERCUTOR</t>
  </si>
  <si>
    <t>PULIDORA 9" ELECTRICA</t>
  </si>
  <si>
    <t>EQ59</t>
  </si>
  <si>
    <t>TALADRO ELECTRICO</t>
  </si>
  <si>
    <t>SOPLETE Y PIPETA GAS PROPANO</t>
  </si>
  <si>
    <t xml:space="preserve">DIA </t>
  </si>
  <si>
    <t>EQ61</t>
  </si>
  <si>
    <t>HIDROLAVADORA</t>
  </si>
  <si>
    <t>EQ62</t>
  </si>
  <si>
    <t xml:space="preserve">COMPRENSOR DE PINTURA </t>
  </si>
  <si>
    <t>EQ64</t>
  </si>
  <si>
    <t xml:space="preserve">TRONZADORA </t>
  </si>
  <si>
    <t xml:space="preserve">Andamio colgante </t>
  </si>
  <si>
    <t xml:space="preserve">Pico excavación </t>
  </si>
  <si>
    <t xml:space="preserve">Pala excavacion </t>
  </si>
  <si>
    <t>Disco abrasivo corte metal 14 x 1/8 2608602759</t>
  </si>
  <si>
    <t>8 M3</t>
  </si>
  <si>
    <t xml:space="preserve">1M3 </t>
  </si>
  <si>
    <t>Volqueta de 8 m3</t>
  </si>
  <si>
    <t xml:space="preserve">UND </t>
  </si>
  <si>
    <t xml:space="preserve">CANTIDAD </t>
  </si>
  <si>
    <t xml:space="preserve">DISTANCIA </t>
  </si>
  <si>
    <t>TARIFA/M3-KM</t>
  </si>
  <si>
    <t>M3</t>
  </si>
  <si>
    <t>EQ69</t>
  </si>
  <si>
    <t>Andamio (2cuerpo)</t>
  </si>
  <si>
    <t>CEMENTO GRIS TIPO I</t>
  </si>
  <si>
    <t>KG</t>
  </si>
  <si>
    <t>M02</t>
  </si>
  <si>
    <t>ARENA DE RIO</t>
  </si>
  <si>
    <t>M03</t>
  </si>
  <si>
    <t>TRITURADO</t>
  </si>
  <si>
    <t>L</t>
  </si>
  <si>
    <t>M05</t>
  </si>
  <si>
    <t>IMPERMEABILIZANTE PARA CONCRETO</t>
  </si>
  <si>
    <t>CUÑETE</t>
  </si>
  <si>
    <t>M06</t>
  </si>
  <si>
    <t>IMPERMEABILIZANTE PARA MORTERO</t>
  </si>
  <si>
    <t>M07</t>
  </si>
  <si>
    <t>CONCRETO DE 1500 PSI ELABORADO EN OBRA</t>
  </si>
  <si>
    <t>M08</t>
  </si>
  <si>
    <t>CONCRETO DE 2000 PSI ELABORADO EN OBRA</t>
  </si>
  <si>
    <t>M09</t>
  </si>
  <si>
    <t>CONCRETO DE 2500 PSI ELABORADO EN OBRA</t>
  </si>
  <si>
    <t>CONCRETO DE 3000 PSI ELABORADO EN OBRA</t>
  </si>
  <si>
    <t>CONCRETO DE 3500 PSI ELABORADO EN OBRA</t>
  </si>
  <si>
    <t>M12</t>
  </si>
  <si>
    <t>CONCRETO DE 4000 PSI (Incluye bombeo)</t>
  </si>
  <si>
    <t>M13</t>
  </si>
  <si>
    <t>CONCRETO DE 3000 PSI IMPERMEABILIZADO ELABORADO EN OBRA</t>
  </si>
  <si>
    <t>Mezcla concreto Fluido 4.000 PSI-28.0 MPA</t>
  </si>
  <si>
    <t>M15</t>
  </si>
  <si>
    <t>MORTERO 1:4 ELABORADO OBRA</t>
  </si>
  <si>
    <t>M16</t>
  </si>
  <si>
    <t>MORTERO 1:6 ELABORADO OBRA</t>
  </si>
  <si>
    <t>M17</t>
  </si>
  <si>
    <t>MORTERO 1:4 ELABORADO OBRA IMPERMEABILIZADO</t>
  </si>
  <si>
    <t>M18</t>
  </si>
  <si>
    <t>MORTERO 1:6 ELABORADO OBRA IMPERMEABILIZADO</t>
  </si>
  <si>
    <t xml:space="preserve">CAL HIDRATADA BLANCA </t>
  </si>
  <si>
    <t>ESTACAS DE MADERA</t>
  </si>
  <si>
    <t>PUNTILLAS</t>
  </si>
  <si>
    <t>LB</t>
  </si>
  <si>
    <t>PITA O NYLON N°15 PARA TRAZAR</t>
  </si>
  <si>
    <t>ROLLO</t>
  </si>
  <si>
    <t>GAS1</t>
  </si>
  <si>
    <t>GASOLINA CORRIENTE</t>
  </si>
  <si>
    <t>GL</t>
  </si>
  <si>
    <t>M23</t>
  </si>
  <si>
    <t>BALASTO</t>
  </si>
  <si>
    <t>ACERO DE 60000 PSI FIGURADO</t>
  </si>
  <si>
    <t>ALAMBRE NEGRO NO.18</t>
  </si>
  <si>
    <t>M26</t>
  </si>
  <si>
    <t>SEGUETA NICHOLSON 18 BIMETAL</t>
  </si>
  <si>
    <t>M27</t>
  </si>
  <si>
    <t>BLOQUE 0,15 VIBRADO</t>
  </si>
  <si>
    <t>M28</t>
  </si>
  <si>
    <t>ANGEO METALICO GALVANIZADO</t>
  </si>
  <si>
    <t>M29</t>
  </si>
  <si>
    <t>ANTISOL ROJO 1,6 KG</t>
  </si>
  <si>
    <t>M30</t>
  </si>
  <si>
    <t>ICOPOR DE PRIMERA PERMANENTE</t>
  </si>
  <si>
    <t>M31</t>
  </si>
  <si>
    <t>TABLA BONGA 3Mts</t>
  </si>
  <si>
    <t>M32</t>
  </si>
  <si>
    <t>LISTON 2*2*3mt MADERA TECHO</t>
  </si>
  <si>
    <t>M33</t>
  </si>
  <si>
    <t>ALAMBRE NEGRO No.18</t>
  </si>
  <si>
    <t>M34</t>
  </si>
  <si>
    <t>M35</t>
  </si>
  <si>
    <t>TABLON CATIVO 3 M</t>
  </si>
  <si>
    <t>M36</t>
  </si>
  <si>
    <t>LISTON ABARCO 3 M</t>
  </si>
  <si>
    <t>TABLA BURRA ORDINARIO 0.30</t>
  </si>
  <si>
    <t>Ml</t>
  </si>
  <si>
    <t>M38</t>
  </si>
  <si>
    <t>TABLA BURRA ORDINARIO 25</t>
  </si>
  <si>
    <t>M39</t>
  </si>
  <si>
    <t>Varilla 1/4" G-60</t>
  </si>
  <si>
    <t>M40</t>
  </si>
  <si>
    <t>Varilla 3/8" G-60</t>
  </si>
  <si>
    <t>Varilla 1/2" G-60</t>
  </si>
  <si>
    <t>M42</t>
  </si>
  <si>
    <t>ACERO ESTRUCTURAL A-588</t>
  </si>
  <si>
    <t>M43</t>
  </si>
  <si>
    <t>ANTICORROSIVO C.Z VERD 1 GALON</t>
  </si>
  <si>
    <t>M44</t>
  </si>
  <si>
    <t>ESMALTE NEGRO MATE</t>
  </si>
  <si>
    <t>M45</t>
  </si>
  <si>
    <t>LIJA DE AGUA ABRACOL # 100</t>
  </si>
  <si>
    <t>M46</t>
  </si>
  <si>
    <t>THINNER Lts 4L=G</t>
  </si>
  <si>
    <t>M47</t>
  </si>
  <si>
    <t>CUBIERTA EN LAMINA TERMOACUSTICA</t>
  </si>
  <si>
    <t>M48</t>
  </si>
  <si>
    <t>TORNILLOS DE FIJACION</t>
  </si>
  <si>
    <t>M49</t>
  </si>
  <si>
    <t>FIJADORES DE ALA</t>
  </si>
  <si>
    <t>M50</t>
  </si>
  <si>
    <t>CABALLETE THERMOACUS. 2.00 m</t>
  </si>
  <si>
    <t>M51</t>
  </si>
  <si>
    <t>ACCESORIOS AMAZONA  CANAL</t>
  </si>
  <si>
    <t>M52</t>
  </si>
  <si>
    <t>CANAL AMAZONA 3M.</t>
  </si>
  <si>
    <t>M53</t>
  </si>
  <si>
    <t>ACCESORIOS AMAZONA  BAJANTE</t>
  </si>
  <si>
    <t>M54</t>
  </si>
  <si>
    <t>BAJANTE AMAZONA 3mt PLASTICO</t>
  </si>
  <si>
    <t>M55</t>
  </si>
  <si>
    <t>SOLDADURA PVC LIQUIDA 1/4</t>
  </si>
  <si>
    <t>M56</t>
  </si>
  <si>
    <t>LIMPIADOR PVC 1/4 GAL.</t>
  </si>
  <si>
    <t>M57</t>
  </si>
  <si>
    <t>TUBO PVC SANITARIO 4"</t>
  </si>
  <si>
    <t>M58</t>
  </si>
  <si>
    <t>UNION PVC SANITARIA 4"</t>
  </si>
  <si>
    <t>M59</t>
  </si>
  <si>
    <t>TABLA CATIVO 0,3 m</t>
  </si>
  <si>
    <t xml:space="preserve">M </t>
  </si>
  <si>
    <t>M60</t>
  </si>
  <si>
    <t>ACERO FIGURADO Y ARMADO DE 60000 PSI</t>
  </si>
  <si>
    <t>M61</t>
  </si>
  <si>
    <t>ACIDO OXALICO</t>
  </si>
  <si>
    <t>M62</t>
  </si>
  <si>
    <t>M63</t>
  </si>
  <si>
    <t>M64</t>
  </si>
  <si>
    <t>BALDOSA DE GRANITO PISO 30X30</t>
  </si>
  <si>
    <t>CEMENTO BLANCO</t>
  </si>
  <si>
    <t>M66</t>
  </si>
  <si>
    <t>M67</t>
  </si>
  <si>
    <t>TABLON GRAFILADO 30x30</t>
  </si>
  <si>
    <t>M68</t>
  </si>
  <si>
    <t>CEMENTO BLANCO NARE 2KL</t>
  </si>
  <si>
    <t>M69</t>
  </si>
  <si>
    <t>GRANITO BLANCO No1 40kg</t>
  </si>
  <si>
    <t>BTO</t>
  </si>
  <si>
    <t>M70</t>
  </si>
  <si>
    <t>PIRLAN PARA ESCALERA 1`` ALUMIN</t>
  </si>
  <si>
    <t>M71</t>
  </si>
  <si>
    <t>KORAZA BLANCO GALON</t>
  </si>
  <si>
    <t>M72</t>
  </si>
  <si>
    <t>ALAMBRE GALVANIZADO  # 10</t>
  </si>
  <si>
    <t>M73</t>
  </si>
  <si>
    <t>CHAZO PLASTICO EXPANDIBLE 3/8`` L= 7CMS</t>
  </si>
  <si>
    <t>M74</t>
  </si>
  <si>
    <t>CINTA MAYA  x 90 MTS</t>
  </si>
  <si>
    <t>M75</t>
  </si>
  <si>
    <t>PINTURA TIPO II x 5 GALONES</t>
  </si>
  <si>
    <t>M76</t>
  </si>
  <si>
    <t>PUNTILLA 1.1/2`` CC</t>
  </si>
  <si>
    <t>PAQ</t>
  </si>
  <si>
    <t>M77</t>
  </si>
  <si>
    <t>SUPERMASTICO x 28kg.</t>
  </si>
  <si>
    <t>GAL</t>
  </si>
  <si>
    <t>M78</t>
  </si>
  <si>
    <t>TEX JOINT JUNTAx22K (MAS ESLAS SELLADO JUNTA)</t>
  </si>
  <si>
    <t>CUÑ</t>
  </si>
  <si>
    <t>M79</t>
  </si>
  <si>
    <t>TORNILLO 6X1`` PARA LAM ESTRUC LIVIANA</t>
  </si>
  <si>
    <t>M80</t>
  </si>
  <si>
    <t>TORNILLO 8X3/4`` AUT-AVELL-PUNTA FINA</t>
  </si>
  <si>
    <t>M81</t>
  </si>
  <si>
    <t>CHAZO 1/4 PLASTICO</t>
  </si>
  <si>
    <t>M82</t>
  </si>
  <si>
    <t>SILICONA SANISIL T/PTE 300CC</t>
  </si>
  <si>
    <t>M83</t>
  </si>
  <si>
    <t>TORNILLO LAM PAN RAN 8*1.¼``GAL</t>
  </si>
  <si>
    <t>M84</t>
  </si>
  <si>
    <t>VENTANA ALUMINIO  PERFILERIA 75x35mm</t>
  </si>
  <si>
    <t>M85</t>
  </si>
  <si>
    <t>PUERTA METALICA CAL 20 Dim 1,0x2,20 m</t>
  </si>
  <si>
    <t>M86</t>
  </si>
  <si>
    <t>CEMENTO ARGOS BLANCO 40 kg</t>
  </si>
  <si>
    <t>M87</t>
  </si>
  <si>
    <t>GRANITO CREMA No2 40kg</t>
  </si>
  <si>
    <t>M88</t>
  </si>
  <si>
    <t>PIRLAN BRONCE ESCALERA 1``</t>
  </si>
  <si>
    <t>M89</t>
  </si>
  <si>
    <t>M90</t>
  </si>
  <si>
    <t>M91</t>
  </si>
  <si>
    <t>M92</t>
  </si>
  <si>
    <t>M93</t>
  </si>
  <si>
    <t>TUBO PVC SANITARIO 2"</t>
  </si>
  <si>
    <t>M94</t>
  </si>
  <si>
    <t>UNION PVC SANITARIA 2"</t>
  </si>
  <si>
    <t>M95</t>
  </si>
  <si>
    <t>TUBO PVC VENTILACIÓN 2"</t>
  </si>
  <si>
    <t>M96</t>
  </si>
  <si>
    <t>CODO SANITARIO 90º CXC 4"</t>
  </si>
  <si>
    <t>M97</t>
  </si>
  <si>
    <t>CODO SANITARIO PVC CXC DE 45° DE 4"</t>
  </si>
  <si>
    <t>M98</t>
  </si>
  <si>
    <t>YEE SANITARIO 4"</t>
  </si>
  <si>
    <t>M99</t>
  </si>
  <si>
    <t>TEE SANITARIA 2"</t>
  </si>
  <si>
    <t>M100</t>
  </si>
  <si>
    <t>CODO 90° 1/4 CXC SANITARIO 2"</t>
  </si>
  <si>
    <t>M101</t>
  </si>
  <si>
    <t>YEE SANITARIA PVC REDUCIDA 4" X 2"</t>
  </si>
  <si>
    <t>M102</t>
  </si>
  <si>
    <t>SIFON SANITARIO 2"</t>
  </si>
  <si>
    <t>M103</t>
  </si>
  <si>
    <t>CODO PRESION 90º 1 1/4"</t>
  </si>
  <si>
    <t>M104</t>
  </si>
  <si>
    <t>TEE PRESION 1 1/4"</t>
  </si>
  <si>
    <t>M105</t>
  </si>
  <si>
    <t>TUBO PRESION RDE 21 1 1/4"</t>
  </si>
  <si>
    <t>M106</t>
  </si>
  <si>
    <t>UNION PRESION 1 1/4"</t>
  </si>
  <si>
    <t>M107</t>
  </si>
  <si>
    <t>CODO PRESION 90º 1"</t>
  </si>
  <si>
    <t>M108</t>
  </si>
  <si>
    <t>TEE PRESION 1"</t>
  </si>
  <si>
    <t>M109</t>
  </si>
  <si>
    <t>TUBO PRESION RDE 21 1"</t>
  </si>
  <si>
    <t>M110</t>
  </si>
  <si>
    <t>UNION PRESION 1"</t>
  </si>
  <si>
    <t>M111</t>
  </si>
  <si>
    <t>CODO PRESION 90º 3/4"</t>
  </si>
  <si>
    <t>M112</t>
  </si>
  <si>
    <t>TEE PRESION 3/4"</t>
  </si>
  <si>
    <t>M113</t>
  </si>
  <si>
    <t>TUBO PRESION RDE 21 3/4"</t>
  </si>
  <si>
    <t>M114</t>
  </si>
  <si>
    <t>UNION PRESION 3/4"</t>
  </si>
  <si>
    <t>M115</t>
  </si>
  <si>
    <t>CODO PRESION 90º 1/2"</t>
  </si>
  <si>
    <t>M116</t>
  </si>
  <si>
    <t>TEE PRESION 1/2"</t>
  </si>
  <si>
    <t>M117</t>
  </si>
  <si>
    <t>TUBO PRESION RDE 13,5 1/2"</t>
  </si>
  <si>
    <t>M118</t>
  </si>
  <si>
    <t>UNION PRESION 1/2"</t>
  </si>
  <si>
    <t>M119</t>
  </si>
  <si>
    <t>ADAPTADOR MACHO PRESION 1"</t>
  </si>
  <si>
    <t>M120</t>
  </si>
  <si>
    <t>BUJE PRESION 1*3/4"</t>
  </si>
  <si>
    <t>M121</t>
  </si>
  <si>
    <t>CINTA TEFLON</t>
  </si>
  <si>
    <t>M122</t>
  </si>
  <si>
    <t>TAPON MACHO 1/2"</t>
  </si>
  <si>
    <t>M123</t>
  </si>
  <si>
    <t>VÁLVULA DE BOLA 1 1/4"</t>
  </si>
  <si>
    <t>M124</t>
  </si>
  <si>
    <t>VÁLVULA DE BOLA 1"</t>
  </si>
  <si>
    <t>M125</t>
  </si>
  <si>
    <t>TAPAREGISTRO 20x20 CM</t>
  </si>
  <si>
    <t>M126</t>
  </si>
  <si>
    <t>VÁLVULA DE BOLA 3/4"</t>
  </si>
  <si>
    <t>M127</t>
  </si>
  <si>
    <t>MANGUERA CONEXIÓN FLEXIBLE</t>
  </si>
  <si>
    <t>M128</t>
  </si>
  <si>
    <t xml:space="preserve">SANITARIO TANQUE ACUACER  </t>
  </si>
  <si>
    <t>M129</t>
  </si>
  <si>
    <t>LAVAMANOS MARSELLA DE SOBREPONER</t>
  </si>
  <si>
    <t>M130</t>
  </si>
  <si>
    <t>REJILLA PISO VANGUARDISTA 10X10</t>
  </si>
  <si>
    <t>M131</t>
  </si>
  <si>
    <t>ELECTROBOMBA 1.0 HP MONOFASICA</t>
  </si>
  <si>
    <t>M132</t>
  </si>
  <si>
    <t>ADAPTADOR MACHO PRESION 1/2"</t>
  </si>
  <si>
    <t>M133</t>
  </si>
  <si>
    <t>BOYA FLOTADOR BRONCE 1"</t>
  </si>
  <si>
    <t>M134</t>
  </si>
  <si>
    <t>BUJE SOLDADO PRESION 1*1/2"</t>
  </si>
  <si>
    <t>M135</t>
  </si>
  <si>
    <t>SOLDADURA PVC 1/4 GAL.</t>
  </si>
  <si>
    <t>M136</t>
  </si>
  <si>
    <t>TANQUE PLASTICO 1000Lt COLEMPA</t>
  </si>
  <si>
    <t>M137</t>
  </si>
  <si>
    <t>TEE DE 1/2" PRESION</t>
  </si>
  <si>
    <t>M138</t>
  </si>
  <si>
    <t>TUBO 1/2" PRESION</t>
  </si>
  <si>
    <t>MORTERO 1:4 IMPERMEABILIZADO ELABORADO EN OBRA</t>
  </si>
  <si>
    <t>M140</t>
  </si>
  <si>
    <t>AGUA ACUEDUCTO</t>
  </si>
  <si>
    <t>M141</t>
  </si>
  <si>
    <t>EMULSION ASFALTICA Kg</t>
  </si>
  <si>
    <t>MANTO 500XT-FOIL ALUMINIO FIBERGLASS</t>
  </si>
  <si>
    <t>M143</t>
  </si>
  <si>
    <t>CAOLIN 25Kls</t>
  </si>
  <si>
    <t>M144</t>
  </si>
  <si>
    <t>M145</t>
  </si>
  <si>
    <t>PABMERIL PLIEGO 9 X 11</t>
  </si>
  <si>
    <t>M146</t>
  </si>
  <si>
    <t>YESO ESCAYOLA 25kl</t>
  </si>
  <si>
    <t>M147</t>
  </si>
  <si>
    <t>VINILTEX AMARI VIVO 1GALON</t>
  </si>
  <si>
    <t>M148</t>
  </si>
  <si>
    <t>CERAMICA</t>
  </si>
  <si>
    <t>M149</t>
  </si>
  <si>
    <t>PEGANTE  PEGACOR O EQUIVALENTE</t>
  </si>
  <si>
    <t>BOQUILLA PARA PORCELANATO Concolor porcelanato 2Kg</t>
  </si>
  <si>
    <t>M151</t>
  </si>
  <si>
    <t>OXIDO DE ZINC-LIBRA</t>
  </si>
  <si>
    <t>M152</t>
  </si>
  <si>
    <t>M153</t>
  </si>
  <si>
    <t>CIERRE 1/2 LUNA VENTANERIA</t>
  </si>
  <si>
    <t>M154</t>
  </si>
  <si>
    <t>GUIA PLASTICA VC-50-20X 6 M.</t>
  </si>
  <si>
    <t>M155</t>
  </si>
  <si>
    <t>RODAMIENTO NYLON VC-50-20 BAL-VENTANA</t>
  </si>
  <si>
    <t>M157</t>
  </si>
  <si>
    <t>M158</t>
  </si>
  <si>
    <t>VENTANA ALUMINIO MOD=50-20  PERFILERIA</t>
  </si>
  <si>
    <t>M159</t>
  </si>
  <si>
    <t>VIDRIO TRANSP. 4 MM</t>
  </si>
  <si>
    <t>M160</t>
  </si>
  <si>
    <t>Puerta con marco en Cold Rolled Cal. 20. Dim 0,80X2,20 m</t>
  </si>
  <si>
    <t>M161</t>
  </si>
  <si>
    <t>Puerta con marco en Cold Rolled Cal. 20. Dim 0,90X2,20 m</t>
  </si>
  <si>
    <t>M162</t>
  </si>
  <si>
    <t>Puerta con marco en Cold Rolled Cal. 20. Dim 1,00X2,20 m</t>
  </si>
  <si>
    <t>M163</t>
  </si>
  <si>
    <t>Puerta con marco en Cold Rolled Cal. 20. Dim 1,00X2,70 m</t>
  </si>
  <si>
    <t>M164</t>
  </si>
  <si>
    <t>CIERRE NAVE PUERTA  ALUMINIO</t>
  </si>
  <si>
    <t>M165</t>
  </si>
  <si>
    <t>DIVISION BAÑO ACERO INOX. TAMBORADO</t>
  </si>
  <si>
    <t>M166</t>
  </si>
  <si>
    <t>PERNO ANCLAJE CON GANCHO 3/8``</t>
  </si>
  <si>
    <t>M167</t>
  </si>
  <si>
    <t>PIVOTE NAVE PUERTA NAVES DE VAIVEN-MET</t>
  </si>
  <si>
    <t>M168</t>
  </si>
  <si>
    <t>PLATINA 1/8X1X6 M.</t>
  </si>
  <si>
    <t>M169</t>
  </si>
  <si>
    <t>REMACHE POP 1/8*3/8 4-4</t>
  </si>
  <si>
    <t>M170</t>
  </si>
  <si>
    <t>SOLDADURA ACERO INOXIDABLE  AWF-308L</t>
  </si>
  <si>
    <t>M171</t>
  </si>
  <si>
    <t>TUBO CUADRADO 1*1 C20</t>
  </si>
  <si>
    <t>M172</t>
  </si>
  <si>
    <t>SOLDADURA ELECTRICA 1/8</t>
  </si>
  <si>
    <t>M173</t>
  </si>
  <si>
    <t>VARILLA CUADRADA 1/2 12.7mm</t>
  </si>
  <si>
    <t>M174</t>
  </si>
  <si>
    <t>ESMALTE BLANCO MATE</t>
  </si>
  <si>
    <t>M175</t>
  </si>
  <si>
    <t>HOJA LIJA AGUA 9*11 # 400</t>
  </si>
  <si>
    <t>M176</t>
  </si>
  <si>
    <t>LAMINA 1X2 CAL 16 COLD ROLLED</t>
  </si>
  <si>
    <t>M177</t>
  </si>
  <si>
    <t>PINTULUX BLANCO 1GALON</t>
  </si>
  <si>
    <t>M178</t>
  </si>
  <si>
    <t>PLATINA 1/ 8 X 4 X 6M   12MM (3/16X5/8``)</t>
  </si>
  <si>
    <t>M179</t>
  </si>
  <si>
    <t>M180</t>
  </si>
  <si>
    <t>TUBO GALVANIZADO 3" L=3.0 M</t>
  </si>
  <si>
    <t>M181</t>
  </si>
  <si>
    <t>TUBO GALVANIZADO 2"</t>
  </si>
  <si>
    <t>M182</t>
  </si>
  <si>
    <t>ORINAL MEDIANO BLANCO</t>
  </si>
  <si>
    <t>M183</t>
  </si>
  <si>
    <t>Puerta metálica Cal. 22</t>
  </si>
  <si>
    <t>BLOQUE ABUJARDADO VIBRADO 16x19x39CM</t>
  </si>
  <si>
    <t>M185</t>
  </si>
  <si>
    <t>CINTA SIKA PVC V-10 30.0m</t>
  </si>
  <si>
    <t>M186</t>
  </si>
  <si>
    <t>LAMINA GALVANIZADA C.22 100x200 CM.</t>
  </si>
  <si>
    <t>M187</t>
  </si>
  <si>
    <t>SOLDADURA ESTANO</t>
  </si>
  <si>
    <t>M188</t>
  </si>
  <si>
    <t>MARCO Y TAPA CAJA INSPECCIÓN 80X80CM MEDIDA INTERNA</t>
  </si>
  <si>
    <t>M189</t>
  </si>
  <si>
    <t>TUBO ECONOMICA VENTILACION 3"</t>
  </si>
  <si>
    <t>M190</t>
  </si>
  <si>
    <t>CODO SANITARIO 90º CXC 3"</t>
  </si>
  <si>
    <t>M191</t>
  </si>
  <si>
    <t>ANTICORROSIVO C.Z VERD 1GALON</t>
  </si>
  <si>
    <t>M192</t>
  </si>
  <si>
    <t>ACONDICION SUPERF NOVAFORT  PAVCO</t>
  </si>
  <si>
    <t>M193</t>
  </si>
  <si>
    <t>HIDROSELLO NOVAFORT 160MM PAVCO</t>
  </si>
  <si>
    <t>M194</t>
  </si>
  <si>
    <t>LUBRICANTE 500grm</t>
  </si>
  <si>
    <t>M195</t>
  </si>
  <si>
    <t>TUBO SANITARIO  6"  PVC-160MM NOVAFORT</t>
  </si>
  <si>
    <t>M196</t>
  </si>
  <si>
    <t>CODO PRESION 90º 1 1/2"</t>
  </si>
  <si>
    <t>M197</t>
  </si>
  <si>
    <t>TEE PRESION 1 1/2"</t>
  </si>
  <si>
    <t>M198</t>
  </si>
  <si>
    <t>TUBO PRESION RDE 21 1 1/2"</t>
  </si>
  <si>
    <t>M199</t>
  </si>
  <si>
    <t>UNION PRESION 1 1/2"</t>
  </si>
  <si>
    <t>M200</t>
  </si>
  <si>
    <t>REGISTRO PASO DIRECTO 1 1/2</t>
  </si>
  <si>
    <t>M201</t>
  </si>
  <si>
    <t>UNIVERSAL GALVANIZADA 1</t>
  </si>
  <si>
    <t>M202</t>
  </si>
  <si>
    <t>UNIVERSAL PVC 1/2</t>
  </si>
  <si>
    <t>M203</t>
  </si>
  <si>
    <t>SANITARIO PARA DISCAPACITADO ALTO &gt; 40CM</t>
  </si>
  <si>
    <t>M204</t>
  </si>
  <si>
    <t>TANQUE PLASTICO 2000 L</t>
  </si>
  <si>
    <t>M205</t>
  </si>
  <si>
    <t>TUBO PVC SANITARIO 3"</t>
  </si>
  <si>
    <t>M206</t>
  </si>
  <si>
    <t>UNION PVC SANITARIA 6"</t>
  </si>
  <si>
    <t>M207</t>
  </si>
  <si>
    <t>TUBO PVC SANITARIO 6"</t>
  </si>
  <si>
    <t>M208</t>
  </si>
  <si>
    <t>M209</t>
  </si>
  <si>
    <t>HIDROSELLO NOVAFORT 315MM PAVCO</t>
  </si>
  <si>
    <t>M210</t>
  </si>
  <si>
    <t>M211</t>
  </si>
  <si>
    <t>TUBO SANITARIO 12" PVC-315MM NOVAFORT</t>
  </si>
  <si>
    <t>M212</t>
  </si>
  <si>
    <t>PERFIL L 1/2"X3/16"</t>
  </si>
  <si>
    <t>M213</t>
  </si>
  <si>
    <t>PLATINA 1/4"X1,5"</t>
  </si>
  <si>
    <t>M214</t>
  </si>
  <si>
    <t>SOLDADURA 7018 x 1/8"</t>
  </si>
  <si>
    <t>M215</t>
  </si>
  <si>
    <t>LONA VERDE H:210</t>
  </si>
  <si>
    <t>M216</t>
  </si>
  <si>
    <t>PERFIL BASE 6 DRYWALL</t>
  </si>
  <si>
    <t>M217</t>
  </si>
  <si>
    <t>BLOQUE #4 tradicional 9x 23 x 32 cm 13u/m2 - SAMO</t>
  </si>
  <si>
    <t>kg</t>
  </si>
  <si>
    <t>M219</t>
  </si>
  <si>
    <t>LADRILLO TOLETE 20X10X6</t>
  </si>
  <si>
    <t>M220</t>
  </si>
  <si>
    <t>PIEDRA BOLA DE 15 A 30 CM DIAMETRO</t>
  </si>
  <si>
    <t>M221</t>
  </si>
  <si>
    <t>TABLA DE 1" X 12" X 3 MTR</t>
  </si>
  <si>
    <t>M222</t>
  </si>
  <si>
    <t>ACCESORIOS 1/2" TIPO PESADO</t>
  </si>
  <si>
    <t>M223</t>
  </si>
  <si>
    <t>ACCESORIOS 3/4" TIPO PESADO</t>
  </si>
  <si>
    <t>M224</t>
  </si>
  <si>
    <t>ACERO DE 40.000 PSI</t>
  </si>
  <si>
    <t>ACERO DE REFUERZO PDR-60</t>
  </si>
  <si>
    <t>M226</t>
  </si>
  <si>
    <t>ACERO ESTRUCTURAL</t>
  </si>
  <si>
    <t>M227</t>
  </si>
  <si>
    <t xml:space="preserve">ADAPTADOR TERMINAL pvc 1/2"     </t>
  </si>
  <si>
    <t>UN</t>
  </si>
  <si>
    <t>M228</t>
  </si>
  <si>
    <t>ALAMBRE NEGRO</t>
  </si>
  <si>
    <t>M229</t>
  </si>
  <si>
    <t>ALGARROBILLO 2"X2"X3.00MT</t>
  </si>
  <si>
    <t>ANDAMIO TUBULAR</t>
  </si>
  <si>
    <t>d</t>
  </si>
  <si>
    <t>M231</t>
  </si>
  <si>
    <t>BLOQUE ARENA - CEMENTO 015</t>
  </si>
  <si>
    <t>M232</t>
  </si>
  <si>
    <t>BLOQUE ARENA - CEMENTO #12  12 X 19 X 39</t>
  </si>
  <si>
    <t>M233</t>
  </si>
  <si>
    <t>BLOQUE ARENA - CEMENTO ABUZARDADO 015</t>
  </si>
  <si>
    <t>BREAKER 2x20A</t>
  </si>
  <si>
    <t>M235</t>
  </si>
  <si>
    <t>M236</t>
  </si>
  <si>
    <t>CARGADOR FRONTAL 920 O SIMILAR</t>
  </si>
  <si>
    <t>h</t>
  </si>
  <si>
    <t>M237</t>
  </si>
  <si>
    <t>rl</t>
  </si>
  <si>
    <t>M238</t>
  </si>
  <si>
    <t>CONCERTINA   DE  SEGURIDAD   DE  18" (incluye parales)</t>
  </si>
  <si>
    <t>M239</t>
  </si>
  <si>
    <t>CONCOLOR 1.5 BLANCO NACAR O SIMILAR</t>
  </si>
  <si>
    <t>M240</t>
  </si>
  <si>
    <t>CONCOLOR 1.5 ROJO NACAR O SIMILAR</t>
  </si>
  <si>
    <t>M241</t>
  </si>
  <si>
    <t>CONCRETO DE 2500 PSI</t>
  </si>
  <si>
    <t>CONCRETO DE 3000 PSI (Incluye bombeo)</t>
  </si>
  <si>
    <t>CONCRETO DE 3500 PSI (Incluye bombeo)</t>
  </si>
  <si>
    <t>M244</t>
  </si>
  <si>
    <t>CUBIERTA TERMOACUSTICA TRAPEZOIDAL A 360 LONG 2.44 M-AREA UTIL 1.656 M2</t>
  </si>
  <si>
    <t>M245</t>
  </si>
  <si>
    <t>CURVA PVC 1/2"</t>
  </si>
  <si>
    <t>EMULSION ASFALTICA 18KG - SIKA - (Cunete)</t>
  </si>
  <si>
    <t>M247</t>
  </si>
  <si>
    <t xml:space="preserve">EQUIPO DE TOPOGRAFIA </t>
  </si>
  <si>
    <t>M248</t>
  </si>
  <si>
    <t>ESTACA DE MADERA</t>
  </si>
  <si>
    <t>M249</t>
  </si>
  <si>
    <t xml:space="preserve">ESTUCO PLASTICO PARA EXTERIOR E INTERIOR </t>
  </si>
  <si>
    <t>M250</t>
  </si>
  <si>
    <t>FORMALETA PARA PLACAS AEREAS</t>
  </si>
  <si>
    <t>M251</t>
  </si>
  <si>
    <t>GAS</t>
  </si>
  <si>
    <t>M252</t>
  </si>
  <si>
    <t>ICOPOR RECUPERABLE PARA PLACA ALIGERADA</t>
  </si>
  <si>
    <t>M253</t>
  </si>
  <si>
    <t>INTERRUPTOR DOBLE</t>
  </si>
  <si>
    <t>M254</t>
  </si>
  <si>
    <t>KIT DE ASEO GENERAL</t>
  </si>
  <si>
    <t>M255</t>
  </si>
  <si>
    <t>LAMINA SUPERBOARD 1.20X2.44 8 MM.</t>
  </si>
  <si>
    <t>M256</t>
  </si>
  <si>
    <t>LAMPARA FLUORECENTE SLIM 2 x 48</t>
  </si>
  <si>
    <t>M257</t>
  </si>
  <si>
    <t>MANTO PIETRA PRO (Fiberglass)</t>
  </si>
  <si>
    <t>M258</t>
  </si>
  <si>
    <t>MASTIC TECPLACA</t>
  </si>
  <si>
    <t>cuñ</t>
  </si>
  <si>
    <t xml:space="preserve">MORTERO  1:3 </t>
  </si>
  <si>
    <t>M260</t>
  </si>
  <si>
    <t>MORTERO  1:3 IMPERMEABILIZADO</t>
  </si>
  <si>
    <t>MORTERO  1:4</t>
  </si>
  <si>
    <t>M262</t>
  </si>
  <si>
    <t>MORTERO  1:6</t>
  </si>
  <si>
    <t>M263</t>
  </si>
  <si>
    <t>PEGACOR BLANCO</t>
  </si>
  <si>
    <t>M264</t>
  </si>
  <si>
    <t>PEGANTE PARA TUBO PVC</t>
  </si>
  <si>
    <t>M266</t>
  </si>
  <si>
    <t>PERFIL VIGUETA GAL C26 2.44M</t>
  </si>
  <si>
    <t>M267</t>
  </si>
  <si>
    <t>PINTURA TIPO 1</t>
  </si>
  <si>
    <t>Gl</t>
  </si>
  <si>
    <t>M268</t>
  </si>
  <si>
    <t>PISO EN CERAMICA DURO PISO 33 x 33</t>
  </si>
  <si>
    <t>M269</t>
  </si>
  <si>
    <t>PUERTA EN LAMINA GALVANIZADA CAL.  18  - 1.00  x 2.10  mts.  INCLUYE ANTICORROSIVO   Y   PINTURA ESMALTE</t>
  </si>
  <si>
    <t>M270</t>
  </si>
  <si>
    <t>PUNTILLA CON CABEZA 2</t>
  </si>
  <si>
    <t>lb</t>
  </si>
  <si>
    <t>M271</t>
  </si>
  <si>
    <t>SEGUETA</t>
  </si>
  <si>
    <t>M272</t>
  </si>
  <si>
    <t>SOLDADURA ELECTRICA 6011X1/8</t>
  </si>
  <si>
    <t>M273</t>
  </si>
  <si>
    <t>SOLDADURA EXOTÉRMICA</t>
  </si>
  <si>
    <t>M274</t>
  </si>
  <si>
    <t>TABLA 1''X12"X3.00MT ALGARROBILLO</t>
  </si>
  <si>
    <t>TABLERO 8 CIRCUITOS BIFASICO</t>
  </si>
  <si>
    <t>TABLON</t>
  </si>
  <si>
    <t>M277</t>
  </si>
  <si>
    <t>TABLON DE GRES</t>
  </si>
  <si>
    <t>M278</t>
  </si>
  <si>
    <t>M279</t>
  </si>
  <si>
    <t>TORNILLO PUNTA DE BROCA 8x3/4" CAB PLANA</t>
  </si>
  <si>
    <t>TORNILLOS AUTOPERFORANTE 7/8</t>
  </si>
  <si>
    <t>M281</t>
  </si>
  <si>
    <t>TORNILLOS TPF 3/4</t>
  </si>
  <si>
    <t>M282</t>
  </si>
  <si>
    <t>TUBERIA CONDUIT 1/2" PVC TIPO PESADO</t>
  </si>
  <si>
    <t>M283</t>
  </si>
  <si>
    <t>TUBERIA CONDUIT 3/4" PVC TIPO PESADO</t>
  </si>
  <si>
    <t>M284</t>
  </si>
  <si>
    <t>TUBO pvc DE 1/2"</t>
  </si>
  <si>
    <t>M285</t>
  </si>
  <si>
    <t>VARILLA DE COBRE 5/8" 2,4M COPERWELD</t>
  </si>
  <si>
    <t>M286</t>
  </si>
  <si>
    <t>VENTANA EN ALUMINIO TIPO PERSIANA (CUERPO FIJO)</t>
  </si>
  <si>
    <t>M287</t>
  </si>
  <si>
    <t>VENTILADOR KDK</t>
  </si>
  <si>
    <t>M288</t>
  </si>
  <si>
    <t>VIBRADOR PARA CONCRETO</t>
  </si>
  <si>
    <t>M289</t>
  </si>
  <si>
    <t>M290</t>
  </si>
  <si>
    <t>VOLQUETA 6 M3</t>
  </si>
  <si>
    <t>vj</t>
  </si>
  <si>
    <t>M291</t>
  </si>
  <si>
    <t>SEPARADOES PLASTICOS</t>
  </si>
  <si>
    <t>BOLS</t>
  </si>
  <si>
    <t>M292</t>
  </si>
  <si>
    <t>Perfil pag 160 de 2.5 mm</t>
  </si>
  <si>
    <t>M293</t>
  </si>
  <si>
    <t>Conectores de fijacion-tornilleria</t>
  </si>
  <si>
    <t>M294</t>
  </si>
  <si>
    <t>Abrasivos</t>
  </si>
  <si>
    <t>Und</t>
  </si>
  <si>
    <t>M295</t>
  </si>
  <si>
    <t xml:space="preserve">Platina tipo mensula </t>
  </si>
  <si>
    <t>M296</t>
  </si>
  <si>
    <t>Tensores de 3/8" con rosca y tuerca</t>
  </si>
  <si>
    <t>M297</t>
  </si>
  <si>
    <t>Pernos de anclejae</t>
  </si>
  <si>
    <t>M298</t>
  </si>
  <si>
    <t>Epoxico anchor fix</t>
  </si>
  <si>
    <t>M299</t>
  </si>
  <si>
    <t xml:space="preserve">Caballete fijo 15 </t>
  </si>
  <si>
    <t>M300</t>
  </si>
  <si>
    <t>Teja Perfil 7 Gris #8 244x92cm</t>
  </si>
  <si>
    <t>M301</t>
  </si>
  <si>
    <t xml:space="preserve">Lamina </t>
  </si>
  <si>
    <t>M302</t>
  </si>
  <si>
    <t>M303</t>
  </si>
  <si>
    <t>Set de fijacion</t>
  </si>
  <si>
    <t>M304</t>
  </si>
  <si>
    <t>Copas</t>
  </si>
  <si>
    <t>M305</t>
  </si>
  <si>
    <t>Caballete upvc</t>
  </si>
  <si>
    <t>M306</t>
  </si>
  <si>
    <t>TABLERO BIFÁSICO 18 CTOS CON PUERTA Y ESPACIO PARA TOTALIZADOR</t>
  </si>
  <si>
    <t>BREAKER 1x20A</t>
  </si>
  <si>
    <t>M308</t>
  </si>
  <si>
    <t>TOTALIZADOR 3x125A 25KA</t>
  </si>
  <si>
    <t>M309</t>
  </si>
  <si>
    <t>Luminaria tipo Panel LED Luz Blanca 100-277V - 45W medida 59,5 x 59,5 cms</t>
  </si>
  <si>
    <t>M310</t>
  </si>
  <si>
    <t xml:space="preserve">ADAPTADOR TERMINAL EMT 3/4"     </t>
  </si>
  <si>
    <t>M311</t>
  </si>
  <si>
    <t>CAJA CUADRADA  EMT 3/4"  4X2" 3 SALIDAS</t>
  </si>
  <si>
    <t>M312</t>
  </si>
  <si>
    <t>CONECTOR TIPO RESORTE</t>
  </si>
  <si>
    <t>M313</t>
  </si>
  <si>
    <t>ACCESORIO DE ANCLAJE Y FIJACIÓN</t>
  </si>
  <si>
    <t>M314</t>
  </si>
  <si>
    <t>TOMACORRIENTE TIPO DOBLE PT. 220 VOLT.</t>
  </si>
  <si>
    <t>M315</t>
  </si>
  <si>
    <t>TOMACORRIENTE SENCILLO 15 AMP</t>
  </si>
  <si>
    <t>M316</t>
  </si>
  <si>
    <t>CAJA DE ALUMINIO RECTANGULAR 4x2 5 SALIDAS</t>
  </si>
  <si>
    <t>M317</t>
  </si>
  <si>
    <t>VENTILADOR DE TECHO 100W KDK</t>
  </si>
  <si>
    <t>M318</t>
  </si>
  <si>
    <t>ALAMBRE ENCAUCHEADO 3x14 AWG</t>
  </si>
  <si>
    <t>M319</t>
  </si>
  <si>
    <t>ALAMBRE ENCAUCHEADO 3x12 AWG</t>
  </si>
  <si>
    <t>M320</t>
  </si>
  <si>
    <t>ALAMBRE ENCAUCHEADO 3x10 AWG</t>
  </si>
  <si>
    <t>M321</t>
  </si>
  <si>
    <t>TERMINAL EMT 3/4"</t>
  </si>
  <si>
    <t>M322</t>
  </si>
  <si>
    <t>TERMINAL EMT 1/2"</t>
  </si>
  <si>
    <t>M323</t>
  </si>
  <si>
    <t>INTERRUPTOR SENCILLO PARA VENTILADOR</t>
  </si>
  <si>
    <t>M324</t>
  </si>
  <si>
    <t>CABLE ENCAUCHETADO 3/4"</t>
  </si>
  <si>
    <t>M325</t>
  </si>
  <si>
    <t>REGATA OBRA CIVIL</t>
  </si>
  <si>
    <t>M326</t>
  </si>
  <si>
    <t>RIEL CHANEL PERFORADO 2X4 CMS</t>
  </si>
  <si>
    <t>M327</t>
  </si>
  <si>
    <t>CAJA DE PASO 20X20X10</t>
  </si>
  <si>
    <t>M328</t>
  </si>
  <si>
    <t>M329</t>
  </si>
  <si>
    <t xml:space="preserve">INTERRUPTOR SENCILLO </t>
  </si>
  <si>
    <t>M330</t>
  </si>
  <si>
    <t>M331</t>
  </si>
  <si>
    <t>ESTUCO PLASTICO ACRILICO PARA INTERIOR Y EXTERIOR</t>
  </si>
  <si>
    <t>M332</t>
  </si>
  <si>
    <t>LAMINA SUPERBOARD 6MM 2.44X2.44 (FIBR LIBRE ASB)</t>
  </si>
  <si>
    <t>M333</t>
  </si>
  <si>
    <t>SUPERMASTICO x CUÑETE</t>
  </si>
  <si>
    <t>M334</t>
  </si>
  <si>
    <t>PERFIL ANG LAM ACERO GALV C. 26  L=2.44 M.</t>
  </si>
  <si>
    <t>M335</t>
  </si>
  <si>
    <t>PERFIL OMEGA 2.44</t>
  </si>
  <si>
    <t>M336</t>
  </si>
  <si>
    <t>PERFIL PARAL B-9 LAM ACE GALV C.26  L=2.44m</t>
  </si>
  <si>
    <t>M337</t>
  </si>
  <si>
    <t>VINILO TIPO 1</t>
  </si>
  <si>
    <t>M339</t>
  </si>
  <si>
    <t>BROCHA 4"</t>
  </si>
  <si>
    <t>M340</t>
  </si>
  <si>
    <t xml:space="preserve">RODILLO 9" </t>
  </si>
  <si>
    <t>M341</t>
  </si>
  <si>
    <t xml:space="preserve">CINTA AZUL PARA TRASADO </t>
  </si>
  <si>
    <t>M342</t>
  </si>
  <si>
    <t xml:space="preserve">Lamina de PVV - Horizontal, de 0,25x5,95 mts </t>
  </si>
  <si>
    <t>M343</t>
  </si>
  <si>
    <t>Angulo 3x3</t>
  </si>
  <si>
    <t>m</t>
  </si>
  <si>
    <t>M344</t>
  </si>
  <si>
    <t xml:space="preserve">Omega para parrilla cielo raso </t>
  </si>
  <si>
    <t xml:space="preserve">Vigueta 0,40 mm x 2,44 </t>
  </si>
  <si>
    <t>M346</t>
  </si>
  <si>
    <t>Moldura pvc esquina - terminales</t>
  </si>
  <si>
    <t>M347</t>
  </si>
  <si>
    <t>union en H x 5,90 mts</t>
  </si>
  <si>
    <t>M348</t>
  </si>
  <si>
    <t>Alfombra gramma sintetica 100 x 100 cm</t>
  </si>
  <si>
    <t>M349</t>
  </si>
  <si>
    <t>pegante para alfombra</t>
  </si>
  <si>
    <t>litro</t>
  </si>
  <si>
    <t>M350</t>
  </si>
  <si>
    <t>CORNIZA BLANCA x5,90 MTS</t>
  </si>
  <si>
    <t>M351</t>
  </si>
  <si>
    <t>Perfil C 160x600 X 2,5mm</t>
  </si>
  <si>
    <t>M352</t>
  </si>
  <si>
    <t>Sunchos plasticos bolsa x 100 Und</t>
  </si>
  <si>
    <t>M353</t>
  </si>
  <si>
    <t>aceite 3 en 1</t>
  </si>
  <si>
    <t>Pintura epoxica anticorresivo</t>
  </si>
  <si>
    <t>M355</t>
  </si>
  <si>
    <t>TABLON ROJO TIPO GREK</t>
  </si>
  <si>
    <t>PINTURA DE  ESMALTE</t>
  </si>
  <si>
    <t>M357</t>
  </si>
  <si>
    <t xml:space="preserve">VENTILADOR DE PARED </t>
  </si>
  <si>
    <t>M358</t>
  </si>
  <si>
    <t>Tablero Eléctrico Monofásico 8 Circuitos 75 A</t>
  </si>
  <si>
    <t>M359</t>
  </si>
  <si>
    <t>Breaker, 1 Polo, 32 A, 10 kA, 127-230 V AC</t>
  </si>
  <si>
    <t>M360</t>
  </si>
  <si>
    <t>Panel Led 18w Redondo Incrustada 8 6500k</t>
  </si>
  <si>
    <t>M361</t>
  </si>
  <si>
    <t>M362</t>
  </si>
  <si>
    <t>CAJA DE PASO EXAGONAL</t>
  </si>
  <si>
    <t>M363</t>
  </si>
  <si>
    <t>CURVA CONDUIT 3/4"</t>
  </si>
  <si>
    <t>PEGANTE PVC</t>
  </si>
  <si>
    <t>GLOBAL</t>
  </si>
  <si>
    <t>M365</t>
  </si>
  <si>
    <t>M366</t>
  </si>
  <si>
    <t>M367</t>
  </si>
  <si>
    <t xml:space="preserve">CONECTORES </t>
  </si>
  <si>
    <t>M368</t>
  </si>
  <si>
    <t>CURVA CONDUIT 1/2"</t>
  </si>
  <si>
    <t>M369</t>
  </si>
  <si>
    <t>TUBERIA EMT  3/4"</t>
  </si>
  <si>
    <t>M370</t>
  </si>
  <si>
    <t>M371</t>
  </si>
  <si>
    <t>CURVA EMT 3/4"</t>
  </si>
  <si>
    <t>M372</t>
  </si>
  <si>
    <t>TUBERIA EMT  1/2"</t>
  </si>
  <si>
    <t>M373</t>
  </si>
  <si>
    <t>CURVA EMT 1/2"</t>
  </si>
  <si>
    <t>M374</t>
  </si>
  <si>
    <t>Malla H: 2,00mts -  metal huecos 2.1/4x2.1/4 2,77mm eslabonada proalco</t>
  </si>
  <si>
    <t>M375</t>
  </si>
  <si>
    <t>GRAPA PARA CERCA</t>
  </si>
  <si>
    <t>M376</t>
  </si>
  <si>
    <t>SOLDADURA 60-11 GRUESA</t>
  </si>
  <si>
    <t>M377</t>
  </si>
  <si>
    <t>DESPERDICIO</t>
  </si>
  <si>
    <t>%</t>
  </si>
  <si>
    <t>M378</t>
  </si>
  <si>
    <t>TUBO REDONDO DE 1" 1/2"</t>
  </si>
  <si>
    <t>M379</t>
  </si>
  <si>
    <t>BLOQUE ABUZARDADO VIBRADO 0,15</t>
  </si>
  <si>
    <t>M380</t>
  </si>
  <si>
    <t>M381</t>
  </si>
  <si>
    <t>M382</t>
  </si>
  <si>
    <t>M383</t>
  </si>
  <si>
    <t>M384</t>
  </si>
  <si>
    <t>M385</t>
  </si>
  <si>
    <t>M386</t>
  </si>
  <si>
    <t>M387</t>
  </si>
  <si>
    <t>M388</t>
  </si>
  <si>
    <t>M389</t>
  </si>
  <si>
    <t>TUBO PVC 3/4"</t>
  </si>
  <si>
    <t>M390</t>
  </si>
  <si>
    <t>UNION PVC 3/4"</t>
  </si>
  <si>
    <t>M391</t>
  </si>
  <si>
    <t>SOLDADURA PVC</t>
  </si>
  <si>
    <t>GALON</t>
  </si>
  <si>
    <t>M392</t>
  </si>
  <si>
    <t>LIMPIADOR</t>
  </si>
  <si>
    <t>M393</t>
  </si>
  <si>
    <t>UNIVERSAL PVC 3/4"</t>
  </si>
  <si>
    <t>M394</t>
  </si>
  <si>
    <t>VALVULA - REGISTRO 3/4"</t>
  </si>
  <si>
    <t>M396</t>
  </si>
  <si>
    <t>ADAPTADOR MACHO 3/4</t>
  </si>
  <si>
    <t>M397</t>
  </si>
  <si>
    <t>TUBERIA PVC 2"</t>
  </si>
  <si>
    <t>M398</t>
  </si>
  <si>
    <t>UNION PVC 2"</t>
  </si>
  <si>
    <t>M399</t>
  </si>
  <si>
    <t>SIFON 2"</t>
  </si>
  <si>
    <t>M400</t>
  </si>
  <si>
    <t>LAVAPLATOS</t>
  </si>
  <si>
    <t>Limpiador Final de Obra Corona 4000 ml</t>
  </si>
  <si>
    <t>M402</t>
  </si>
  <si>
    <t>ESCOBA INDUSTRIAL</t>
  </si>
  <si>
    <t>M403</t>
  </si>
  <si>
    <t>Sella zinc  Paternit</t>
  </si>
  <si>
    <t>M404</t>
  </si>
  <si>
    <t xml:space="preserve">perfil metalico rectangular 2x4 </t>
  </si>
  <si>
    <t>LADRILLO ROJO COMÚN  20 x 10 x 6 cm</t>
  </si>
  <si>
    <t>M406</t>
  </si>
  <si>
    <t>Gancho de amarre lamina eternir 1/4</t>
  </si>
  <si>
    <t>M407</t>
  </si>
  <si>
    <t>Arena mambo - lavada</t>
  </si>
  <si>
    <t>M408</t>
  </si>
  <si>
    <t>ELECTRICO</t>
  </si>
  <si>
    <t>M409</t>
  </si>
  <si>
    <t>ALAMBRE # 6</t>
  </si>
  <si>
    <t>M410</t>
  </si>
  <si>
    <t>ALAMBRE # 8</t>
  </si>
  <si>
    <t>M411</t>
  </si>
  <si>
    <t>ALAMBRE # 10</t>
  </si>
  <si>
    <t>M412</t>
  </si>
  <si>
    <t>ALAMBRE # 12</t>
  </si>
  <si>
    <t>M413</t>
  </si>
  <si>
    <t>ALAMBRE # 14</t>
  </si>
  <si>
    <t>M414</t>
  </si>
  <si>
    <t>Vinilo tipo 2 blanco para losa maciza</t>
  </si>
  <si>
    <t>M415</t>
  </si>
  <si>
    <t>MANOPLAST</t>
  </si>
  <si>
    <t>M416</t>
  </si>
  <si>
    <t xml:space="preserve">PINTURA 3 EN 1 </t>
  </si>
  <si>
    <t>M417</t>
  </si>
  <si>
    <t>GRATA TRENZADA COPA 4"</t>
  </si>
  <si>
    <t>DISOLVENTE PARA PINTURA ESMALTE</t>
  </si>
  <si>
    <t>M419</t>
  </si>
  <si>
    <t>TUBERIA EMT 1"</t>
  </si>
  <si>
    <t>M420</t>
  </si>
  <si>
    <t xml:space="preserve">ALAMBRE #2 </t>
  </si>
  <si>
    <t>MATERIAL DE CANTERA CALICHE</t>
  </si>
  <si>
    <t>MALLA ELECTROSOLDADA 6M SEPARACION .15*.15</t>
  </si>
  <si>
    <t>FORMALETA DE ALUMINIO</t>
  </si>
  <si>
    <t>SEPARADORES MALLA 15mm</t>
  </si>
  <si>
    <t>DESMOLDANTE - CUBETA 19 LT.</t>
  </si>
  <si>
    <t>M426</t>
  </si>
  <si>
    <t xml:space="preserve">DUCTOLON </t>
  </si>
  <si>
    <t>M428</t>
  </si>
  <si>
    <t>GROUTING 2500</t>
  </si>
  <si>
    <t>M429</t>
  </si>
  <si>
    <t xml:space="preserve">POLVO ROJO MINERAL </t>
  </si>
  <si>
    <t>BOLSA</t>
  </si>
  <si>
    <t>PORCELANATO BEIGE 60*60</t>
  </si>
  <si>
    <t>M431</t>
  </si>
  <si>
    <t>PISO CATALONIA BLANCO 33,8*33,8</t>
  </si>
  <si>
    <t>Pegante Karson Porcelanico Gris 20 Kg</t>
  </si>
  <si>
    <t xml:space="preserve">CERAMICA MUNARI BLANCO </t>
  </si>
  <si>
    <t>M434</t>
  </si>
  <si>
    <t>ENCHAPE KENIA BEIGE 25*40</t>
  </si>
  <si>
    <t>CERAMICA DE 20*20</t>
  </si>
  <si>
    <t>REJILLA DE ACERO INOXIDABLE</t>
  </si>
  <si>
    <t xml:space="preserve">CAJILLA DE 1 MEDIDOR DE AGUA NORMA/ACUEDUCTO </t>
  </si>
  <si>
    <t>GOTERO PARA BORDE DE TECHO 10 x 11 mm Blanco x 2,44 Mts</t>
  </si>
  <si>
    <t>Caja Para 1 Medidor De Gas Con Rejilla Punzonada</t>
  </si>
  <si>
    <t xml:space="preserve">PIRLAN DE ALUMINIO X3M </t>
  </si>
  <si>
    <t>PASANTE DE DESAGUE 4"</t>
  </si>
  <si>
    <t xml:space="preserve">REJILLAS SIFON </t>
  </si>
  <si>
    <t>TAPA MANHOLE</t>
  </si>
  <si>
    <t>ESTRIBO DE 1/4"</t>
  </si>
  <si>
    <t>MEDIA CAÑA PLASTICA X 3M</t>
  </si>
  <si>
    <t xml:space="preserve">SALIDA DE TOMAS DOBLES PT. 120VOLT. CON CABLE DE COBRE THWN 600V #12, TUBERIA PVC TIPOA </t>
  </si>
  <si>
    <t xml:space="preserve">SALIDA DE TOMAS DOBLES PT. 220VOLT. CON CABLE DE COBRE THWN 600V #12, TUBERIA PVC TIPOA </t>
  </si>
  <si>
    <t>FLANCHE ACERO GALVANIZADO 25*240M</t>
  </si>
  <si>
    <t>TAPA DE CONCRETO DUCTOS</t>
  </si>
  <si>
    <t>M450</t>
  </si>
  <si>
    <t>MANTO ASFÁLTICO IMPERMEABILIZANTE 3 MM X10M</t>
  </si>
  <si>
    <t xml:space="preserve">GRANIPLAST </t>
  </si>
  <si>
    <t xml:space="preserve">CINTA DE PAPEL 75METROS </t>
  </si>
  <si>
    <t>VINILO BLANCO PARA DRYWALL GALON</t>
  </si>
  <si>
    <t xml:space="preserve">GALÓN </t>
  </si>
  <si>
    <t>ESMALTE CONTRA ÓXIDO 1GALON</t>
  </si>
  <si>
    <t>Lámina Alveolar 6mm 2.95X1.05mt Cristal</t>
  </si>
  <si>
    <t>Perfil C Gr50 100 x 50 x 1.5mm x 6m Negro</t>
  </si>
  <si>
    <t>Combo Laguna : Sanitario 4.8 litros Laguna + Lavamanos sin Pedestal Milano + Grifería Tamara + Accesorios Astro</t>
  </si>
  <si>
    <t>ACOFLEX SANITARIO 1/2"</t>
  </si>
  <si>
    <t>ESPEJO INCOLORO 3mm 40 x 30 cm</t>
  </si>
  <si>
    <t>Grifería para Ducha Sencilla Sevilla Cromo</t>
  </si>
  <si>
    <t>Sellante Para Baños y Cocinas Blanco</t>
  </si>
  <si>
    <t>Grifería para Lavaplatos Sencilla Sevilla Cromo</t>
  </si>
  <si>
    <t>Mesón Radiante Liso 100x52 cm con Poceta Derecha Acero Inoxidable</t>
  </si>
  <si>
    <t>M465</t>
  </si>
  <si>
    <t xml:space="preserve">Llave metalica Jrd Corr 1/2p </t>
  </si>
  <si>
    <t>Lavadero de granito</t>
  </si>
  <si>
    <t>Rejilla 25 x 25 ventilación gas persiana</t>
  </si>
  <si>
    <t>Tee de aluminio blanca 3 metros 18 x 23 mm</t>
  </si>
  <si>
    <t xml:space="preserve">Lamina de zinc de segunda para cerramiento </t>
  </si>
  <si>
    <t>M470</t>
  </si>
  <si>
    <t>Cerramiento Ondulado Aluzinc 3x0.80m 0.13mm</t>
  </si>
  <si>
    <t>Rejilla para punto fijo</t>
  </si>
  <si>
    <t>REJAS DE CERRAMIENTO EN ALUMINIO 1*1</t>
  </si>
  <si>
    <t>M473</t>
  </si>
  <si>
    <t>Rejilla 3,1/2 aluminio plana</t>
  </si>
  <si>
    <t xml:space="preserve">Piso Cerámica Solado Beige 45.8x45.8 cm </t>
  </si>
  <si>
    <t>Pared Cerámica Atenas Marfil 24.5x50 cm</t>
  </si>
  <si>
    <t>PUERTA VENTANA EN ALUMINIO Y VIDRIO 2,00*2,40</t>
  </si>
  <si>
    <t>VENTANA CORREDIZA EN ALUMINIO Y VIDRIO 1,20*1,50</t>
  </si>
  <si>
    <t>VENTANA CORREDIZA EN ALUMINIO Y VIDRIO 0,70*0,40</t>
  </si>
  <si>
    <t>VENTANA CORREDIZA EN ALUMINIO Y VIDRIO 0,50*0,40</t>
  </si>
  <si>
    <t>VENTANA CORREDIZA EN ALUMINIO Y VIDRIO 0,43*0,40</t>
  </si>
  <si>
    <t>P2</t>
  </si>
  <si>
    <t>P3</t>
  </si>
  <si>
    <t>P4</t>
  </si>
  <si>
    <t>P5</t>
  </si>
  <si>
    <t>P6</t>
  </si>
  <si>
    <t>PUERTA DOBLE EN ALUMINIO 3*1*1/2  Y VIDRIO TEMPLADO 8mm MEDIDAS 1,80*2,40</t>
  </si>
  <si>
    <t xml:space="preserve">LLAVE DE AGUA DE PLASTICO </t>
  </si>
  <si>
    <t>M477</t>
  </si>
  <si>
    <t>MUEBLE SUPERIOR COCINA 1,80 BARI</t>
  </si>
  <si>
    <t>M478</t>
  </si>
  <si>
    <t>MUEBLE INFERIOR COCINA 1,80 BARI</t>
  </si>
  <si>
    <t>M479</t>
  </si>
  <si>
    <t>Closet Bigaf 5 Puertas 2 Cajones 204x200.1x50.3cm Wengue</t>
  </si>
  <si>
    <t>M480</t>
  </si>
  <si>
    <t xml:space="preserve">Cant </t>
  </si>
  <si>
    <t>CANT.</t>
  </si>
  <si>
    <t>M481</t>
  </si>
  <si>
    <t xml:space="preserve">ARENA CANTERA </t>
  </si>
  <si>
    <t xml:space="preserve">Mezcladora </t>
  </si>
  <si>
    <t>CANT</t>
  </si>
  <si>
    <t>SIKA 1 (60kg)</t>
  </si>
  <si>
    <t>Cant.</t>
  </si>
  <si>
    <t>M482</t>
  </si>
  <si>
    <t xml:space="preserve">REGLA DE ALUMINIO </t>
  </si>
  <si>
    <t xml:space="preserve">GAL </t>
  </si>
  <si>
    <t>LITROS</t>
  </si>
  <si>
    <t xml:space="preserve">PRESTACIONES </t>
  </si>
  <si>
    <t xml:space="preserve">SALARIO DIARIO </t>
  </si>
  <si>
    <t>TOTAL HORA VALOR</t>
  </si>
  <si>
    <t>Hora Maestro de obra</t>
  </si>
  <si>
    <t>Hora</t>
  </si>
  <si>
    <t>Hora Topografo</t>
  </si>
  <si>
    <t>Salario Hora Oficial</t>
  </si>
  <si>
    <t>Salario Hora Ayudante</t>
  </si>
  <si>
    <t>Cuadrilla de construccion 1(1 oficial+ 1 ayudante)</t>
  </si>
  <si>
    <t xml:space="preserve"> Cuadrilla de construccion 2 (1 oficial+ 2 ayudante)</t>
  </si>
  <si>
    <t>Cuadrilla de construccion 3 (1 oficial+ 3 ayudante)</t>
  </si>
  <si>
    <t>Cuadrilla de construccion 4 (1 oficial+ 4 ayudante)</t>
  </si>
  <si>
    <t>Cuadrilla de construccion 5 (1 oficial+ 5 ayudante)</t>
  </si>
  <si>
    <t>Cuadrilla de construccion 6 (1 oficial+ 6 ayudante)</t>
  </si>
  <si>
    <t>Cuadrilla AA Albañileria (1 oficial + 1 ayudante)</t>
  </si>
  <si>
    <t xml:space="preserve"> Cuadrilla BB Instalaciones (1 oficial+ 1 ayudante)</t>
  </si>
  <si>
    <t>Cuadrilla CC Acabados (1 oficial + 1 ayudante)</t>
  </si>
  <si>
    <t xml:space="preserve"> Cuadrilla DD Carpinteria (1 oficial+ 1 ayudante)</t>
  </si>
  <si>
    <t>Cuadrilla Formaleteria (1 oficial + 2 ayudantes)</t>
  </si>
  <si>
    <t xml:space="preserve"> Cuadrilla EE Electrico (1 oficial+ 1 ayudante)</t>
  </si>
  <si>
    <t>Cuadrilla Aseo (1 oficial + 1 ayudante)</t>
  </si>
  <si>
    <t>Cadenero 1</t>
  </si>
  <si>
    <t>Dia</t>
  </si>
  <si>
    <t>Cadenero 2</t>
  </si>
  <si>
    <t>Electricista</t>
  </si>
  <si>
    <t>Ayudante Electrico</t>
  </si>
  <si>
    <t>Soldador</t>
  </si>
  <si>
    <t>Comisión de Topografia</t>
  </si>
  <si>
    <t xml:space="preserve">SALARIO MENSUAL </t>
  </si>
  <si>
    <t>SALARIO HH</t>
  </si>
  <si>
    <t xml:space="preserve">SAL. DIARIO + PRESTACIONES </t>
  </si>
  <si>
    <t>EQ70</t>
  </si>
  <si>
    <t xml:space="preserve">MARTILLO DEMOLEDOR </t>
  </si>
  <si>
    <t>m3/km</t>
  </si>
  <si>
    <t xml:space="preserve">Pluma grua </t>
  </si>
  <si>
    <t>EQ71</t>
  </si>
  <si>
    <t xml:space="preserve">CEMENTO GRIS 50KG + DESCARGUE </t>
  </si>
  <si>
    <t xml:space="preserve">CAMION TRANSPORTE CEMENTO </t>
  </si>
  <si>
    <t>EQ72</t>
  </si>
  <si>
    <t xml:space="preserve">FORMALETA </t>
  </si>
  <si>
    <t>EQ73</t>
  </si>
  <si>
    <t>EQ74</t>
  </si>
  <si>
    <t>TARIFA/UND</t>
  </si>
  <si>
    <t xml:space="preserve">TRANSPORTE BLOQUE +DESCARGUE </t>
  </si>
  <si>
    <t>TRASNPORTE LADRILLO +DESCARGUE</t>
  </si>
  <si>
    <t>EQ75</t>
  </si>
  <si>
    <t>TARIFA</t>
  </si>
  <si>
    <t>M483</t>
  </si>
  <si>
    <t xml:space="preserve">Mortero de reparacio sikatop-122 25kg </t>
  </si>
  <si>
    <t>M484</t>
  </si>
  <si>
    <t>CERAMICA 60X60</t>
  </si>
  <si>
    <t xml:space="preserve">TRASNPORTE CERAMICA </t>
  </si>
  <si>
    <t>EQ76</t>
  </si>
  <si>
    <t>M485</t>
  </si>
  <si>
    <t xml:space="preserve">BOQUILLA PARA CERAMICA </t>
  </si>
  <si>
    <t>EQ77</t>
  </si>
  <si>
    <t xml:space="preserve">CORTADORA MANUAL CERAMICA </t>
  </si>
  <si>
    <t xml:space="preserve">EQ78 </t>
  </si>
  <si>
    <t xml:space="preserve">PULIDORA 4.5" </t>
  </si>
  <si>
    <t xml:space="preserve">KG </t>
  </si>
  <si>
    <t>M486</t>
  </si>
  <si>
    <t>M487</t>
  </si>
  <si>
    <t>PINTURA PARA EXTERIORES  KORAZA</t>
  </si>
  <si>
    <t>M488</t>
  </si>
  <si>
    <t>M489</t>
  </si>
  <si>
    <t xml:space="preserve">CERRADURA LLAVE/SEGURO MANIJA </t>
  </si>
  <si>
    <t xml:space="preserve">Cerradura llave/llave </t>
  </si>
  <si>
    <t xml:space="preserve">und </t>
  </si>
  <si>
    <t>M490</t>
  </si>
  <si>
    <t xml:space="preserve">SISTEMA PUSH IMAN BISAGRA </t>
  </si>
  <si>
    <t>M491</t>
  </si>
  <si>
    <t>M492</t>
  </si>
  <si>
    <t>PANEL PVC DECORATIVO  16X240X2.2</t>
  </si>
  <si>
    <t xml:space="preserve">LAMINA DE DRYWALL 2,44*1,22M </t>
  </si>
  <si>
    <t xml:space="preserve">PROVEEDOR </t>
  </si>
  <si>
    <t>PERFIL ANGULO 2.44</t>
  </si>
  <si>
    <t>Clavo fijador 1"</t>
  </si>
  <si>
    <t xml:space="preserve">tornillo 7/16 ensamble estructura </t>
  </si>
  <si>
    <t>M493</t>
  </si>
  <si>
    <t>M494</t>
  </si>
  <si>
    <t>Masilla para DRYWALl</t>
  </si>
  <si>
    <t xml:space="preserve">kg </t>
  </si>
  <si>
    <t>M496</t>
  </si>
  <si>
    <t>M495</t>
  </si>
  <si>
    <t xml:space="preserve">Pintura acrilica base agua tipo 1 </t>
  </si>
  <si>
    <t xml:space="preserve">gl </t>
  </si>
  <si>
    <t>LIJA DE AGUA #180</t>
  </si>
  <si>
    <t>TOMACORRIENTE DOBLE PT. 127VOLT.</t>
  </si>
  <si>
    <t xml:space="preserve">Cable eléctrico de cobre aislado THHN No. 12 AWG </t>
  </si>
  <si>
    <t xml:space="preserve">m </t>
  </si>
  <si>
    <t>Cable eléctrico de cobre aislado THHN No. 14 AWG (TIERRA)</t>
  </si>
  <si>
    <t>M497</t>
  </si>
  <si>
    <t>CAJA RECTANGULAR 4x2</t>
  </si>
  <si>
    <t>TUBERIA PVC SCH 40 1/2</t>
  </si>
  <si>
    <t>M498</t>
  </si>
  <si>
    <t>ACCESORIO PVC 3/4</t>
  </si>
  <si>
    <t>M499</t>
  </si>
  <si>
    <t>M500</t>
  </si>
  <si>
    <t xml:space="preserve">CABLE N10 AWG </t>
  </si>
  <si>
    <t xml:space="preserve">ML </t>
  </si>
  <si>
    <t>M501</t>
  </si>
  <si>
    <t xml:space="preserve">VIAJE </t>
  </si>
  <si>
    <t>M502</t>
  </si>
  <si>
    <t>LUM PANEL LED CIRCULAR 18W</t>
  </si>
  <si>
    <t>M504</t>
  </si>
  <si>
    <t>M503</t>
  </si>
  <si>
    <t xml:space="preserve">Consumible de fijacion </t>
  </si>
  <si>
    <t>glb</t>
  </si>
  <si>
    <t>M505</t>
  </si>
  <si>
    <t>CINTA AISLANTE X20MT</t>
  </si>
  <si>
    <t>M506</t>
  </si>
  <si>
    <t xml:space="preserve">ACCESORIOS DE FIJACION </t>
  </si>
  <si>
    <t>Accesorio pvc sch 40 1/2</t>
  </si>
  <si>
    <t>Accesorios emt 1/2</t>
  </si>
  <si>
    <t xml:space="preserve">CAJA 4X4 GALVANIZADA </t>
  </si>
  <si>
    <t>TUBERIA PVC SCH 40  3/4"</t>
  </si>
  <si>
    <t>Accesorio pvc sch 40 3/4</t>
  </si>
  <si>
    <t>M507</t>
  </si>
  <si>
    <t>M508</t>
  </si>
  <si>
    <t xml:space="preserve">CABLE ENCAUCHETADO 3X14AWG </t>
  </si>
  <si>
    <t>M509</t>
  </si>
  <si>
    <t xml:space="preserve">PRENSO ESTOPA </t>
  </si>
  <si>
    <t>M510</t>
  </si>
  <si>
    <t>TABLERO SQUARE D, 12 CIRCUITOS, TRIFASICO</t>
  </si>
  <si>
    <t>M511</t>
  </si>
  <si>
    <t xml:space="preserve">SUMPLEMENTO PVC 4X4 A 4X2 </t>
  </si>
  <si>
    <t>EQ79</t>
  </si>
  <si>
    <t>Parlante para montaje en cielo raso, con transformadores de baja saturación y baja pérdida de 70/100 V y bypass de 16</t>
  </si>
  <si>
    <t>M512</t>
  </si>
  <si>
    <t>M513</t>
  </si>
  <si>
    <t xml:space="preserve">CONSUMIBLES </t>
  </si>
  <si>
    <t>M514</t>
  </si>
  <si>
    <t>TUBERIA IMC DE 3/4</t>
  </si>
  <si>
    <t>M515</t>
  </si>
  <si>
    <t>CURVA IMC DE 3/4</t>
  </si>
  <si>
    <t>M516</t>
  </si>
  <si>
    <t>UNION IMC 3/4</t>
  </si>
  <si>
    <t>M517</t>
  </si>
  <si>
    <t>CONECTOR IMC de 3/4"</t>
  </si>
  <si>
    <t>M518</t>
  </si>
  <si>
    <t xml:space="preserve">CAJA 4X4 EMT RAWELT CON TAPA </t>
  </si>
  <si>
    <t xml:space="preserve">UD </t>
  </si>
  <si>
    <t>M519</t>
  </si>
  <si>
    <t>PERNO MULTIUSOS 3/8</t>
  </si>
  <si>
    <t>VARILLA ROSCADA 3/8 X 1M</t>
  </si>
  <si>
    <t>M520</t>
  </si>
  <si>
    <t>M521</t>
  </si>
  <si>
    <t>GRAPA TIPO CHANNEL PARA TUBO DE 3/4" COMPLETA CON TORNILLO Y TUERCA</t>
  </si>
  <si>
    <t>M522</t>
  </si>
  <si>
    <t>RIEL CHANNEL RANURADO</t>
  </si>
  <si>
    <t>M523</t>
  </si>
  <si>
    <t>TUERCA Y ARANDELA PARA VARILLA 3/8</t>
  </si>
  <si>
    <t>M524</t>
  </si>
  <si>
    <t>MARCACIÓN DE TUBERÍA CON PAPEL CONTACT DE COLOR SISTEMA</t>
  </si>
  <si>
    <t>M525</t>
  </si>
  <si>
    <t xml:space="preserve">MONITOR INTERACTIVO DE 86 CON CAMARA </t>
  </si>
  <si>
    <t>M526</t>
  </si>
  <si>
    <t>Mesa Gora de 75x75cm con superficie en formica compacta para exteriores.</t>
  </si>
  <si>
    <t>M527</t>
  </si>
  <si>
    <t>Silla My Way</t>
  </si>
  <si>
    <t>M528</t>
  </si>
  <si>
    <t xml:space="preserve">SOFA MODULARES </t>
  </si>
  <si>
    <t>M529</t>
  </si>
  <si>
    <t xml:space="preserve">SILLA COMEDOR </t>
  </si>
  <si>
    <t>M530</t>
  </si>
  <si>
    <t xml:space="preserve">MASETAS MOVIBLES </t>
  </si>
  <si>
    <t>M531</t>
  </si>
  <si>
    <t>TARIMA MODULAR 2X1M</t>
  </si>
  <si>
    <t>SUMINISTRO E INSTALACION DE SALIDA ELECTRICA ILUMINACION 120VAC</t>
  </si>
  <si>
    <t>Black out electricos incluye punto electrico</t>
  </si>
  <si>
    <t>M532</t>
  </si>
  <si>
    <t>Placa aislante lana mineral rigida 0.61x1.22</t>
  </si>
  <si>
    <t>M533</t>
  </si>
  <si>
    <t xml:space="preserve">Cinta malla fibra de vidrio 90mtx50mm </t>
  </si>
  <si>
    <t>M534</t>
  </si>
  <si>
    <t>Panel de espuma de poliuretano  50x50</t>
  </si>
  <si>
    <t>gl</t>
  </si>
  <si>
    <t xml:space="preserve">  13.1  -  EQUIPOS DE AIRE ACONDICIONADO</t>
  </si>
  <si>
    <t>Suministro e instalacion de unidad interior piso-techo inverter, Capacidad 36,000 BTU/h (3 TR). Refrigerante R-410A o R-32. Tension 220V monofasico 60 Hz. Control remoto. Proteccion anticorrosion marina. Garantia minima 1 ano.</t>
  </si>
  <si>
    <t>RECURSO / DESCRIPCION</t>
  </si>
  <si>
    <t>PRECIO-UNIT</t>
  </si>
  <si>
    <t>VR. UNITARIO</t>
  </si>
  <si>
    <t xml:space="preserve">Herramientas menores </t>
  </si>
  <si>
    <t>Unidad interior piso-techo inverter 36.000 BTU</t>
  </si>
  <si>
    <t xml:space="preserve">hh </t>
  </si>
  <si>
    <t>Mano de obra instalacion equipo</t>
  </si>
  <si>
    <t>Materiales menores (tornilleria, cinta, espuma)</t>
  </si>
  <si>
    <t>PRECIO UNITARIO  (un)</t>
  </si>
  <si>
    <t xml:space="preserve">Termostato para control de gestión 6 unidades interiores. Display digital con programación horaria, modo y temperatura. 			</t>
  </si>
  <si>
    <t>Panel de control centralizado 6 zonas</t>
  </si>
  <si>
    <t>Cableado de senal (cable UTP Cat5e)</t>
  </si>
  <si>
    <t>Mano de obra instalacion y programacion</t>
  </si>
  <si>
    <t>Materiales menores</t>
  </si>
  <si>
    <t>Suministro e instalacion de tuberia de cobre tipo ACR recocida, diametro 3/8" (9.5 mm). Pre-aislada con espuma elastomerica.</t>
  </si>
  <si>
    <t>Tuberia cobre ACR 3/8" pre-aislada</t>
  </si>
  <si>
    <t>Accesorios (codos, uniones) proporcional</t>
  </si>
  <si>
    <t>hh</t>
  </si>
  <si>
    <t>PRECIO UNITARIO  (ml)</t>
  </si>
  <si>
    <t>Suministro e instalacion de tuberia de cobre tipo ACR recocida, diametro 5/8" (15.9 mm). Pre-aislada o con aislamiento armaflex 3/4" adicional.</t>
  </si>
  <si>
    <t>Tuberia cobre ACR 5/8" pre-aislada</t>
  </si>
  <si>
    <t>Accesorios (codos,uniones) 5/8</t>
  </si>
  <si>
    <t>Suministro e instalacion de aislamiento de espuma elastomerica tipo Armaflex, espesor minimo 3/4" (19 mm). Para linea de gas/succion. Incluye adhesivo.</t>
  </si>
  <si>
    <t>Armaflex tubo 3/4" espesor 19 mm</t>
  </si>
  <si>
    <t>Adhesivo de contacto</t>
  </si>
  <si>
    <t>Suministro e instalacion de canaleta de PVC tipo decorativa, seccion 60x40 mm con tapa. Color blanco. Incluye accesorios (esquinas, uniones, tapas).</t>
  </si>
  <si>
    <t>Canaleta PVC 60x40 mm con tapa</t>
  </si>
  <si>
    <t>Accesorios (esquinas, uniones) proporcional</t>
  </si>
  <si>
    <t>Suministro e instalacion de valvula de servicio tipo globo bivalva para linea de liquido y gas. Compatible con R-410A. Un conjunto por unidad interior.</t>
  </si>
  <si>
    <t>Valvula globo bivalva linea liquido</t>
  </si>
  <si>
    <t>Valvula globo bivalva linea gas</t>
  </si>
  <si>
    <t>Mano de obra instalacion y prueba</t>
  </si>
  <si>
    <t>Suministro e instalacion de puerto de carga y verificacion de presion tipo Schrader. Uno por circuito frigorific.</t>
  </si>
  <si>
    <t>Valvula Schrader tipo A/C</t>
  </si>
  <si>
    <t>Kit de accesorios de cobre para lineas de refrigerante: codos 45 y 90, uniones rectas, adaptadores. Incluye material de soldadura y flux.</t>
  </si>
  <si>
    <t>Codos de cobre 45 y 90 varios diametros</t>
  </si>
  <si>
    <t>Uniones y adaptadores de cobre</t>
  </si>
  <si>
    <t>Soldadura estano-plata y flux</t>
  </si>
  <si>
    <t>Mano de obra soldadura y conexion</t>
  </si>
  <si>
    <t>PRECIO UNITARIO  (gl)</t>
  </si>
  <si>
    <t>Suministro e instalacion de abrazadera metalica galvanizada tipo isofonica para fijacion de tuberias a techo. Cada 1.5 m maximo. Incluye tornilleria.</t>
  </si>
  <si>
    <t>Abrazadera isofonica galvanizada</t>
  </si>
  <si>
    <t>Tornillo de anclaje + taco fisher</t>
  </si>
  <si>
    <t>Suministro e instalacion de Tubería PVC  3/4 . Para drenaje individual de cada unidad interior hacia colector. Pendiente mínima 1%.</t>
  </si>
  <si>
    <t>Tuberia PVC 3/4"</t>
  </si>
  <si>
    <t>Accesorios PVC proporcional</t>
  </si>
  <si>
    <t>Suministro e instalacion de Tubería PVC 1". Para colector principal de condensado. Pendiente mínima 1%.</t>
  </si>
  <si>
    <t>Tuberia PVC  1"</t>
  </si>
  <si>
    <t>Suministro e instalacion de tubería PVC 1 1/2". Para bajante final de descarga al desagüe. Incluye conexión a red sanitaria existente.</t>
  </si>
  <si>
    <t>Tuberia PVC sanitaria 1 1/2"</t>
  </si>
  <si>
    <t>Accesorios y conexion a red existente</t>
  </si>
  <si>
    <t>Suministro e instalacion de codos de PVC 90 y 45, diametro 3/4". Para cambios de direccion en red de drenaje.</t>
  </si>
  <si>
    <t>Codo PVC 90 3/4"</t>
  </si>
  <si>
    <t>Codo PVC 45 3/4"</t>
  </si>
  <si>
    <t xml:space="preserve">Pegante PVC </t>
  </si>
  <si>
    <t>Suministro e instalacion de accesorios PVC  para colector y bajante: codos, uniones, adaptadores, tapones de limpieza.</t>
  </si>
  <si>
    <t>Codos PVC 1" y 1 1/2" (varios angulos)</t>
  </si>
  <si>
    <t>Uniones y adaptadores PVC</t>
  </si>
  <si>
    <t>Tapones de limpieza PVC</t>
  </si>
  <si>
    <t>Pegante PVC</t>
  </si>
  <si>
    <t>Suministro e instalacion de tablero metalico de distribucion 12 circuitos con puerta y cerradura. Main breaker 100A trifasico incluido. Certificado RETIE.</t>
  </si>
  <si>
    <t>Tablero metalico 12 circuitos certificado RETIE</t>
  </si>
  <si>
    <t>Mano de obra montaje e instalacion</t>
  </si>
  <si>
    <t>Materiales menores (terminales, cinta, etc.)</t>
  </si>
  <si>
    <t>Suministro e instalacion de interruptor termomagnetico 100A, 3 polos, 220V. Para proteccion general del tablero dedicado de A/C.</t>
  </si>
  <si>
    <t>Breaker termomagnetico 100A 3P 220V</t>
  </si>
  <si>
    <t>Suministro e instalacion de interruptor termomagnetico 20A, 2 polos, 220V. Uno por cada unidad interior piso-techo.</t>
  </si>
  <si>
    <t>Breaker termomagnetico 20A 2P 220V</t>
  </si>
  <si>
    <t>Suministro e instalacion de interruptor termomagnetico 40A, 3 polos, 220V. Uno por cada unidad condensadora.</t>
  </si>
  <si>
    <t>Breaker termomagnetico 40A 3P 220V</t>
  </si>
  <si>
    <t>Suministro e instalacion de cable de cobre THHN/THW 2.5 mm2 (AWG 12), 600V. Para circuitos de unidades interiores 220V monofasico. 3 hilos por circuito.</t>
  </si>
  <si>
    <t>Cable THW 2.5 mm2 (AWG 12) 600V</t>
  </si>
  <si>
    <t>Suministro e instalacion de cable de cobre THHN/THW 4 mm2 (AWG 10), 600V. Para circuitos de condensadoras 220V trifasico. 4 hilos por circuito.</t>
  </si>
  <si>
    <t>Cable THW 4 mm2 (AWG 10) 600V</t>
  </si>
  <si>
    <t>Suministro e instalacion de cable de cobre THHN/THW 16 mm2 (AWG 4), 600V. Para acometida general del tablero de A/C. 4 hilos (3F + N + tierra).</t>
  </si>
  <si>
    <t>Cable THW 16 mm2 (AWG 4) 600V</t>
  </si>
  <si>
    <t>Suministro e instalacion de tuberia conduit PVC de 3/4" para proteccion de conductores electricos. Incluye conectores, curvas y cajas de paso.</t>
  </si>
  <si>
    <t>Conduit PVC 3/4"</t>
  </si>
  <si>
    <t>Accesorios (conectores, curvas, cajas)</t>
  </si>
  <si>
    <t>Suministro e instalacion de tuberia conduit PVC de 1" para acometida principal al tablero de A/C. Incluye accesorios.</t>
  </si>
  <si>
    <t>Conduit PVC 1"</t>
  </si>
  <si>
    <t>Suministro e instalacion de caja de paso metalica o PVC 10x10 cm con tapa atornillada. Para derivaciones y empalmes del circuito.</t>
  </si>
  <si>
    <t>Caja de paso 10x10 cm con tapa</t>
  </si>
  <si>
    <t>Tornilleria de fijacion</t>
  </si>
  <si>
    <t>Suministro e instalacion de varilla de tierra cooperweld 5/8 x 1.80 m con conectores. Para sistema de puesta a tierra del tablero de A/C.</t>
  </si>
  <si>
    <t>Varilla cooperweld 5/8" x 1.80 m</t>
  </si>
  <si>
    <t>Conector de tierra para varilla</t>
  </si>
  <si>
    <t>Cable de tierra desnudo No.2 AWG (tramo)</t>
  </si>
  <si>
    <t>Kit de accesorios: terminales de cobre, amarras plasticas, cintas aislantes, conectores tipo tuerca. Para conexiones y acabados del sistema electrico.</t>
  </si>
  <si>
    <t>Terminales de cobre varios calibres</t>
  </si>
  <si>
    <t>Amarres plasticas (100 und)</t>
  </si>
  <si>
    <t>pk</t>
  </si>
  <si>
    <t>Cinta aislante electrica (10 m)</t>
  </si>
  <si>
    <t>Conectores tipo tuerca varios</t>
  </si>
  <si>
    <t>Suministro e instalacion de mensula metalica galvanizada disenada para unidades piso-techo. Incluye tornilleria de fijacion, tacos fisher y niveladoras. Uno por unidad interior.</t>
  </si>
  <si>
    <t>Mensula metalica galvanizada para piso-techo</t>
  </si>
  <si>
    <t>Taco fisher + tornillo inoxidable (juego 4 und)</t>
  </si>
  <si>
    <t>Suministro e instalacion de estructura metalica de perfil de acero para soporte de condensadoras en cubierta. Con patas niveladoras y amortiguadores goma-metal. Incluye anclaje a losa.</t>
  </si>
  <si>
    <t>Perfil acero para base condensadora (elaboracion)</t>
  </si>
  <si>
    <t>Patas niveladoras inoxidables</t>
  </si>
  <si>
    <t>Amortiguadores goma-metal (2 und x base)</t>
  </si>
  <si>
    <t>Anclaje quimico a losa sika anchorfix-4</t>
  </si>
  <si>
    <t>Mano de obra fabricacion e instalacion</t>
  </si>
  <si>
    <t>Suministro e instalacion de cinta de aluminio autoadhesiva o pintura aluminio para proteccion UV de tuberias expuestas en cubierta. Evita degradacion del aislamiento.</t>
  </si>
  <si>
    <t>Cinta aluminio autoadhesiva 5 cm ancho</t>
  </si>
  <si>
    <t>Suministro e instalacion de bandeja de acero inoxidable o PVC bajo cada unidad interior como respaldo de condensado. Dimensiones segun equipo seleccionado.</t>
  </si>
  <si>
    <t>Bandeja condensado acero inox o PVC</t>
  </si>
  <si>
    <t>Soporte/mensula para bandeja</t>
  </si>
  <si>
    <t>Tornilleria inoxidable</t>
  </si>
  <si>
    <t>Suministro e instalacion de cinta autoadhesiva de aluminio para sellado de juntas de aislamiento termico en tuberias de refrigerante y drenaje.</t>
  </si>
  <si>
    <t>Cinta aluminio vapor barrier 7.5 cm ancho</t>
  </si>
  <si>
    <t>Suministro e instalacion de espuma de poliuretano expandido para sellado de penetraciones de tuberias en muros y losas. Evita condensaciones y paso de aire exterior.</t>
  </si>
  <si>
    <t>Espuma de poliuretano expandido (bote 750 ml)</t>
  </si>
  <si>
    <t>Mano de obra aplicacion por penetracion</t>
  </si>
  <si>
    <t>Lámpara Hermética LED 50w Luz Fría Ip 65</t>
  </si>
  <si>
    <t>Bala incrustar a techo Dirigible Led Integrado tipo panel</t>
  </si>
  <si>
    <t>M535</t>
  </si>
  <si>
    <t>M536</t>
  </si>
  <si>
    <t xml:space="preserve">Tira led exterior luz calida </t>
  </si>
  <si>
    <t xml:space="preserve">ml </t>
  </si>
  <si>
    <t>M537</t>
  </si>
  <si>
    <t>Perfil de aluminio para incrustar (con difusor y tapas)</t>
  </si>
  <si>
    <t>M538</t>
  </si>
  <si>
    <t>Driver led (fuente de poder)</t>
  </si>
  <si>
    <t>M539</t>
  </si>
  <si>
    <t>M540</t>
  </si>
  <si>
    <t xml:space="preserve">Lana de acero para cristalizado de pisos marmol </t>
  </si>
  <si>
    <t>M541</t>
  </si>
  <si>
    <t xml:space="preserve">Cristalizador rosado cr-2 </t>
  </si>
  <si>
    <t>M542</t>
  </si>
  <si>
    <t xml:space="preserve">limpiador marmol </t>
  </si>
  <si>
    <t>l itr</t>
  </si>
  <si>
    <t>l itro</t>
  </si>
  <si>
    <t>EQ80</t>
  </si>
  <si>
    <t xml:space="preserve">Brillado de piso </t>
  </si>
  <si>
    <t xml:space="preserve">Lampara colgante led </t>
  </si>
  <si>
    <t xml:space="preserve">sofa modulares </t>
  </si>
  <si>
    <t xml:space="preserve">mesapara interior cocina </t>
  </si>
  <si>
    <t>butaco bora (enchapado capilla acabao en cara superior en hpl)</t>
  </si>
  <si>
    <t xml:space="preserve">Mesa barra </t>
  </si>
  <si>
    <t xml:space="preserve">pergolas </t>
  </si>
  <si>
    <t xml:space="preserve">Sooporte de piso para pantalla de hasta 86" pantalla interactiva </t>
  </si>
  <si>
    <t>ventana abatible 0.55x2.00</t>
  </si>
  <si>
    <t>ventana fija 1.00x2.00</t>
  </si>
  <si>
    <t>ventana corrediza 1.80x1.00</t>
  </si>
  <si>
    <t>puerta metalica 1.22x2.30</t>
  </si>
  <si>
    <t>puerta metalica 1.00x2.30</t>
  </si>
  <si>
    <t>puerta abatible 1.00x1.10</t>
  </si>
  <si>
    <t>puerta empotrada 3.60x2.74</t>
  </si>
  <si>
    <t>puerta riel 1.00x2.74</t>
  </si>
  <si>
    <t>Puerta de riel para exterior 4.26x2.80</t>
  </si>
  <si>
    <t>puerta de riel para exteriores 3.96x2.50</t>
  </si>
  <si>
    <t xml:space="preserve">Anclaje expansivo para vidrio </t>
  </si>
  <si>
    <t xml:space="preserve">ud </t>
  </si>
  <si>
    <t>Vidrio de sguridad tmplado 1.21x1.20</t>
  </si>
  <si>
    <t>Vidrio de seguridad templado 1.41x1.20</t>
  </si>
  <si>
    <t>Vidrio de seguridad templado 1.14x1.20</t>
  </si>
  <si>
    <t>Vidrio de seguridad templado 0.88x1.20</t>
  </si>
  <si>
    <t>1.9</t>
  </si>
  <si>
    <t>1.10</t>
  </si>
  <si>
    <t>1.11</t>
  </si>
  <si>
    <t>1.12</t>
  </si>
  <si>
    <t>1.13</t>
  </si>
  <si>
    <t>1.14</t>
  </si>
  <si>
    <t>APARATOS SANITARIOS Y ACCESORIOS</t>
  </si>
  <si>
    <t>SISTEMA DE PUESTA A TIERRA</t>
  </si>
  <si>
    <t>M543</t>
  </si>
  <si>
    <t xml:space="preserve">Jabon industrial desengrasante </t>
  </si>
  <si>
    <t xml:space="preserve">galon </t>
  </si>
  <si>
    <t>M544</t>
  </si>
  <si>
    <t>Plástico de poliuretano (calibre pesado)</t>
  </si>
  <si>
    <t>Cartón corrugado triple (alta resistencia)</t>
  </si>
  <si>
    <t>M545</t>
  </si>
  <si>
    <t>M546</t>
  </si>
  <si>
    <t xml:space="preserve">Cinta de enmascarar de alta adherencia </t>
  </si>
  <si>
    <t>M547</t>
  </si>
  <si>
    <t xml:space="preserve">Tapon pvc </t>
  </si>
  <si>
    <t>M548</t>
  </si>
  <si>
    <t>M549</t>
  </si>
  <si>
    <t>SikaTop Armatec-110 (Inhibidor de corrosion ) 20kg</t>
  </si>
  <si>
    <t>M550</t>
  </si>
  <si>
    <t>Sikaflex-1A (Masilla elástica para fisuras)</t>
  </si>
  <si>
    <t>M551</t>
  </si>
  <si>
    <t xml:space="preserve">Discos de pulidora </t>
  </si>
  <si>
    <t>M552</t>
  </si>
  <si>
    <t xml:space="preserve">bolsas de lona de alta densidad aseo </t>
  </si>
  <si>
    <t>EQ78</t>
  </si>
  <si>
    <t>PULIDORA 4.5</t>
  </si>
  <si>
    <t>M553</t>
  </si>
  <si>
    <t>Panel de listones WPC madera</t>
  </si>
  <si>
    <t>M554</t>
  </si>
  <si>
    <t>Adhesivo de poliuretano/silicona</t>
  </si>
  <si>
    <t>M555</t>
  </si>
  <si>
    <t>Grapas/Clips de acero inoxidable</t>
  </si>
  <si>
    <t>M556</t>
  </si>
  <si>
    <t>Sanitario línea institucional (Entrada superior/posterior de alta eficiencia)</t>
  </si>
  <si>
    <t>M557</t>
  </si>
  <si>
    <t>Fluxómetro de sensor empotrado (Incrustado, incluye panel e infrarrojo)</t>
  </si>
  <si>
    <t>M558</t>
  </si>
  <si>
    <t>Brida sanitaria de conexión, empaques de cera y tornillos de fijación</t>
  </si>
  <si>
    <t>M559</t>
  </si>
  <si>
    <t>Accesorios de conexión hidráulica (Niple, teflón, soldadura PVC/CPVC)</t>
  </si>
  <si>
    <t xml:space="preserve">GLOBAL </t>
  </si>
  <si>
    <t>M560</t>
  </si>
  <si>
    <t>M561</t>
  </si>
  <si>
    <t>Orinal Gotta entrada posterior</t>
  </si>
  <si>
    <t>M562</t>
  </si>
  <si>
    <t>Lavamanos de empotrar en mesón (Porcelana sanitaria institucional)</t>
  </si>
  <si>
    <t>M563</t>
  </si>
  <si>
    <t>Grifería institucional (Tipo push de ahorro de agua o sensor integrada)</t>
  </si>
  <si>
    <t>M564</t>
  </si>
  <si>
    <t>Sifón cromado de alta densidad (1 1/4") y desagüe</t>
  </si>
  <si>
    <t>M565</t>
  </si>
  <si>
    <t xml:space="preserve">ACOPLE FLEXIBLE </t>
  </si>
  <si>
    <t>M566</t>
  </si>
  <si>
    <t>Cinta teflón de alta densidad y accesorios menores de empalme</t>
  </si>
  <si>
    <t>M567</t>
  </si>
  <si>
    <t>Secador de manos institucional acero 304 satinado</t>
  </si>
  <si>
    <t>M568</t>
  </si>
  <si>
    <t>M569</t>
  </si>
  <si>
    <t>M570</t>
  </si>
  <si>
    <t>Chazos de expansión plásticos y tornillos de acero inoxidable</t>
  </si>
  <si>
    <t>M571</t>
  </si>
  <si>
    <t>M572</t>
  </si>
  <si>
    <t>Caneca de pedal acero 430 con balde interior (Dim: 21x32 cm)</t>
  </si>
  <si>
    <t>M573</t>
  </si>
  <si>
    <t>Espejo flotado claro de 4 mm de espesor</t>
  </si>
  <si>
    <t>M574</t>
  </si>
  <si>
    <t>Perfilería perimetral de aluminio color negro</t>
  </si>
  <si>
    <t>M575</t>
  </si>
  <si>
    <t>Silicona neutra especial para espejos (No daña el azogue)</t>
  </si>
  <si>
    <t>M576</t>
  </si>
  <si>
    <t>Cinta doble faz de poliuretano de alta adherencia</t>
  </si>
  <si>
    <t>M577</t>
  </si>
  <si>
    <t>Lamina acero inox AISI 304</t>
  </si>
  <si>
    <t>M578</t>
  </si>
  <si>
    <t>Poliuretano expandido de alta densidad</t>
  </si>
  <si>
    <t>M579</t>
  </si>
  <si>
    <t>Pegamento de contacto industrial (Para fijación</t>
  </si>
  <si>
    <t xml:space="preserve">GALON </t>
  </si>
  <si>
    <t>M580</t>
  </si>
  <si>
    <t xml:space="preserve">Suministro e instalacion de divisiones metalicas para sanitarios </t>
  </si>
  <si>
    <t>M581</t>
  </si>
  <si>
    <t>SUMINISTRO E INSTALACION DE DIVISIONES METALICAS PARA ORINALES</t>
  </si>
  <si>
    <t>M582</t>
  </si>
  <si>
    <t>SUMINISTRO E INSTALACION DE GRIFERIA DE MESON CUELLO BAJO</t>
  </si>
  <si>
    <t xml:space="preserve">Silicona antihongos </t>
  </si>
  <si>
    <t>M583</t>
  </si>
  <si>
    <t>Desagüe push tipo hongo en acero inoxidable</t>
  </si>
  <si>
    <t>M584</t>
  </si>
  <si>
    <t>Sifón flexible metalizado en PVC para lavamanos</t>
  </si>
  <si>
    <t>M585</t>
  </si>
  <si>
    <t>Bisagras de gravedad autocerrantes en acero inox AISI 304</t>
  </si>
  <si>
    <t xml:space="preserve">Suministro e instalacion de Gabinetes de toallas De empotrar en la pared. En acero inoxidable 304. Papel en rollo. El recipiente desmontable tiene una capacidad de 45.4 lts. Sobresale 11 cm de la pared. Importado Bobrick. </t>
  </si>
  <si>
    <t>SUMINISTRO E INSTALACION DISPENSADOR DE JABON CUERPO CILINDRICO INOX, 0.25L</t>
  </si>
  <si>
    <t>M586</t>
  </si>
  <si>
    <t>Kit cerradura/pasador institucional con indicador libre/ocupado</t>
  </si>
  <si>
    <t>juego</t>
  </si>
  <si>
    <t>M587</t>
  </si>
  <si>
    <t>CABLE N. 2/0 AWG</t>
  </si>
  <si>
    <t>M588</t>
  </si>
  <si>
    <t>ELECTRODO DE 5/8" x 2,4m</t>
  </si>
  <si>
    <t>M589</t>
  </si>
  <si>
    <t>REGISTRO DE INSPECCION</t>
  </si>
  <si>
    <t>PESO</t>
  </si>
  <si>
    <t>M590</t>
  </si>
  <si>
    <t>BARRAJE EQUIPOTENCIAL</t>
  </si>
  <si>
    <t>M591</t>
  </si>
  <si>
    <t>ARKODECK P90 0.09MX2.80</t>
  </si>
  <si>
    <t>M592</t>
  </si>
  <si>
    <t>Rastreles de soporte estructural</t>
  </si>
  <si>
    <t>M593</t>
  </si>
  <si>
    <t>Clips de fijación oculta (Acero Inoxidable)</t>
  </si>
  <si>
    <t xml:space="preserve">Lavamanos colgante intiotucional </t>
  </si>
  <si>
    <t>15.2.1</t>
  </si>
  <si>
    <t>15.2.2</t>
  </si>
  <si>
    <t>VÁLVULA REGULADORA DE PRESIÓN PARA SUMINISTRO 3/4"</t>
  </si>
  <si>
    <t>AMORTIGUADOR GOLPE DE ARIETE TIPO A</t>
  </si>
  <si>
    <t>15.3.1</t>
  </si>
  <si>
    <t>15.3.2</t>
  </si>
  <si>
    <t>15.3.3</t>
  </si>
  <si>
    <t>15.3.4</t>
  </si>
  <si>
    <t>15.3.5</t>
  </si>
  <si>
    <t>15.3.6</t>
  </si>
  <si>
    <t>15.3.7</t>
  </si>
  <si>
    <t>PUNTO AF. PVC.P LAVAMANOS 1/2"</t>
  </si>
  <si>
    <t>PUNTO AF. PVC.P LAVAPLATOS 1/2"</t>
  </si>
  <si>
    <t>PUNTO AF. PVC.P SANITARIO 1/2"</t>
  </si>
  <si>
    <t>PUNTO AF. PVC.P POCETA 1/2"</t>
  </si>
  <si>
    <t>PUNTO AF. PVC.P ORINAL 1/2"</t>
  </si>
  <si>
    <t>PUNTO AF. PVC.P (RED DE RIEGO O LAVADO) 1/2"</t>
  </si>
  <si>
    <t>PUNTO AF. PVC.P CAFÉ-BARRA 1/2"</t>
  </si>
  <si>
    <t>16.1.1</t>
  </si>
  <si>
    <t>16.1.2</t>
  </si>
  <si>
    <t>16.2.1</t>
  </si>
  <si>
    <t>16.2.2</t>
  </si>
  <si>
    <t>16.2.3</t>
  </si>
  <si>
    <t>16.2.4</t>
  </si>
  <si>
    <t>16.2.5</t>
  </si>
  <si>
    <t>16.2.7</t>
  </si>
  <si>
    <t>16.2.8</t>
  </si>
  <si>
    <t>16.3.1</t>
  </si>
  <si>
    <t>16.3.2</t>
  </si>
  <si>
    <t>16.3.3</t>
  </si>
  <si>
    <t>16.3.4</t>
  </si>
  <si>
    <t>16.3.5</t>
  </si>
  <si>
    <t>16.4.1</t>
  </si>
  <si>
    <t>16.4.2</t>
  </si>
  <si>
    <t>16.4.3</t>
  </si>
  <si>
    <t>16.4.4</t>
  </si>
  <si>
    <t>16.4.5</t>
  </si>
  <si>
    <t>16.4.6</t>
  </si>
  <si>
    <t>16.4.7</t>
  </si>
  <si>
    <t>16.4.8</t>
  </si>
  <si>
    <t>16.4.9</t>
  </si>
  <si>
    <t>16.4.10</t>
  </si>
  <si>
    <t>16.4.11</t>
  </si>
  <si>
    <t>16.4.12</t>
  </si>
  <si>
    <t>16.5.1</t>
  </si>
  <si>
    <t>16.5.2</t>
  </si>
  <si>
    <t>16.5.3</t>
  </si>
  <si>
    <t>16.5.4</t>
  </si>
  <si>
    <t>16.5.5</t>
  </si>
  <si>
    <t>16.5.6</t>
  </si>
  <si>
    <t>TUBERIA PVC.P RDE 21 1/2"</t>
  </si>
  <si>
    <t>15.4.1</t>
  </si>
  <si>
    <t>15.4.2</t>
  </si>
  <si>
    <t>15.4.3</t>
  </si>
  <si>
    <t>15.4.4</t>
  </si>
  <si>
    <t>15.4.5</t>
  </si>
  <si>
    <t>15.4.6</t>
  </si>
  <si>
    <t>15.4.7</t>
  </si>
  <si>
    <t>15.4.8</t>
  </si>
  <si>
    <t>15.4.9</t>
  </si>
  <si>
    <t>15.4.10</t>
  </si>
  <si>
    <t>TUBERIA PVC.P RDE 21 3/4"</t>
  </si>
  <si>
    <t>TUBERIA PVC.P RDE 21 1"</t>
  </si>
  <si>
    <t>ACCESORIO PVC.P 1"</t>
  </si>
  <si>
    <t>TUBERIA PVC.P RDE 21 1 1/2"</t>
  </si>
  <si>
    <t>15.4.11</t>
  </si>
  <si>
    <t>15.4.12</t>
  </si>
  <si>
    <t>15.4.13</t>
  </si>
  <si>
    <t>15.4.14</t>
  </si>
  <si>
    <t>ACCESORIO PVC.P 1 1/2"</t>
  </si>
  <si>
    <t>VALVULA TIPO BOLA (REGISTROS) 1/2"</t>
  </si>
  <si>
    <t>VALVULA TIPO BOLA (REGISTROS) 3/4"</t>
  </si>
  <si>
    <t>VALVULA PASO DIRECTO ROSCADA TIPO PESADO 3/4"</t>
  </si>
  <si>
    <t>ABRAZADERA TIPO PERA/U 3/4"</t>
  </si>
  <si>
    <t>TAPA REGISTRO PLASTICA/ALUMINIO</t>
  </si>
  <si>
    <t>15.5.1</t>
  </si>
  <si>
    <t>15.5.2</t>
  </si>
  <si>
    <t>15.5.3</t>
  </si>
  <si>
    <t>15.5.4</t>
  </si>
  <si>
    <t>15.5.5</t>
  </si>
  <si>
    <t>15.5.6</t>
  </si>
  <si>
    <t>15.6.1</t>
  </si>
  <si>
    <t>15.6.2</t>
  </si>
  <si>
    <t>15.6.3</t>
  </si>
  <si>
    <t>15.6.4</t>
  </si>
  <si>
    <t>15.6.5</t>
  </si>
  <si>
    <t>15.6.6</t>
  </si>
  <si>
    <t>SikaTop-122 Clima / Plus (Mortero estructural 50KG)</t>
  </si>
  <si>
    <t>EQ81</t>
  </si>
  <si>
    <t xml:space="preserve">PULIDORA DE PISOS </t>
  </si>
  <si>
    <t>M594</t>
  </si>
  <si>
    <t>Kit de Discos diamantados (Granos 50 a 3000</t>
  </si>
  <si>
    <t>M595</t>
  </si>
  <si>
    <t xml:space="preserve">Pegante para juntas </t>
  </si>
  <si>
    <t>EQ90</t>
  </si>
  <si>
    <t xml:space="preserve">SELLADERA DE JUNTAS </t>
  </si>
  <si>
    <t>15.7.1</t>
  </si>
  <si>
    <t>15.7.2</t>
  </si>
  <si>
    <t>15.7.3</t>
  </si>
  <si>
    <t>15.7.4</t>
  </si>
  <si>
    <t xml:space="preserve">ENCHAPE </t>
  </si>
  <si>
    <t>17.1</t>
  </si>
  <si>
    <t>5.6</t>
  </si>
  <si>
    <t>VALVULA MINIVENT</t>
  </si>
  <si>
    <t>15.8.1</t>
  </si>
  <si>
    <t>15.8.2</t>
  </si>
  <si>
    <t>15.8.3</t>
  </si>
  <si>
    <t>15.8.4</t>
  </si>
  <si>
    <t>15.8.5</t>
  </si>
  <si>
    <t>15.8.6</t>
  </si>
  <si>
    <t>15.8.7</t>
  </si>
  <si>
    <t>15.8.8</t>
  </si>
  <si>
    <t>15.9.1</t>
  </si>
  <si>
    <t>15.9.2</t>
  </si>
  <si>
    <t>15.9.3</t>
  </si>
  <si>
    <t>15.9.4</t>
  </si>
  <si>
    <t>15.9.5</t>
  </si>
  <si>
    <t>15.9.6</t>
  </si>
  <si>
    <t>M.O. MONTAJE LAVAMANOS (NO INCLUYE ELEMENTO DE CONEXIÓN CON EL APARATO, SUMINISTRA CONSTRUCTOR)</t>
  </si>
  <si>
    <t>M.O. MONTAJE LAVAPLATOS (NO INCLUYE ELEMENTO DE CONEXIÓN CON EL APARATO, SUMINISTRA CONSTRUCTOR)</t>
  </si>
  <si>
    <t>15.9.7</t>
  </si>
  <si>
    <t>15.9.8</t>
  </si>
  <si>
    <t>M.O. MONTAJE DE TANQUE DE AGUA POTABLE</t>
  </si>
  <si>
    <t>M.O. MONTAJE DE EQUIPO DE BOMBEO DE SUMINISTRO</t>
  </si>
  <si>
    <t>TRAMPA GRASAS EN ACERO INOX.</t>
  </si>
  <si>
    <t>15.10.1</t>
  </si>
  <si>
    <t>15.10.2</t>
  </si>
  <si>
    <t>15.10.3</t>
  </si>
  <si>
    <t>15.11.1</t>
  </si>
  <si>
    <t>EXCAVACIONES EN MATERIAL COMUN/RECEBO</t>
  </si>
  <si>
    <t>15.12.1</t>
  </si>
  <si>
    <t>15.12.2</t>
  </si>
  <si>
    <t>15.12.3</t>
  </si>
  <si>
    <t>MANO DE OBRA RELLENO CON RECEBO COMPACTADO</t>
  </si>
  <si>
    <t>15.13.1</t>
  </si>
  <si>
    <t>15.13.2</t>
  </si>
  <si>
    <t>15.13.3</t>
  </si>
  <si>
    <t>15.13.4</t>
  </si>
  <si>
    <t>15.13.5</t>
  </si>
  <si>
    <t>15.13.6</t>
  </si>
  <si>
    <t>ELABORACION MANUAL DE OPERACIÓN Y MANTENIMIENTO</t>
  </si>
  <si>
    <t>ELABORACION PLANOS RECORD</t>
  </si>
  <si>
    <t>PRUEBA DE PRESION - POR ZONAS</t>
  </si>
  <si>
    <t>PRUEBA DE FLUJO - POR ZONAS</t>
  </si>
  <si>
    <t>PRUEBA DE ESTANQUEIDAD - POR ZONAS</t>
  </si>
  <si>
    <t>15.14.1</t>
  </si>
  <si>
    <t>TRAMITE SOLICITUD ACOMETIDA NUEVA DE ACUEDUCTO</t>
  </si>
  <si>
    <t>15.15.1</t>
  </si>
  <si>
    <t>15.15.2</t>
  </si>
  <si>
    <t>15.15.3</t>
  </si>
  <si>
    <t>15.15.4</t>
  </si>
  <si>
    <t>15.15.5</t>
  </si>
  <si>
    <t>15.15.6</t>
  </si>
  <si>
    <t>15.15.7</t>
  </si>
  <si>
    <t>15.15.8</t>
  </si>
  <si>
    <t>15.15.9</t>
  </si>
  <si>
    <t>TUBERIA ACERO AL CARBON ASTM A-795 SCH 10 LISTADA 1 1/2"</t>
  </si>
  <si>
    <t>TUBERIA ACERO AL CARBON ASTM A-795 SCH 10 LISTADA 2 1/2"</t>
  </si>
  <si>
    <t>15.16.1</t>
  </si>
  <si>
    <t>15.16.2</t>
  </si>
  <si>
    <t>15.16.3</t>
  </si>
  <si>
    <t>VÁLVULA CHECK PARA TOMA SIAMESA DE 4"</t>
  </si>
  <si>
    <t>MANÓMETRO DIAL GLICERINA 2"</t>
  </si>
  <si>
    <t>VALVULA EXPULSORA DE AIRE TRIPLE ACCION ROSCAR UL/FM 1"</t>
  </si>
  <si>
    <t>15.17.1</t>
  </si>
  <si>
    <t>15.17.2</t>
  </si>
  <si>
    <t>GABINETE TIPO II 2 1/2"</t>
  </si>
  <si>
    <t>15.18.1</t>
  </si>
  <si>
    <t>15.18.2</t>
  </si>
  <si>
    <t>PLAQUETA DE IDENTIFICACION EN ACRILICO CONEXION PARA BOMBEROS</t>
  </si>
  <si>
    <t>15.19.1</t>
  </si>
  <si>
    <t>PINTURA ANTICORROSIVO Y ESMALTE 4"</t>
  </si>
  <si>
    <t>15.20.1</t>
  </si>
  <si>
    <t>PRUEBA HIDROSTATICA DE REDES DE DISTRIBUCION PRINCIPAL</t>
  </si>
  <si>
    <t>15.21.1</t>
  </si>
  <si>
    <t>15.21.2</t>
  </si>
  <si>
    <t>15.22.1</t>
  </si>
  <si>
    <t>15.22.2</t>
  </si>
  <si>
    <t>15.22.3</t>
  </si>
  <si>
    <t>15.22.4</t>
  </si>
  <si>
    <t>15.22.5</t>
  </si>
  <si>
    <t>15.22.6</t>
  </si>
  <si>
    <t>15.22.7</t>
  </si>
  <si>
    <t>15.22.8</t>
  </si>
  <si>
    <t>15.22.9</t>
  </si>
  <si>
    <t>15.22.10</t>
  </si>
  <si>
    <t>BOYA MECANICA COBRE</t>
  </si>
  <si>
    <t>VALVULA DE COMPUERTA DE 1 1/2"</t>
  </si>
  <si>
    <t>TUBERIA ACERO AL CARBON ASTM A-795 SCH 40 LISTADA 1"</t>
  </si>
  <si>
    <t>ACCESORIO RANURADO UL/FM 1"</t>
  </si>
  <si>
    <t>TUBERIA ACERO AL CARBON ASTM A-795 SCH 10 LISTADA 4"</t>
  </si>
  <si>
    <t>ACCESORIO RANURADO UL/FM 4"</t>
  </si>
  <si>
    <t>ROCIADOR TIPO PEND. 1/2"</t>
  </si>
  <si>
    <t>M596</t>
  </si>
  <si>
    <t>Porcelanato Blanco Rectificado 30x90 cm Brillante</t>
  </si>
  <si>
    <t>M597</t>
  </si>
  <si>
    <t>M601</t>
  </si>
  <si>
    <t>VIDRIO TEMPLADO ANTIHURACAN 6 mm templado + PVB SGP 1,52 mm + 6 mm templado 13,52 mm Clase 1B1 según EN 12600 / ANSI Z97.1 Cumple ASTM E1886/E1996 nivel C (proyectil de 2 kg a 50 m/s) + 9.000 ciclos de presión positiva y negativa DIM: 0,88 X 1,20</t>
  </si>
  <si>
    <t>M600</t>
  </si>
  <si>
    <t>Tubería PVC Presión 1/2" RDE 21</t>
  </si>
  <si>
    <t>LAVADO A PRESION CON HIDROLAVADORA DE FACHADA CON JABÓN INDUSTRIAL Y HERRAMIENTAS MANUALES.</t>
  </si>
  <si>
    <t xml:space="preserve">PRESERVACION DE PISO DE MARMOL EN SALON AMILCAR CON SISTEMA DE PROTECCION 2 CAPAS (PLÁSTICO DE POLIURETANO Y CARTON CORRUGADO TRIPLE CANAL) </t>
  </si>
  <si>
    <t>DEMOLICION MANUAL DE MURO EN MAMPOSTERÍA Y RETIRO DE MATERIAL, INCLUYE: PRESERVACIÓN DEL PISO AMILKAR</t>
  </si>
  <si>
    <t>DEMOLICIÓN MECÁNICA DE PISO EXISTENTE EN ÁREA DE PROYECCIÓN DE BAÑOS Y CAFETERÍA, INCLUYE: PRESERVACIÓN DE PISO EN SALÓN AMILCAR Y RETIRO DE ESCOMBROS.</t>
  </si>
  <si>
    <t>DEMOLICIÓN MECÁNICA DE PLANTILLA DE PISO EXISTENTE EN ÁREA DE PROYECCIÓN DE BAÑOS Y CAFETERÍA, INCLUYE: PRESERVACIÓN DE PISO EN SALÓN AMILCAR Y RETIRO DE ESCOMBROS.</t>
  </si>
  <si>
    <t>DEMOLICIÓN MECÁNICA DE ALFAJÍA EN MEDIO MURO DEL BLOQUE F Y RETIRO DE MATERIAL.</t>
  </si>
  <si>
    <t>RETIRO MANUAL DE MANTO ASFÁLTICO EN CUBIERTA, MEDIAS CAÑAS, Y MEDIO MURO DEL BLOQUE F, INCLUYE: TRASIEGO Y DISPOSICIÓN FINAL.</t>
  </si>
  <si>
    <t>DEMOLICIÓN MECÁNICA DE PLACAS DE MORTERO EN PARED FACHADA BLOQUE D</t>
  </si>
  <si>
    <t>DESMONTE DE PUERTAS, HOJAS, MARCO Y ACCESORIOS, INCLUYE: PRESERVACIÓN DE PISO EN SALÓN AMÍLCAR Y RETIRO DE MATERIAL.</t>
  </si>
  <si>
    <t>DESMONTE DE VENTANAS, HOJAS, MARCO Y ACCESORIOS, INCLUYE: PRESERVACIÓN DE PISO EN SALÓN AMÍLCAR Y RETIRO DE MATERIAL.</t>
  </si>
  <si>
    <t>DESMONTE DE CIELO RASO EXISTENTE, ESTRUCTURA DE SOPORTE, PERFILERÍA, LÁMPARAS, INCLUYE: PRESERVACIÓN DE PISO EN SALÓN AMÍLCAR Y RETIRO DE MATERIAL.</t>
  </si>
  <si>
    <t>DESMONTE DE TUBERÍAS Y CABLEADOS DE ILUMINACIÓN DE CIELO RASO Y AIRES ACONDICIONADOS, Y SOPORTES INCLUYE: PRESERVACIÓN DE PISO EN EL SALÓN AMÍLCAR Y RETIRO DE MATERIAL</t>
  </si>
  <si>
    <t>DESMONTE DE DUCTOS Y SALIDAS DE AIRE ACONDICIONADO, INCLUYE: PRESERVACIÓN DE PISO EN SALÓN AMÍLCAR Y RETIRO DE MATERIAL.</t>
  </si>
  <si>
    <t>DESMONTE DE UNIDADES MANEJADORAS DE AIRE ACONDICIONADO (AHU), DUCTOS, ACCESORIOS, SOPORTES, INCLUYE: DESCONEXIÓN ELÉCTRICA Y MECÁNICA Y RETIRO DE MATERIAL.</t>
  </si>
  <si>
    <t>MORTERO DE NIVELACION DE PISO 1:4 DE BAJO ESPESOR EN ÁREA DE PROYECCIÓN DE BAÑOS Y CAFETERÍA.</t>
  </si>
  <si>
    <t>MORTERO DE NIVELACIÓN DE PISO IMPERMEABILIZADO 1:4 CON ADITIVO HIDRÓFUGO INTEGRAL DE ALTA ADHERENCIA (LÁTEX) PARA MEJORAR LAS CONDICIONES DE SOPORTE DE LA PLACA EN LA CUBIERTA DEL BLOQUE D, GARANTIZANDO LA NIVELACIÓN CON LA CUBIERTA DEL BLOQUE F, INCLUYE:  LAVADO Y PREPARACIÓN DE SUPERFICIE (RETIRO DE MATERIAL SUELTO), JUNTAS DE DILATACIÓN Y CONFORMACIÓN DE PENDIENTES.</t>
  </si>
  <si>
    <t>PAÑETE IMPERMEABILIZADO EN LOSA ESTRUCTURAL</t>
  </si>
  <si>
    <t>CONSTRUCCIÓN DE ALFAJÍA DE CONCRETO (3000-4000PSI) REFORZADO, EN MEDIO MURO AZOTEA BLOQUE F, INCLUYE: MALLAS DE PROTECCIÓN EXTERIOR, FORMALETEADO, REFUERZOS, ACABADOS Y PENDIENTES PARA EVACUACIÓN DE AGUA.</t>
  </si>
  <si>
    <t>PAÑETE IMPERMEABILIZADO EN ALFAJIA AZOTEA.</t>
  </si>
  <si>
    <t>ELABORACIÓN Y COLOCACIÓN DE MORTERO IMPERMEABILIZADO PARA PAÑETE (CARA INTERIOR) DE MEDIO MURO EXTERIOR EN CUBIERTA DEL BLOQUE D.</t>
  </si>
  <si>
    <t>ELABORACIÓN Y COLOCACIÓN DE MORTERO IMPERMEABILIZADO PARA PAÑETE DE MURO EXTERIOR EN CUBIERTA DEL BLOQUE D.</t>
  </si>
  <si>
    <t>ESCARIFICACIÓN Y RETIRO DE TODO EL MATERIAL SUELTO, SELLO DE FISURAS Y REPARACIÓN DE CONCRETO CON MORTERO DE REPARACIÓN (SIKA TOP 122 O SIMILAR). LIMPIEZA Y REPARACIÓN DE ACERO EXPUESTO RETIRANDO EL ÓXIDO CON INHIBIDORES DE CORROSIÓN SEGÚN LAS INDICACIONES DEL FABRICANTE. INCLUYE: LIMPIEZA GENERAL. SOBRE FACHADA DEL PISO 5 DEL BLOQUE D.</t>
  </si>
  <si>
    <t>CONSTRUCCIÓN DE MURO EN BLOQUE DE CONCRETO, ASENTADO CON MORTERO DE PEGA DOSIFIFICACIÓN 1:4</t>
  </si>
  <si>
    <t xml:space="preserve">ELABORACIÓN Y COLOCACIÓN DE MORTERO PARA PAÑETE SOBRE MURO, INCLUYE: PREPARACIÓN DE SUPERFICIE, FILOS, JUNTAS, ACABADO LISO, PRESERVACIÓN DE PISO EN SALÓN AMÍLCAR, LIMPIEZA GENERAL. </t>
  </si>
  <si>
    <t>SUMINISTRO Y APLICACIÓN DE ESTUCO Y PINTURA EN ACABADOS COLUMNAS, INCLUYE:  PRESERVACIÓN DE PISO SALÓN AMÍLCAR, LIMPIEZA GENERAL.</t>
  </si>
  <si>
    <t>SUMINISTRO E INSTALACIÓN DE BALDOSA CERÁMICA PARA PISO (0.6 M X 0.6 M) RECTIFICADA, INCLUYE: PREPARACIÓN DE LA SUPERFICIE, MORTERO ADHESIVO, CORTES, NIVELACIÓN Y SEPARACIÓN (X MM), LIMPIEZA GENERAL.</t>
  </si>
  <si>
    <t>SUMINISTRO E INSTALACIÓN DE BALDOSA CERÁMICA TIPO ZÓCALO PARA PISO (0.6 M X 0.6 M) RECTIFICADA, INCLUYE: PREPARACIÓN DE LA SUPERFICIE, MORTERO ADHESIVO, CORTES, NIVELACIÓN Y SEPARACIÓN (X MM), LIMPIEZA GENERAL.</t>
  </si>
  <si>
    <t>SUMINISTRO Y APLICACIÓN UNIFORME DE BOQUILLA PARA JUNTAS DE PISO CERÁMICO, INCLUYE: RETIRO DE EXCEDENTE, ACABADO FINAL, LIMPIEZA GENERAL.</t>
  </si>
  <si>
    <t>BRILLADA Y CRISTALIZADO DE PISO EN MÁRMOL MEDIANTE PROCESO MECÁNICO ESPECIALIZADO, INCLUYE: LIMPIEZA, PULIDO, APLICACIÓN DE CRISTALIZADOR Y ACABADO BRILLANTE DE ALTA RESISTENCIA.</t>
  </si>
  <si>
    <t>SUMINISTRACIÓN E INSTALACIÓN DE PISO TIPO DECK WPC ENCAPSULADO 2.1CM X 0.14M X 2.80M ANCIEND WOOD.</t>
  </si>
  <si>
    <t>SUMINISTRO E INSTALACIÓN DE PISO PORCELANATO® RECTIFICADO WEST ARD® PRO GRIS CLARO CARAS DIFERENCIADAS 60X60 ACABADO MATE, ESPESRO 8.7 MM A 9.3 MM, REF 608552511.</t>
  </si>
  <si>
    <t>SUMINISTRO Y APLICACIÓN DE ESTUCO PLÁSTICO DE INTERIORES, INCLUYE: PREPARACIÓN DE SUPERFICIE, LIJADO Y ACABADO LISO, LIMPIEZA GENERAL.</t>
  </si>
  <si>
    <t>SUMINISTRO Y APLICACIÓN DE ESTUCO PARA EXTERIOR, INCLUYE: PREPARACIÓN DE SUPERFICIE, LIJADO Y ACABADO LISO, LIMPIEZA GENERAL.</t>
  </si>
  <si>
    <t>SUMINISTRO Y APLICACIÓN DE PINTURA VINÍLICA PARA MUROS INTERIORES A DOS MANOS, INCLUYE: PREPARACIÓN DE SUPERFICIE, PRESERVACIÓN DE PISOS, LIMPIEZA GENERAL.</t>
  </si>
  <si>
    <t>SUMINISTRO Y APLICACIÓN DE PINTURA ACRÍLICA IMPERMEABLE PARA MUROS EXTERIORES A DOS MANOS, INCLUYE: PREPARACIÓN DE SUPERFICIE, PRESERVACIÓN DE PISOS, LIMPIEZA GENERAL.</t>
  </si>
  <si>
    <t>SUMINISTRO E INSTALACIÓN DE PANEL RANURADO 3D WPC MADERA BROWN 16X240X2.2CM CON ESPESOR 2,2CM HOLZTEK PARA REVESTIMIENTO EN PARED. MODELO JF184HFK10811. COLOR CAFÉ CLARO.</t>
  </si>
  <si>
    <t>SUMINISTRO E INSTALACIONDE PANELES DE LISTON PLANO WPC EBANO MADERA PARA REVESTIMIENTO EN PARED. DIM: 25CM X 5,8 CM X 0,2.  COLOR EBANO.</t>
  </si>
  <si>
    <t>SUMINISTRO E INSTALACIÓN DE VENTANA ABATIBLE 0,55 M X 2,00 M PERFILERIA DE ALUMINIO, ALUMINIO EXTRUIDO SERIE 45 O 60 MM ANODIZADO NATURAL O PINTADO ELECTROSTÁTICO, 1,4 MM  Y VIDRIO ANTIRUIDO,VIDRIO LAMINADO ACÚSTICO 6+6 MM (PVB 0,76 MM) O DVH 4-12-4 12 MM LAMINADO / 20 MM DVH, REDUCCIÓN ≥ 38 DB (LAMINADO) / ≥ 32 DB (DVH) ISO 717-1 / ASTM E90, INCLUYE: ACCESORIO, BISAGRAS, SELLOS, FIJACIONES, ACABADOS, LIMPIEZA GENERAL.</t>
  </si>
  <si>
    <t>SUMINISTRO E INSTALACIÓN DE VENTANA FIJA 1,00 M X 2,00 M PERFILERIA DE ALUMINIO, ALUMINIO EXTRUIDO SERIE 45 MM (PERFIL FIJO) ANODIZADO NATURAL T5 O PINTURA ELECTROSTÁTICA  1,4 MM PERFIL DE ALUMINIO EXTRUIDO PARA CUBRIMIENTO DE FIJACIONES,  VIDRIO LAMINADO ACÚSTICO 6+6 MM (PVB ACÚSTICO 0,76 MM) 12,76 MM, REDUCCIÓN ACÚSTICA ≥ 38 DB ISO 717-1 / NTC 4373, INCLUYE ACCESORIO, BISAGRAS, SELLOS, FIJACIONES, ACABADOS, LIMPIEZA GENERAL.</t>
  </si>
  <si>
    <t>SUMINISTRO E INSTALACIÓN DE VENTANA CORREDIZA 1,80 M X 1,00 M, PERFIRL DE  ALUMINIO EXTRUIDO SERIE 100 MM (CORREDIZA DE 2 HOJAS) ANODIZADO NATURAL O PINTURA ELECTROSTÁTICA AL HORNO RIEL INFERIOR EN ALUMINIO CON DESAGÜE INCORPORADO, RUEDAS EN NYLON CON RODAMIENTO DE ACERO, AJUSTABLES EN ALTURA,  VIDRIO TEMPPLADO LAMINADO 6+6 MM (PVB ACÚSTICO 0,76 MM) 12,76 MM REDUCCIÓN ACÚSTICA ≥ 36 DB VIDRIO DE SEGURIDAD SEGÚN NTC 1578 / EN 12150, INCLUYE:  ACCESORIO, BISAGRAS, SELLOS, FIJACIONES, ACABADOS, LIMPIEZA GENERAL.</t>
  </si>
  <si>
    <t>SUMINISTRO E INSTALACIÓN DE PUERTA ABATIBLE RANURADA 1,22 M X 2,30 M EN PERFILERIA DE ALUMINIO EXTRUIDO SERIE 70 MM (PERFIL RANURADO / ESTRIADO)  ANODIZADO O PINTURA ELECTROSTÁTICA AL HORNO 1,6 MM (MAYOR RIGIDEZ POR PESO DE HOJA) PERFIL DE ALUMINIO CON RANURAS INTEGRADAS PARA SELLOS, INCLUYE: ACCESORIO, BISAGRAS, SELLOS, FIJACIONES, ACABADOS, LIMPIEZA GENERAL.</t>
  </si>
  <si>
    <t>SUMINISTRO E INSTALACIÓN DE PUERTA ABATIBLE RANURADA 1,00 M X 2,30 M EN PERFILERIA DE  ALUMINIO EXTRUIDO SERIE 70 MM (PERFIL RANURADO) ANODIZADO O PINTURA ELECTROSTÁTICA AL HORNO  1,6 MM PERFIL DE ALUMINIO CON RANURAS INTEGRADAS PARA SELLOS, INCLUYE:, ACCESORIO, BISAGRAS, SELLOS, FIJACIONES, ACABADOS, LIMPIEZA GENERAL.</t>
  </si>
  <si>
    <t>SUMINISTRO E INSTALACIÓN DE PUERTA DE RIEL CON RESVESTIMIENTO EN WPC 0,60 M X 2,30 M, PERFIL DE ALUMINIO EXTRUIDO PARA PUERTA CORREDIZA DE RIEL SUPERIOR/INFERIOR RIEL DE ACERO GALVANIZADO O ALUMINIO CON CARRO DE RODAMIENTOS DE PRECISIÓNANODIZADO O PINTURA COMPATIBLE CON REVESTIMIENTO WPC 1,4 MM, ACCESORIO, BISAGRAS, SELLOS, FIJACIONES, ACABADOS, LIMPIEZA GENERAL.</t>
  </si>
  <si>
    <t>PUERTA EMPOTRADA  3,60 X 2,74   SUMINISTRO E INSTALACIÓN DE PUERTA DE EMPOTRADA  CON PERFIL DE ALUMINIO EXTRUIDO SERIE 70–100 MM, ANODIZADO O PINTURA ELECTROSTÁTICA 1,6 MM, ESTRUCTUIRA INTERNA PERFILES TUBULARES DE ALUMINIO 40 × 20 MM CADA 600 MM PARA SOPORTE DE LISTONES EMPOTRADO (ENRASADO CON MURO) — BISAGRAS OCULTAS O PERNOS DE PIANO, RESVESTIMIENTO EN WPC  PANEL RANURADO 3D WPC MADERA BROWN 16X240X2.2CM CON ESPESOR 2,2CM HOLZTEK PARA REVESTIMIENTO EN PARED. MODELO JF184HFK10811. COLOR CAFÉ CLARO. 3,60 M X 2,74 M, INCLUYE: ACCESORIO, BISAGRAS, SELLOS, FIJACIONES, ACABADOS, LIMPIEZA GENERAL.</t>
  </si>
  <si>
    <t>SUMINISTRO E INSTALACIÓN DE PUERTA DE RIEL CON RESVESTIMIENTO EN WPC 1,00 M X 2,74 M, PERFIL DE ALUMINIO EXTRUIDO PARA PUERTA CORREDIZA DE RIEL SUPERIOR/INFERIOR RIEL DE ACERO GALVANIZADO O ALUMINIO CON CARRO DE RODAMIENTOS DE PRECISIÓNANODIZADO O PINTURA COMPATIBLE CON REVESTIMIENTO WPC 1,4 MM, ACCESORIO, BISAGRAS, SELLOS, FIJACIONES, ACABADOS, LIMPIEZA GENERAL.</t>
  </si>
  <si>
    <t>SUMINISTRO E INSTALACIÓN DE PORTON 4,26 X 2,08M PORT SEGUN DISEÑO. MARCO ELABORADO EN TUBERIA RECTANGULAR DE 8 X 4MM CAL 16 + PINTURA ELECTROSTATICA NEGRA MICROTEXTURIZADA MATE. INCLUYE LISTONES DE TECA ACABADOS E INMUNIZADOS POR 1 SOLA CARA. INCLUYES SISTEMA BATIENTE.</t>
  </si>
  <si>
    <t>SUMINISTRO E INSTALACIÓN DE PORTON 3,96 X 2,50M PORT SEGUN DISEÑO. MARCO ELABORADO EN TUBERIA RECTANGULAR DE 8 X 4MM CAL 16 + PINTURA ELECTROSTATICA NEGRA MICROTEXTURIZADA MATE. INCLUYE LISTONES DE TECA ACABADOS E INMUNIZADOS POR 1 SOLA CARA. INCLUYES SISTEMA BATIENTE.</t>
  </si>
  <si>
    <t>SUMINISTRO E INSTALACIÓN DE ANCLAJES ESTRUCTURALES DE ALTA RESISTENCIA PARA LA FIJACIÓN DE LAS BASES DE LOS POSTES DE LA BARANDA, GARANTIZANDO SU RIGIDEZ Y ESTABILIDAD MECÁNICA. PERNOS DE EXPANSIÓN MECÁNICA O ANCLAJES QUÍMICOS DE ACERO INOXIDABLE AISI 316 (Ø 3/8" × 3" DE LONGITUD MÍNIMA DE EMPOTRAMIENTO).</t>
  </si>
  <si>
    <t>SUMINISTRO E INSTALACIÓN DE VIDRIO TEMPLADO ANTI HURACAN DE SEGURIDAD 6 MM TEMPLADO + PVB SGP 1,52 MM + 6 MM TEMPLADO 13,52 MM CLASE 1B1 SEGÚN EN 12600 / ANSI Z97.1 CUMPLE ASTM E1886/E1996 NIVEL C (PROYECTIL DE 2 KG A 50 M/S) + 9.000 CICLOS DE PRESIÓN POSITIVA Y NEGATIVA DIM: 1,21 X 1,20, INCLUYE HERRAJES, ANCLAJES, SELLADO Y ACABADO FINAL.</t>
  </si>
  <si>
    <t>SUMINISTRO E INSTALACIÓN DE VIDRIO TEMPLADO ANTI HURACAN DE SEGURIDAD 6 MM TEMPLADO + PVB SGP 1,52 MM + 6 MM TEMPLADO 13,52 MM CLASE 1B1 SEGÚN EN 12600 / ANSI Z97.1 CUMPLE ASTM E1886/E1996 NIVEL C (PROYECTIL DE 2 KG A 50 M/S) + 9.000 CICLOS DE PRESIÓN POSITIVA Y NEGATIVA DIM: 1,41 X 1,20, INCLUYE HERRAJES, ANCLAJES, SELLADO Y ACABADO FINAL.</t>
  </si>
  <si>
    <t xml:space="preserve"> SUMINISTRO E INSTALACIÓN DE VIDRIO TEMPLADO ANTI HURACAN DE SEGURIDAD 6 MM TEMPLADO + PVB SGP 1,52 MM + 6 MM TEMPLADO 13,52 MM CLASE 1B1 SEGÚN EN 12600 / ANSI Z97.1 CUMPLE ASTM E1886/E1996 NIVEL C (PROYECTIL DE 2 KG A 50 M/S) + 9.000 CICLOS DE PRESIÓN POSITIVA Y NEGATIVA DIM: 1,14 X 1,20, INCLUYE HERRAJES, ANCLAJES, SELLADO Y ACABADO FINAL.</t>
  </si>
  <si>
    <t>SUMINISTRO E INSTALACIÓN DE VIDRIO TEMPLADO ANTI HURACAN DE SEGURIDAD 6 MM TEMPLADO + PVB SGP 1,52 MM + 6 MM TEMPLADO 13,52 MM CLASE 1B1 SEGÚN EN 12600 / ANSI Z97.1 CUMPLE ASTM E1886/E1996 NIVEL C (PROYECTIL DE 2 KG A 50 M/S) + 9.000 CICLOS DE PRESIÓN POSITIVA Y NEGATIVA DIM: 0,88 X 1,20, INCLUYE HERRAJES, ANCLAJES, SELLADO Y ACABADO FINAL.</t>
  </si>
  <si>
    <t xml:space="preserve"> SUMINISTRO E INSTALACIÓN DE VIDRIO TEMPLADO ANTI HURACAN DE SEGURIDAD 6 MM TEMPLADO + PVB SGP 1,52 MM + 6 MM TEMPLADO 13,52 MM CLASE 1B1 SEGÚN EN 12600 / ANSI Z97.1 CUMPLE ASTM E1886/E1996 NIVEL C (PROYECTIL DE 2 KG A 50 M/S) + 9.000 CICLOS DE PRESIÓN POSITIVA Y NEGATIVA DIM: 1,84 X 1,20, INCLUYE HERRAJES, ANCLAJES, SELLADO Y ACABADO FINAL.</t>
  </si>
  <si>
    <t>SUMINISTRO E INSTALACION DE CERRADURA DE MANIJA SATINADO FIXSER INOXIDABLE DIM: 74CM X 43,5 CM. MECANISMOS TUBULAR, SISTEMA DE PASADOR AJUSTABLE (BLACKSET) DESDE 60MM A 70MM/ SISTEMA DE PINO REGULAVEL (BLACKSET) DE 60MM A 70 MM. INCLUYE ACCESORIOS.</t>
  </si>
  <si>
    <t>SUMINISTRO E INSTALACION DECERRADURA DE INCRUSTAR PICO DE LORO + HALADERA DE ZAMAK, CON ESPESOR DE 40MM A 45MM, *BACKSET DE 40MM. CON VOLTEADOR INTERIOR PARA ASEGURARLA, SILINDRO DE PRIVACIDAD, SIN LLAVES, CUERPO DE ACERO. CANTONERA Y FACEPLATE DE ACERO INOXIDABLE.</t>
  </si>
  <si>
    <t>SUMINISTRO E INSTALACIÓN DE CIELO RASO ARQUITECTÓNICO SUSPENDIDO, CONFORMADO POR ESTRUCTURA METÁLICA GALVANIZADA EN PERFILERÍA TIPO CANAL Y OMEGAS, SUSPENDIDA MEDIANTE VARILLAS GALVANIZADAS Y ANCLAJES A LA LOSA. INCLUYE PANELES DE DRYWALL DE 12,7 MM, TRATAMIENTO DE JUNTAS CON CINTA Y MASILLA, ACABADO CON PINTURA, ELEMENTOS DECORATIVOS SUSPENDIDOS Y PERIMETRALES REVESTIDOS EN LISTONES DE WPC SOBRE ESTRUCTURA METÁLICA AUXILIAR, DE ACUERDO CON LOS DISEÑOS ARQUITECTÓNICOS, AISLAMIENTO ACÚSTICO MEDIANTE MANTA DE LANA MINERAL O LANA DE ROCA DE 50 MM DE ESPESOR Y DENSIDAD MÍNIMA DE 48 KG/M³, INSTALADA SOBRE EL CIELO RASO.</t>
  </si>
  <si>
    <t xml:space="preserve">SUMINISTRO E INSTALACIÓN DE TOMACORRIENTE DOBLE (110V), INCLUYE: TUBERÍA Y CABLEADO, CAJA, LIMPIEZA GENERAL. </t>
  </si>
  <si>
    <t xml:space="preserve">SUMINISTRO E INSTALACIÓN DE INTERRUPTOR  (DOBLE, SENCILLO, TRIPLE, CONMUTABLE) EMPOTRADO EN MURO, INCLUYE: TUBERÍA Y CABLEADO, CAJA, LIMPIEZA GENERAL. </t>
  </si>
  <si>
    <t>SUMINISTRO E INSTALACIÓN DE RED ELÉCTRICA PARA TOMAS CORRIENTES, INCLUYE: SOPORTES, LIMPIEZA GENERAL.</t>
  </si>
  <si>
    <t>SUMINISTRO E INSTALACION DE LÁMPARA HERMÉTICA LED 50W LUZ FRÍA IP 65, TEMPERATURA DE COLOR DE 6500K,EFICACIA LUMINOSA DE 100 LM/W Y UN FLUJO LUMINOSO DE 5400 LÚMENES, DIFUSOR DE LUZ ES DE POLICARBONATO Y ÁNGULO DE APERTURA ES DE 120°. USO EXCLUSIVO INTERIOR. DIM: 1,50CM X 5,9 CM X 3,9CM.</t>
  </si>
  <si>
    <t>SUMINISTRO E INTSLACIÓN DE CINTA LED IP45 DE 110V  LUZ CÁLIDA PARA INCRUSTAR 30W, TEMPERATURA DE COLOR 3000K, DIM: 1CM X 1CM.</t>
  </si>
  <si>
    <t xml:space="preserve">SUMINISTRO E INSTALACIÓN DE LÁMPARA COLGANTE LINEAL LED </t>
  </si>
  <si>
    <t>SUMINISTRO E INSTALACIÓN DE LUMINARIA TIPO BALA INCRUSTAR A TECHO DIRIGIBLE LED INTEGRADO NAOS 9001578424 4000K 5.5W,  YDLED-154/40/B/NAOS I, CRI 70, FOCO EMPOTRADO,100 V, 240 V FLUJO LUMINOSO 450, DIÁMETRO DE 90 MM Y PROFUNDIDAD DE 9.2.</t>
  </si>
  <si>
    <t>CABLEADO DE INTERRUPTORES</t>
  </si>
  <si>
    <t>INSTALACION DE TUBERIA PARA LUMINARIA</t>
  </si>
  <si>
    <t>TABLERO DE CONTROL</t>
  </si>
  <si>
    <t>PUNTO 220 W</t>
  </si>
  <si>
    <t xml:space="preserve">PARLANTES EMPOTADROS </t>
  </si>
  <si>
    <t>CABLEADO Y TUBERIA PARA PUNTOS DE SONIDOS</t>
  </si>
  <si>
    <t>SUMINISTRO E INSTALACION DE PANTALLA INTERACTIVA DE 85 CON CÁMARA, MODELO DS-D5C86RB/B2L PANTALLA UHD 4K CON UNA RESOLUCIÓN DE 3840 X 2160 Y UN BRILLO DE 480 NITS. DISEÑO ANTIRREFLEJO Y ANTIBLOQUEO PARA GARANTIZAR UNA INTERACCIÓN FLUIDA. RETROILUMINACIÓN 0,164 (H) X 0,493 (V) MM PASO DE PÍXELES 3840 X 2160 A 60 HZ.</t>
  </si>
  <si>
    <t>SUMINISTRO E INSTALACIÓN DS-05ABKY2-B SOPORTE DE PISO PARA PANTALLA PLANA DE HASTA 86", PANTALLA INTERACTIVA,COLOR GRIS PLATEADO, PLACA DE ACERO SPCC DE ALTA CALIDAD PULVERIZACIÓN DE CHAPA METÁLICA, 1730 (ANCHO) MM × 800 (ALTO) MM × 150 (PROFUNDIDAD) MM (68" X 31,5" X 5,9"), CAPACIDAD 135 KG, TAMAÑO DEL ESTANTE 1610×749×1710MM.</t>
  </si>
  <si>
    <t>SUMINISTRO E INSTALACIÓN DE MESA GORA TIPO BISTRO WHITE SPACE/ SPICED CHESNUT DE 75X75X70,5 CM CON SUPERFICIE EN FORMICA COMPACTA PARA EXTERIORES.</t>
  </si>
  <si>
    <t>SUMINISTRO E INSTALACIÓN DE SILLA SPYGA CON BRAZO PARA EXTERIOR COLOR ARENA DIM: 53X52CM H:80CM</t>
  </si>
  <si>
    <t>SUMINISTRO E INSTALACIÓN DE SOFA ALHAMN CAFÉ OSCURO, ALHAMN TURQUESA OSCURO, ALHAMN BEIGE, TELA ANTIFLUIDO, POLIURETANO DE GRAN ELASTICIDAD (ESPUMA FRÍA) 56 KG/M3, AGLOMERADO, MADERA MACIZA, MULTILAMINADO, POLIURETANO 35 KG/M3, TABLERO DE FIBRAS. DIM: 76X72X101 CM.</t>
  </si>
  <si>
    <t>SUMINISTRO E INSTALACIÓN DE MESA GORA TIPO BISTRO WHITE SPACE/ SPICED CHESNUT DE 75X75X70,5 CM CON SUPERFICIE EN FORMICA COMPACTA PARA INTERIORES.</t>
  </si>
  <si>
    <t>SUMINISTRO E INSTALACIÓN DE SILLA BORA ENCHAPADO EN CHAPILLA SARPAN OSCURO, ACABADO EN CARA SUPERIOR EN HPL GRAY OAK, DIM: 52X52CM H: 1,15CM</t>
  </si>
  <si>
    <t>SUMINISTRO E INSTALACIÓN DE SILLA GRETA TAUPE METAL/TELA, DIM: 53X52X77 CM.</t>
  </si>
  <si>
    <t>SUMINISTRO E INSTALACIÓN DE JARDINERA DE POLIURETANO COLOR CAFE 90X35CM CON BASE DE HIERRO RECTANGULAR CON RUEDAS 84CM.</t>
  </si>
  <si>
    <t>SUMINISTRO E INSTALACIÓN DE MESA DE BAR ALTA ROBLE O LENGA NOGAL 4/5, BASE DE FIERRO CON PINTURA ELECTROSTÁTICA, DIM: 120 CM × 65 CM × 110 CM.</t>
  </si>
  <si>
    <t>SUMINISTRO E INSTALACIÓN DE BLACKOUT ENROLLABLE MOTORIZADO CON TELA 100 % OPACA, PERFILERÍA DE ALUMINIO, MOTOR TUBULAR, ACCESORIOS DE FIJACIÓN Y PUESTA EN FUNCIONAMIENTO, PUNTO ELÉCTRICO PARA ALIMENTACIÓN DE BLACKOUT MOTORIZADO, INCLUYENDO CANALIZACIÓN, CABLEADO, CAJAS, INTERRUPTOR O CONTROLADOR, CONEXIONES, PRUEBAS Y TODOS LOS ACCESORIOS NECESARIOS PARA SU CORRECTO FUNCIONAMIENTO. SEGÚN DISEÑO.</t>
  </si>
  <si>
    <t>PERGOLAS SUMINISTRO E INSTALACIÓN PÉRGOLA METÁLICA PARA AZOTEA,  ESTRUCTURA EN ACERO ASTM A500 GRADO B CON COLUMNAS EN TUBO ESTRUCTURAL DE 100 × 100 × 4 MM, VIGAS PRINCIPALES EN TUBO RECTANGULAR DE 200 × 100 × 4 MM Y VIGAS SECUNDARIAS EN TUBO RECTANGULAR DE 100 × 50 × 3 MM, CON PLACAS BASE DE 250 × 250 × 12 MM Y PERNOS DE ANCLAJE M16 GRADO 8.8. INCLUYE SUMINISTRO E INSTALACIÓN DE LISTONES DE WPC  PARA EXTERIORES, RESISTENTES A LA HUMEDAD Y A LOS RAYOS UV, FIJADOS A LA ESTRUCTURA MEDIANTE TORNILLERÍA O SISTEMA DE FIJACIÓN OCULTO SEGÚN ESPECIFICACIONES DEL FABRICANTE. INCLUYE SOLDADURAS, PROTECCIÓN ANTICORROSIVA, PINTURA DE ACABADO PARA EXTERIORES, ELEMENTOS DE FIJACIÓN, TRANSPORTE, MONTAJE, NIVELACIÓN, LIMPIEZA FINAL Y TODOS LOS MATERIALES, EQUIPOS Y MANO DE OBRA NECESARIOS PARA SU CORRECTA EJECUCIÓN Y FUNCIONAMIENTO,</t>
  </si>
  <si>
    <t xml:space="preserve"> BARRA DE BEBIDAS MODERNA, CON ENTREPAÑOS, 2 PUERTAS Y ESPACIOS PARA UBICAR OBJETOS, DE FÁCIL INSTALACIÓN, MADERA AGLOMERADA MDP, RECUBIERTA CON LÁMINAS MELAMÍNICAS DE EXCELENTE CALIDAD, EN COLOR KRONOS WENGUE Y KRONOS FRESNO.
DIM:  H:89,2  ANCHO: 150 CM FONDO: 62 CM.</t>
  </si>
  <si>
    <t>MUEBLE PARA CAFETERIA</t>
  </si>
  <si>
    <t>MESA PARA SAMOVAR</t>
  </si>
  <si>
    <t>BARRA PARA SAMOVAR</t>
  </si>
  <si>
    <t>SUMINISTRACIÓN E INSTALACIÓN DE SAMOVAR DE 13 LTS DIM 58*35*30 CM, ESTRUCTURA INFERIOR EN ACERO INOXIDABLE AISI 430, AZAFATE 1/1 EN ACERO INOXIDABLE AISI 304, MANIJA TIPO PLÁSTICO COLOR NEGRO. SISTEMA TIPO BAÑO MARIA.</t>
  </si>
  <si>
    <t>SUMINISTRO E INSTALCIÓN DE SANITARIO LÍNEA INSTITUCIONAL Y FLUXÓMETRO PARA SANITARIO, MANOS LIBRES CON SENSOR, INCRUSTADO EN LA PARED.</t>
  </si>
  <si>
    <t>SUMINISTRO E INSTALACIÓN DE ORINAL GOTTA ANTIBACATERIAL ENTRADA POSTERIOR. DISEÑO ORGÁNICO GOTTA CONSUMO 0,5 LTS POR DESCARGA O SIMILAR Y FLUXÓMETRO PARA ORINAL, MANOS LIBRES CON SEONSOR, INCRUSTADO EN LA PARED O SIMILAR.</t>
  </si>
  <si>
    <t xml:space="preserve"> SUMINISTRO E INSTALACIÓN DE UNIDAD SANITARIA TIPO LAVAMANOS EMPOTRADO DOBLE EN MESÓN, DIM: 1,00 X 0,60 X 0,17 PARA INSTALACIÓN EN BAÑO CON CUBIERTA DE APOYO INTEGRADA.</t>
  </si>
  <si>
    <t>SUMINISTRO E INSTALACIÓN DE UNIDAD SANITARIA TIPO LAVAMANOS DE COLGAR EN PARED, TOTO O SIMILAR.</t>
  </si>
  <si>
    <t>SUMINISTRO E INSTALACIÓN DE SECADOR DE MANOS CARCASA EN ACERO INOXIDABLE 304 SATINADO CALIBRE 1,2 MM. DIM 24*21,6*16,5 CM. MOTOR SIN ESCOBILLAS. SENSOR DE 10 A 30 CMS. INDICADOR LED DE COLOR, DE SALIDA DE AIRE.</t>
  </si>
  <si>
    <t>SUMINISTRO E INSTALACIÓN DE DISPENSADOR DE JABÓN PARA INSTALAR EN PARED CON TORNILLOS ESCONDIDOS. CUERPO CILÍNDRICO EN ACERO INOXIDABLE SATINADO. CAPACIDAD DE 0,25 LTS. PUSH FRONTAL. DIM: DIAM: 6CM H: 20CM PROF: 9CM.</t>
  </si>
  <si>
    <t xml:space="preserve">SUMINISTRO E INSTALACIÓN DE GABINETE DE TOALLAS DE EMPOTRAR EN LA PARED, EN ACERO INOXIDABLE 304. </t>
  </si>
  <si>
    <t>SUMINISTRO E INSTALACIÓN DE PROTECTORES PARA PAPEL HIGIÉNICO DE SOBREPONER EN LA PARED. DIM 27*27,5*12 CM. EN ACERO INOXIDABLE SATINADO 304, CERRADURA CON LLAVE.</t>
  </si>
  <si>
    <t>SUMINISTRO E INSTALACIÓN DE CANECA DE PEDAL CON TAPA EN ACERO INOXIDABLE BRILLANTE 430. RECIPIENTE INTERIOR PLÁSTICO. CAPACIDAD 5 LTS DIM: 21CM ALTO: 32CM.</t>
  </si>
  <si>
    <t>SUMINISTRO E INSTALACIÓN DE ESPEJO FLOTADO 4 MM. DIM: 0,90X 2,00 INCLUYE PERFILERIA COLOR NEGRO.</t>
  </si>
  <si>
    <t>SUMINISTRO E INSTALACIÓN DE DIVISIONES MÉTALICAS PARA SANITARIO ELABORADO EN LAMINAS DE ACERO INOXIDABLE AISI 304 CON INYECCIÓN DE POLIMERO DE LATA DENSIDAD. PARAL, PUERTA Y ZOCALO ELABORADOS EN LAMINA DE CAERO INOXIDABLE. TODAS LAS PIEZAS CON ACABADO EXTERNO SATINADO. HERRAJES COMPUESTOS POR UN PASADOR, PERCHERO Y BISAGRAS ELAABORADOS EN LAMINAS DE ACERO INOXIDABLE.</t>
  </si>
  <si>
    <t xml:space="preserve"> SUMINISTRO E INSTALACIÓN DE DIVISIONES MÉTALICAS PARA ORINAL ELEBORADO EN LÁMINAS DE ACERO INOXIDABLE AISI 304 CON INYECCIÓN DE POLIMERO DE ALTA DENSIDAD. TODAS LAS PIEZAS CON ACABADOS EXTERNOS SATINADO. DIM: 0,60 X 0,70 X 0,04</t>
  </si>
  <si>
    <t>SUMINISTRO E INSTALACIÓN DE GRIFERÍA DE MESÓN PARA LAVAMANOS CUELLO BAJO TIPO PUSH PARA AGUA FRIA. PICO METÁLICO CROMADO.</t>
  </si>
  <si>
    <t>SUMINISTRO E INSTALACIÓN DE PUSH TIPO HONGO ACERO + SIFÓN FLEXIBLE METALIZADO PVC PARA LAVAMANOS.</t>
  </si>
  <si>
    <t xml:space="preserve">SUMINISTRACIÓN E INSTALACIÓN DE PUERTA PARA DIVISIONES DE BAÑOS MÉTALICAS ELABORADO EN LÁMINA DE ACERO INOXIDABLE AISI 304 CON INYECCIÓN DE POLIMERO DE ALTA DENSIDAD. </t>
  </si>
  <si>
    <t xml:space="preserve"> SUMINISTRO E INSTALACIÓN DE SISTEMA DE PUESTA A TIERRA CON DISPOSICIÓN RECTANGULAR. INCLUYE CABLE DE COBRE N. 2/0 AWG, 6 ELECTRODS E 5/8 X 2,4M, SOLDADURA EXOTERMICA.</t>
  </si>
  <si>
    <t>SUMINISTRO E INSTALACIÓN DE BARRAJE EQUIPOTENCIAL DE 1000A. INCLUYE AISLADORES Y CONEXIÓN A MALLA POR MEDIO DE CABLE N. 2/0 AWG Y SOLDADURA EXOTÉRMICA.</t>
  </si>
  <si>
    <t>SUMINISTRO E INSTALACIÓN DE REGISTRO DE INSPECCIÓN PARA SISTEMA DE PUESTA A TIERRA, DIM: 30X30CM.</t>
  </si>
  <si>
    <t>PUNTO ALL - 4"</t>
  </si>
  <si>
    <t>CAJA DE INSPECCION EN CONCRETO (INCLUYE EXCAVACION) 1.0 M X 1.0 M</t>
  </si>
  <si>
    <t>CANAL PARA ALL_ EN PVC, INCLUYE: ELEMENTOS DE ANCLAJE PARA SU INSTALACIÓN.</t>
  </si>
  <si>
    <t>TANQUE HIDROFLO 300 LITROS</t>
  </si>
  <si>
    <t>SUMINISTRO E INSTALACIÓN TUBERÍA PVC PRESIÓN 3"</t>
  </si>
  <si>
    <t>SUMINISTRO E INSTALACIÓN TANQUE DE FIBRA DE VIDRIO DE 30.000 LITROS O SIMILAR</t>
  </si>
  <si>
    <t>SUMINISTRO E INSTALCIÓN DE PORCELANATO RECTIFICADO BLANCO DE 30 X 901CM BRILLANTE O SIMILAR H: 2,40MT.</t>
  </si>
  <si>
    <t>SUMINISTRO E INSTALACIÓN DE CENEFA SUPERIOR EN PORCELANATO 30X90.</t>
  </si>
  <si>
    <t>SUMINISTRO EINSTALACIÓN DE ZÓCALO PORCELANATO® RECTIFICADO WEST ARD® PRO GRIS CLARO CARAS DIFERENCIADAS 60X60 ACABADO MATE, ESPESRO 8.7 MM A 9.3 MM, REF 608552511.</t>
  </si>
  <si>
    <t>REVISION Y AJUSTES DE DISENOS</t>
  </si>
  <si>
    <t xml:space="preserve">M2 </t>
  </si>
  <si>
    <t xml:space="preserve">UN </t>
  </si>
  <si>
    <t>SUBTOTAL</t>
  </si>
  <si>
    <t>UNIVERSIDAD DEL ATLANTICO</t>
  </si>
  <si>
    <r>
      <t>Dispenser/Protector papel higiénico acero 304 (Dim: 27</t>
    </r>
    <r>
      <rPr>
        <i/>
        <sz val="9"/>
        <color theme="1"/>
        <rFont val="Arial"/>
        <family val="2"/>
      </rPr>
      <t>27.5</t>
    </r>
    <r>
      <rPr>
        <sz val="9"/>
        <color theme="1"/>
        <rFont val="Arial"/>
        <family val="2"/>
      </rPr>
      <t>12 cm)</t>
    </r>
  </si>
  <si>
    <t>c</t>
  </si>
  <si>
    <t>BARRA DE BEBDIDAS MODERNAS</t>
  </si>
  <si>
    <t>ACOMETIDA TOTALIZADORA (INCLUYE CONEXIÓN A LA RED PUBLICA ACOMETIDA CORTA/LARGA, MEDIDOR TOTALIZADOR, VALVULAS, ACCESORIOS, EXCAVACION Y CAJA EN PISO) 3/4"</t>
  </si>
  <si>
    <t>EQ01</t>
  </si>
  <si>
    <t>Herramienta menor (juego llaves, cortadores, roscadoras manuales)</t>
  </si>
  <si>
    <t>II. MATERIALES DE OBRA</t>
  </si>
  <si>
    <t>Medidor totalizador de agua 3/4"</t>
  </si>
  <si>
    <t>Acometida corta/larga PVC.P RDE21 3/4"</t>
  </si>
  <si>
    <t>Válvula de corte tipo bola 3/4"</t>
  </si>
  <si>
    <t>Accesorios PVC.P (uniones, adaptadores, codos)</t>
  </si>
  <si>
    <t>Caja en piso prefabricada + tapa</t>
  </si>
  <si>
    <t>Concreto 3000 PSI para dado y solera de caja</t>
  </si>
  <si>
    <t>III. TRANSPORTE</t>
  </si>
  <si>
    <t>DISTANCIA</t>
  </si>
  <si>
    <t>T01</t>
  </si>
  <si>
    <t>Transporte materiales a sitio de obra</t>
  </si>
  <si>
    <t>IV. MANO DE OBRA</t>
  </si>
  <si>
    <t>Cant</t>
  </si>
  <si>
    <t>MO01</t>
  </si>
  <si>
    <t>Ayudante de plomería (excavación manual)</t>
  </si>
  <si>
    <t>MO02</t>
  </si>
  <si>
    <t>Plomero / oficial hidrosanitario (instalación acometida y caja)</t>
  </si>
  <si>
    <t>COSTO / VALOR UNITARIO</t>
  </si>
  <si>
    <t>Niples, uniones y cinta teflón</t>
  </si>
  <si>
    <t>Transporte de válvula a sitio de obra</t>
  </si>
  <si>
    <t>Plomero / oficial hidrosanitario</t>
  </si>
  <si>
    <t>Tubería PVC.P RDE21 1/2"</t>
  </si>
  <si>
    <t>Accesorios PVC.P 1/2" (codos, tees, uniones)</t>
  </si>
  <si>
    <t>Pegante PVC + limpiador</t>
  </si>
  <si>
    <t>Cinta teflón y soportes/abrazaderas</t>
  </si>
  <si>
    <t>Transporte de materiales</t>
  </si>
  <si>
    <t>Plomero + ayudante (punto hidráulico)</t>
  </si>
  <si>
    <t>Pegante PVC + limpiador (prorrateo por metro)</t>
  </si>
  <si>
    <t>Soportes y abrazaderas (prorrateo por metro)</t>
  </si>
  <si>
    <t>Transporte de tubería</t>
  </si>
  <si>
    <t>Plomero + ayudante (tendido e instalación por metro)</t>
  </si>
  <si>
    <t>ACCESORIO PVC.P 1/2"</t>
  </si>
  <si>
    <t>Pegante PVC + limpiador (prorrateo)</t>
  </si>
  <si>
    <t>Transporte de accesorios</t>
  </si>
  <si>
    <t>Plomero (instalación de accesorio)</t>
  </si>
  <si>
    <t>ACCESORIO PVC.P 3/4"</t>
  </si>
  <si>
    <t xml:space="preserve">RED CONTRAINCEDIO </t>
  </si>
  <si>
    <t>Uniones, niples y teflón</t>
  </si>
  <si>
    <t>Transporte de válvula</t>
  </si>
  <si>
    <t>ABRAZADERA TIPO PERA/U 1/2"</t>
  </si>
  <si>
    <t>Transporte</t>
  </si>
  <si>
    <t>Ayudante de plomería</t>
  </si>
  <si>
    <t>Ayudante de obra (instalación de tapa)</t>
  </si>
  <si>
    <t>LAVAMANOS PVC.S 4"</t>
  </si>
  <si>
    <t>Tubería PVC.S (tramo corto de salida)</t>
  </si>
  <si>
    <t>Accesorios PVC.S (codos, yee, reducciones)</t>
  </si>
  <si>
    <t>Pegante PVC.S + limpiador</t>
  </si>
  <si>
    <t>Abrazaderas y soportes</t>
  </si>
  <si>
    <t>Plomero + ayudante (salida sanitaria)</t>
  </si>
  <si>
    <t>LAVAPLATOS PVC.S 2"</t>
  </si>
  <si>
    <t>SANITARIO PVC.S 2"</t>
  </si>
  <si>
    <t>POCETA PVC.S 2"</t>
  </si>
  <si>
    <t>ORINAL PVC.S 2"</t>
  </si>
  <si>
    <t>PUNTO BARRA PVC.S 2"</t>
  </si>
  <si>
    <t>TUBERIA PVC.S 2"</t>
  </si>
  <si>
    <t>M602</t>
  </si>
  <si>
    <t>Pegante PVC.S + limpiador (prorrateo por metro)</t>
  </si>
  <si>
    <t>M603</t>
  </si>
  <si>
    <t>Plomero + ayudante (tendido de red)</t>
  </si>
  <si>
    <t>ACCESORIO PVC.S 2"</t>
  </si>
  <si>
    <t>M610</t>
  </si>
  <si>
    <t>M611</t>
  </si>
  <si>
    <t>Pegante PVC.S + limpiador (prorrateo)</t>
  </si>
  <si>
    <t>TUBERIA PVC.S 4"</t>
  </si>
  <si>
    <t>ACCESORIO PVC.S 4"</t>
  </si>
  <si>
    <t>ABRAZADERA TIPO PERA/U 2"</t>
  </si>
  <si>
    <t>M620</t>
  </si>
  <si>
    <t>REJILLA EN ALUMINIO PARA SIFONES DE PISO 2"</t>
  </si>
  <si>
    <t>M640</t>
  </si>
  <si>
    <t>Ayudante (instalación de rejilla)</t>
  </si>
  <si>
    <t>TUBERIA PVC.S 2" (VENTILACION)</t>
  </si>
  <si>
    <t>ACCESORIO PVC.S 2" (VENTILACION)</t>
  </si>
  <si>
    <t>ABRAZADERA TIPO PERA/U 2" (VENTILACION)</t>
  </si>
  <si>
    <t>M630</t>
  </si>
  <si>
    <t>M631</t>
  </si>
  <si>
    <t>Uniones y accesorios de conexión</t>
  </si>
  <si>
    <t>Plomero (instalación de válvula)</t>
  </si>
  <si>
    <t>TUBERIA PVC.S 2" (AGUAS LLUVIAS)</t>
  </si>
  <si>
    <t>ACCESORIO PVC.S 2" (AGUAS LLUVIAS)</t>
  </si>
  <si>
    <t>TUBERIA PVC.S 4" (AGUAS LLUVIAS)</t>
  </si>
  <si>
    <t>ACCESORIO PVC.S 4" (AGUAS LLUVIAS)</t>
  </si>
  <si>
    <t>ABRAZADERA TIPO PERA/U 2" (AGUAS LLUVIAS)</t>
  </si>
  <si>
    <t>ABRAZADERA TIPO PERA/U 4" (AGUAS LLUVIAS)</t>
  </si>
  <si>
    <t>M650</t>
  </si>
  <si>
    <t>Tubería y accesorios PVC.S 4" (bajante)</t>
  </si>
  <si>
    <t>M651</t>
  </si>
  <si>
    <t>Pegante, limpiador y soportes</t>
  </si>
  <si>
    <t>Plomero + ayudante (punto de aguas lluvias)</t>
  </si>
  <si>
    <t>CUPULA CONCENTRICA EN ALUMINIO C-4" X 3"</t>
  </si>
  <si>
    <t>M660</t>
  </si>
  <si>
    <t>Ayudante (instalación de cúpula)</t>
  </si>
  <si>
    <t>M910</t>
  </si>
  <si>
    <t>Consumibles de montaje (silicona, empaques, tornillería)</t>
  </si>
  <si>
    <t>Plomero (montaje y conexión de aparato sanitario)</t>
  </si>
  <si>
    <t>M.O. MONTAJE SANITARIO DE TANQUE (NO INCLUYE ELEMENTO DE CONEXIÓN CON EL APARATO, SUMINISTRA CONSTRUCTOR)</t>
  </si>
  <si>
    <t>C</t>
  </si>
  <si>
    <t>M.O. MONTAJE POCETA (NO INCLUYE ELEMENTO DE CONEXIÓN CON EL APARATO, SUMINISTRA CONSTRUCTOR)</t>
  </si>
  <si>
    <t>M.O. MONTAJE ORINAL (NO INCLUYE ELEMENTO DE CONEXIÓN CON EL APARATO, SUMINISTRA CONSTRUCTOR)</t>
  </si>
  <si>
    <t>Ayudante de obra</t>
  </si>
  <si>
    <t>Oficial de obra (montaje de tanque)</t>
  </si>
  <si>
    <t>Ayudante técnico</t>
  </si>
  <si>
    <t>Técnico hidráulico especializado (montaje equipo de bombeo)</t>
  </si>
  <si>
    <t>M901</t>
  </si>
  <si>
    <t>Trampa de grasas en acero inoxidable</t>
  </si>
  <si>
    <t>M902</t>
  </si>
  <si>
    <t>Accesorios de conexión y anclajes</t>
  </si>
  <si>
    <t>Oficial + ayudante (montaje trampa de grasas)</t>
  </si>
  <si>
    <t>CAJA DE INSPECCION EN CONCRETO (INCLUYE EXCAVACION) ALL 0.60 M X 0.60 M</t>
  </si>
  <si>
    <t>Herramienta menor</t>
  </si>
  <si>
    <t>EQ02</t>
  </si>
  <si>
    <t>Vibrador de concreto (alquiler/hora)</t>
  </si>
  <si>
    <t>M1001</t>
  </si>
  <si>
    <t>Concreto 3000 PSI</t>
  </si>
  <si>
    <t>M1002</t>
  </si>
  <si>
    <t>Acero de refuerzo Fy=60000 PSI</t>
  </si>
  <si>
    <t>M1003</t>
  </si>
  <si>
    <t>Formaleta en madera (préstamo)</t>
  </si>
  <si>
    <t>M1004</t>
  </si>
  <si>
    <t>Mortero de pega e impermeabilizante</t>
  </si>
  <si>
    <t>M1005</t>
  </si>
  <si>
    <t>Tapa en concreto/aluminio para caja</t>
  </si>
  <si>
    <t>Transporte de materiales pétreos</t>
  </si>
  <si>
    <t>Ayudante de obra (excavación y relleno)</t>
  </si>
  <si>
    <t>Oficial de obra (construcción de caja en concreto)</t>
  </si>
  <si>
    <t>CAJA DE INSPECCION EN CONCRETO (INCLUYE EXCAVACION) AR 0.80 M X 0.80 M</t>
  </si>
  <si>
    <t>Retiro de material sobrante</t>
  </si>
  <si>
    <t>Cuadrilla excavación manual (1 oficial + 1 ayudante)</t>
  </si>
  <si>
    <t>SUMINISTRO E INSTALACION DE MOTOGENERADOR DE 630 KVA CON CABINA INSONORIZADA PARA COBERTURA BLOQUE D</t>
  </si>
  <si>
    <t>EQ-01</t>
  </si>
  <si>
    <t>Herramienta menor (global)</t>
  </si>
  <si>
    <t>EQ-02</t>
  </si>
  <si>
    <t>Equipo de izaje - grua telescopica 20-30 Ton (12 h x $260.000/h)</t>
  </si>
  <si>
    <t>EQ-03</t>
  </si>
  <si>
    <t>Equipo de soldadura (conexion escape / anclajes) (6 h x $45.000/h)</t>
  </si>
  <si>
    <t>MT-01</t>
  </si>
  <si>
    <t>Motogenerador diesel 630 kVA con cabina insonorizada, tanque de combustible integrado y panel de control local (segun ficha tecnica del fabricante)</t>
  </si>
  <si>
    <t>MT-02</t>
  </si>
  <si>
    <t>Sistema de escape (silenciador residencial, tuberia, codos y soportes)</t>
  </si>
  <si>
    <t>MT-03</t>
  </si>
  <si>
    <t>Base antivibratoria y anclajes estructurales</t>
  </si>
  <si>
    <t>MT-04</t>
  </si>
  <si>
    <t>Cableado de potencia (conductores THHN/THW, terminales y canalizacion)</t>
  </si>
  <si>
    <t>MT-05</t>
  </si>
  <si>
    <t>Sistema de puesta a tierra del equipo (electrodos, conductor, soldadura exotermica)</t>
  </si>
  <si>
    <t>MT-06</t>
  </si>
  <si>
    <t>Accesorios menores, tornilleria y pintura anticorrosiva</t>
  </si>
  <si>
    <t>DISTANCIA / TARIFA(M3-KM)</t>
  </si>
  <si>
    <t>TR-01</t>
  </si>
  <si>
    <t>Transporte especializado del motogenerador (cama baja + grua) desde bodega/proveedor hasta obra</t>
  </si>
  <si>
    <t>VJ</t>
  </si>
  <si>
    <t>220 km / $ 20,000</t>
  </si>
  <si>
    <t>M-01</t>
  </si>
  <si>
    <t>Cuadrilla instalacion electromecanica (1 Oficial + 3 Ayudantes)</t>
  </si>
  <si>
    <t>M-02</t>
  </si>
  <si>
    <t>Tecnico electricista (conexionado y protecciones)</t>
  </si>
  <si>
    <t>M-03</t>
  </si>
  <si>
    <t>Tecnico especializado puesta en marcha y pruebas (representante fabricante)</t>
  </si>
  <si>
    <t>Equipo de izaje / aparejo para montaje de tablero (6 h x $150.000/h)</t>
  </si>
  <si>
    <t>Equipo de pruebas electricas (multimetro, megohmetro, cargas de prueba) (4 h x $60.000/h)</t>
  </si>
  <si>
    <t>Tablero de transferencia automatica 3E/2S, incluye interruptores de potencia motorizados, barras de cobre, sistema de enclavamiento mecanico y electrico, controlador de transferencia y reles de proteccion (segun ficha tecnica del fabricante, incluye pruebas FAT)</t>
  </si>
  <si>
    <t>Cableado interno de control y potencia, terminales y canalizacion</t>
  </si>
  <si>
    <t>Gabinete metalico, anclajes y accesorios de montaje</t>
  </si>
  <si>
    <t>Sistema de puesta a tierra del tablero (electrodos, conductor, soldadura exotermica)</t>
  </si>
  <si>
    <t>Accesorios menores, tornilleria, senalizacion y placas de identificacion</t>
  </si>
  <si>
    <t>Transporte especializado del tablero desde fabrica/bodega hasta obra</t>
  </si>
  <si>
    <t>150 km / $ 15,000</t>
  </si>
  <si>
    <t>Cuadrilla instalacion electrica (1 Oficial + 3 Ayudantes)</t>
  </si>
  <si>
    <t>Tecnico especializado en sincronismo / PLC (representante fabricante)</t>
  </si>
  <si>
    <t>Tecnico electricista auxiliar (conexionado)</t>
  </si>
  <si>
    <t>MANO DE OBRA RELLENO CON MATERIAL SELECCIONADO DE LA EXCAVACION</t>
  </si>
  <si>
    <t>Compactador tipo canguro (alquiler/hora)</t>
  </si>
  <si>
    <t>Transporte interno de material</t>
  </si>
  <si>
    <t>Cuadrilla de obra (1 oficial + 2 ayudantes) - relleno y compactación</t>
  </si>
  <si>
    <t>M1201</t>
  </si>
  <si>
    <t>Recebo compactado (material de préstamo)</t>
  </si>
  <si>
    <t>M1202</t>
  </si>
  <si>
    <t>Arena de peña</t>
  </si>
  <si>
    <t>Transporte de arena</t>
  </si>
  <si>
    <t>Ayudante de obra (extendido y compactación manual)</t>
  </si>
  <si>
    <t>M1301</t>
  </si>
  <si>
    <t>Canal en PVC para aguas lluvias</t>
  </si>
  <si>
    <t>M1302</t>
  </si>
  <si>
    <t>Elementos de anclaje (soportes, tornillería)</t>
  </si>
  <si>
    <t>Transporte de canales</t>
  </si>
  <si>
    <t>Oficial + ayudante (instalación de canal por metro lineal)</t>
  </si>
  <si>
    <t>M1310</t>
  </si>
  <si>
    <t>Impresión, planos y elementos de entrega (planos record / manual O&amp;M)</t>
  </si>
  <si>
    <t>Ingeniero / técnico hidrosanitario (elaboración de documento técnico)</t>
  </si>
  <si>
    <t>Equipo de prueba hidrostática / bomba de presión</t>
  </si>
  <si>
    <t>M1320</t>
  </si>
  <si>
    <t>Agua, tapones y accesorios temporales de prueba</t>
  </si>
  <si>
    <t>Técnico hidráulico (ejecución y verificación de prueba por zona)</t>
  </si>
  <si>
    <t>M1401</t>
  </si>
  <si>
    <t>Derechos y formularios ante la empresa de acueducto</t>
  </si>
  <si>
    <t>Desplazamiento a oficinas de la empresa municipal</t>
  </si>
  <si>
    <t>Gestor / tramitador (radicación y seguimiento de solicitud)</t>
  </si>
  <si>
    <t>Ranuradora de tubería (alquiler/hora)</t>
  </si>
  <si>
    <t>M1501</t>
  </si>
  <si>
    <t>M1502</t>
  </si>
  <si>
    <t>Pintura anticorrosiva de taller</t>
  </si>
  <si>
    <t>M1503</t>
  </si>
  <si>
    <t>Soportes y colgantes</t>
  </si>
  <si>
    <t>Transporte de tubería en acero</t>
  </si>
  <si>
    <t>Técnico soldador/ranurador + ayudante (instalación red CI)</t>
  </si>
  <si>
    <t>ACCESORIO RANURADO UL/FM 1 1/2</t>
  </si>
  <si>
    <t>Equipo de ranurado/acople</t>
  </si>
  <si>
    <t>M1510</t>
  </si>
  <si>
    <t>ACCESORIO RANURADO UL/FM 1 1/2" (acoples y empaques UL/FM)</t>
  </si>
  <si>
    <t>Transporte de accesorios ranurados</t>
  </si>
  <si>
    <t>Técnico instalador de redes CI</t>
  </si>
  <si>
    <t>ACCESORIO RANURADO UL/FM 2 1/2"</t>
  </si>
  <si>
    <t>ACCESORIO RANURADO UL/FM 2 1/2" (acoples y empaques UL/FM)</t>
  </si>
  <si>
    <t>ACCESORIO RANURADO UL/FM 1" (acoples y empaques UL/FM)</t>
  </si>
  <si>
    <t>ACCESORIO RANURADO UL/FM 4" (acoples y empaques UL/FM)</t>
  </si>
  <si>
    <t>M1520</t>
  </si>
  <si>
    <t>Rociador tipo pendant 1/2" UL/FM</t>
  </si>
  <si>
    <t>M1521</t>
  </si>
  <si>
    <t>Niple y rosetón de acabado</t>
  </si>
  <si>
    <t>Transporte de rociadores</t>
  </si>
  <si>
    <t>Técnico instalador de redes contraincendio</t>
  </si>
  <si>
    <t>Uniones, empaques y tornillería</t>
  </si>
  <si>
    <t>M1602</t>
  </si>
  <si>
    <t>M1601</t>
  </si>
  <si>
    <t>M1701</t>
  </si>
  <si>
    <t>M1702</t>
  </si>
  <si>
    <t>Anclajes y tornillería de fijación</t>
  </si>
  <si>
    <t>Técnico + ayudante (instalación de gabinete/conexión)</t>
  </si>
  <si>
    <t>CONEXIÓN PARA BOMBEROS O SIAMESA EN BRONCE CON DOS ENTRADAS DE Ø2½" 4" X 2.1/2" X 2.1/2"</t>
  </si>
  <si>
    <t>PLAQUETA DE IDENTIFICACION EN ACRILICO CONEXIONES DE MANGUERAS CLASE I</t>
  </si>
  <si>
    <t>M1801</t>
  </si>
  <si>
    <t>Ayudante de obra (fijación de plaqueta)</t>
  </si>
  <si>
    <t>M1901</t>
  </si>
  <si>
    <t>Pintura anticorrosiva + esmalte sintético</t>
  </si>
  <si>
    <t>Transporte de pinturas</t>
  </si>
  <si>
    <t>Pintor de obra (aplicación anticorrosivo + esmalte por metro)</t>
  </si>
  <si>
    <t>Equipo de prueba hidrostática (bomba de presión)</t>
  </si>
  <si>
    <t>M2001</t>
  </si>
  <si>
    <t>Técnico hidráulico (ejecución de prueba hidrostática)</t>
  </si>
  <si>
    <t>EXTINTOR PORTÁTIL DE POLVO QUÍMICO ABC, CAPACIDAD 10 LBS. (4,54 KG), POTENCIAL 10A:60B:C, COMPLETAMENTE CARGADO, CON TARJETA DE CONTROL DE MANTENIMIENTO, LISTADO POR U.L., MARCA RECOMENDADA: ANSUL O BUCKEYE (INCLUYE SOPORTE PARA SUJETAR EN LA PARED).</t>
  </si>
  <si>
    <t>M2101</t>
  </si>
  <si>
    <t>EXTINTOR PORTÁTIL DE POLVO QUÍMICO ABC, CAPACIDAD 10 LBS. (4,54 KG), P</t>
  </si>
  <si>
    <t>M2102</t>
  </si>
  <si>
    <t>Soporte de pared y tarjeta de control</t>
  </si>
  <si>
    <t>Transporte de extintores</t>
  </si>
  <si>
    <t>Ayudante de obra (instalación de extintor y señalización)</t>
  </si>
  <si>
    <t>EXTINTOR PORTÁTIL DE DIÓXIDO DE CARBONO (CO2), CAPACIDAD 10 LBS. (4,54 KG), POTENCIAL 10B:C, COMPLETAMENTE CARGADO, CON TARJETA DE CONTROL DE MANTENIMIENTO, LISTADO POR U.L., MARCA RECOMENDADA: ANSULO O BUCKEYE (INCLUYE SOPORTE PARA SUJETAR A PARED).</t>
  </si>
  <si>
    <t>EXTINTOR PORTÁTIL DE DIÓXIDO DE CARBONO (CO2), CAPACIDAD 10 LBS. (4,54</t>
  </si>
  <si>
    <t>Técnico especializado + ayudante (montaje, conexión y puesta en marcha)</t>
  </si>
  <si>
    <t>Transporte especializado del equipo</t>
  </si>
  <si>
    <t>Accesorios, anclajes, pernería y conexiones</t>
  </si>
  <si>
    <t>M2202</t>
  </si>
  <si>
    <t>SUMINISTRO, INSTALACIÓN Y PUESTA EN MARCHA DE EQUIPO DE PRESIÓN CONSTANTE C</t>
  </si>
  <si>
    <t>M2201</t>
  </si>
  <si>
    <t>Equipo de izaje (polipasto/tecle)</t>
  </si>
  <si>
    <t>SUMINISTRO, INSTALACIÓN Y PUESTA EN MARCHA DE EQUIPO DE PRESIÓN CONSTANTE CON TANQUE HIDROACUMULADOR DUPLEX (2 BOMBAS) 300 LITROS, 40-60 PSI, DOS BOMBAS Q=6,47 LPS HDT=26,62 MCA, MOTORES 5,5 HP 3500RPM 220V 3F 60HZ TEFC IP55</t>
  </si>
  <si>
    <t>CHEQUE DE 2" HORIZONTAL</t>
  </si>
  <si>
    <t>M2220</t>
  </si>
  <si>
    <t>M2221</t>
  </si>
  <si>
    <t>Accesorios de conexión y tornillería</t>
  </si>
  <si>
    <t>Técnico especializado en cuarto de bombas</t>
  </si>
  <si>
    <t>SWITCH FLOTADOR DE ESFERA</t>
  </si>
  <si>
    <t>MANOMETRO GLICERINA 250 PSI</t>
  </si>
  <si>
    <t>M2210</t>
  </si>
  <si>
    <t>Tubería PVC presión 3"</t>
  </si>
  <si>
    <t>M2211</t>
  </si>
  <si>
    <t>Pegante, uniones y soportes</t>
  </si>
  <si>
    <t>Plomero + ayudante (instalación tubería a presión)</t>
  </si>
  <si>
    <t>SUMINISTRO E INSTALACIÓN TANQUE DE FIBRA DE VIDRIO DE 30.000 LITROS O SIMIL</t>
  </si>
  <si>
    <t>UMINISTRO, TRANSPORTE E INSTALACIÓN DE EQUIPO CONTRAINCENDIO CON BOMBA PRINCIPAL ELECTRICA Q=300 GPM HT=106 PSI Y BOMBA AUXILIAR JOCKEY Q=30 GPM HT=117 PSI, CUADRO DE MANDO ELECTROMECANICO 2 BOMBAS, DEPOSITO HIDRONEUMATICO 24L/8BAR, 2 MANOMETROS, 2 PRESOSTATOS, VALVULAS DE CORTE Y RETENCION, VALVULA DE SEGURIDAD, COLECTOR COMUN BANCADA METALICA, SUICHES DE NIVEL</t>
  </si>
  <si>
    <t>SUMINISTRO, TRANSPORTE E INSTALACIÓN DE EQUIPO CONTRAINCENDIO CON BOMBA PRI</t>
  </si>
  <si>
    <t xml:space="preserve">un </t>
  </si>
  <si>
    <t>Revisión y ajuste de diseños arquitectónicos</t>
  </si>
  <si>
    <t>Revisión y ajuste de diseños estructurales</t>
  </si>
  <si>
    <t>Revisión y ajuste de diseños de redes eléctricas (fuerza, alumbrado y voz/datos si aplica)</t>
  </si>
  <si>
    <t>Revisión y ajuste de diseños hidrosanitarios (acueducto, alcantarillado y aguas lluvias)</t>
  </si>
  <si>
    <t>Coordinación técnica interdisciplinaria y mesas de trabajo</t>
  </si>
  <si>
    <t>Elaboración de planos récord (As Built) de todas las disciplinas</t>
  </si>
  <si>
    <t>Impresión, control documental y entrega de archivos editables y PDF</t>
  </si>
  <si>
    <t xml:space="preserve">glb </t>
  </si>
  <si>
    <t>DISEÑOS</t>
  </si>
  <si>
    <t>APU  16.1.1  -  UNIDAD INTERIOR PISO-TECHO INVERTER 36,000 BTU/H</t>
  </si>
  <si>
    <t>APU  16.1.2  -  CONTROL REMOTO CENTRALIZADO / TERMOSTATO</t>
  </si>
  <si>
    <t xml:space="preserve">  16.2  -  TUBERIA REFRIGERANTE</t>
  </si>
  <si>
    <t>APU  16.2.1  -  TUBERIA COBRE ACR 3/8"</t>
  </si>
  <si>
    <t>APU  16.2.2  -  TUBERIA COBRE ACR 5/8"</t>
  </si>
  <si>
    <t>APU  16.2.3  -  AISLAMIENTO ELASTOMERICO ADICIONAL 3/4" (ARMAFLEX)</t>
  </si>
  <si>
    <t>APU  16.2.4  -  CANALETA PVC DECORATIVA 60X40 MM</t>
  </si>
  <si>
    <t>APU  16.2.5  -  VALVULA DE SERVICIO GLOBO (CONJUNTO BIVALVA)</t>
  </si>
  <si>
    <t>APU  16.2.6  -  VALVULA SCHRADER / PUERTO DE CARGA</t>
  </si>
  <si>
    <t>APU  16.2.7  -  ACCESORIOS DE COBRE (CODOS, UNIONES, REDUCERS)</t>
  </si>
  <si>
    <t>APU  16.2.8  -  SOPORTE/ABRAZADERA METALICA PARA TUBERIA</t>
  </si>
  <si>
    <t xml:space="preserve">  16.3  -  DRENAJE CONDENSADO - PVC SANITARIO</t>
  </si>
  <si>
    <t>APU  16.3.1  -  TUBERIA PVC 3/4" (19 MM)</t>
  </si>
  <si>
    <t>APU  16.3.2  -  TUBERIA PVC  1" (25 MM)</t>
  </si>
  <si>
    <t>APU  16.3.3  -  TUBERIA PVC 1 1/2" (38 MM)</t>
  </si>
  <si>
    <t>APU  16.3.4  -  CODOS PVC 90 Y 45 3/4"</t>
  </si>
  <si>
    <t>APU  16.3.5  -  CODOS Y ACCESORIOS PVC 1" Y 1 1/2"</t>
  </si>
  <si>
    <t xml:space="preserve">  16.4  -  INSTALACION ELECTRICA</t>
  </si>
  <si>
    <t>APU  16.4.1  -  TABLERO ELECTRICO DEDICADO A/C - 12 CIRCUITOS</t>
  </si>
  <si>
    <t>APU  16.4.2  -  BREAKER PRINCIPAL 100A 3 POLOS</t>
  </si>
  <si>
    <t>APU  16.4.3  -  BREAKER 20A 2 POLOS (UNIDADES INTERIORES)</t>
  </si>
  <si>
    <t>APU  16.4.4  -  BREAKER 40A 3 POLOS (CONDENSADORAS)</t>
  </si>
  <si>
    <t>APU  16.4.5  -  CABLE THW 2.5 MM2 / AWG 12 - 600V</t>
  </si>
  <si>
    <t>APU  16.4.6  -  CABLE THW 4 MM2 / AWG 10 - 600V</t>
  </si>
  <si>
    <t>APU  16.4.7  -  CABLE THW 16 MM2 / AWG 4 - 600V</t>
  </si>
  <si>
    <t>APU  16.4.8  -  CONDUIT PVC DE 3/4" (EMT O PRESION)</t>
  </si>
  <si>
    <t>APU  16.4.9  -  CONDUIT PVC DE 1" (EMT O PRESION)</t>
  </si>
  <si>
    <t>APU  16.4.10  -  CAJA DE PASO 10X10 CM CON TAPA</t>
  </si>
  <si>
    <t>APU  16.4.11  -  TIERRA FISICA (VARILLA COOPERWELD 5/8 X 1.8M)</t>
  </si>
  <si>
    <t>APU  16.4.12  -  AMARRAS, TERMINALES Y ACCESORIOS ELECTRICOS</t>
  </si>
  <si>
    <t>APU  16.5.1  -  KIT SOPORTE/MENSULA PISO-TECHO PARA UNIDAD INTERIOR</t>
  </si>
  <si>
    <t xml:space="preserve">  16.5  -  SOPORTE Y ACCESORIOS</t>
  </si>
  <si>
    <t>APU  16.5.2  -  BASE ANTISISMICA PARA CONDENSADORA EN CUBIERTA</t>
  </si>
  <si>
    <t>APU  16.5.3  -  PROTECTOR UV PARA TUBERIAS EN CUBIERTA</t>
  </si>
  <si>
    <t>APU  16.5.4  -  BANDEJA RECOLECTORA DE CONDENSADO ADICIONAL</t>
  </si>
  <si>
    <t>APU  16.5.5  -  CINTA SELLADORA DE VAPOR (VAPOR BARRIER TAPE)</t>
  </si>
  <si>
    <t>APU  16.5.6  -  ESPUMA DE RELLENO/SELLADO PARA PENETRACIONES</t>
  </si>
  <si>
    <t>SUMINISTRO E INSTALACIÓN DE LUMINARIA HERMETICA LEED 2x18</t>
  </si>
  <si>
    <t xml:space="preserve">BOQUILLA PARA PORCELANATO Concolor porcelanato </t>
  </si>
  <si>
    <t>Niveladores de baldosas (Clips + Cuñas reutilizables)</t>
  </si>
  <si>
    <t>Porcelanato® Rectificado West ARD® PRO Gris Claro 60X60</t>
  </si>
  <si>
    <t xml:space="preserve">porcelanato blanco 30x90 brillante </t>
  </si>
  <si>
    <t xml:space="preserve">PORCELANATO 30X90 NEGRO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</si>
</sst>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 #,##0.00_-;\-&quot;$&quot;\ * #,##0.00_-;_-&quot;$&quot;\ * &quot;-&quot;??_-;_-@_-"/>
    <numFmt numFmtId="164" formatCode="_(* #,##0.00_);_(* \(#,##0.00\);_(* &quot;-&quot;??_);_(@_)"/>
    <numFmt numFmtId="165" formatCode="&quot;$&quot;#,##0;[Red]\-&quot;$&quot;#,##0"/>
    <numFmt numFmtId="166" formatCode="_-&quot;$&quot;* #,##0.00_-;\-&quot;$&quot;* #,##0.00_-;_-&quot;$&quot;* &quot;-&quot;??_-;_-@_-"/>
    <numFmt numFmtId="167" formatCode="_(&quot;$&quot;\ * #,##0_);_(&quot;$&quot;\ * \(#,##0\);_(&quot;$&quot;\ * &quot;-&quot;_);_(@_)"/>
    <numFmt numFmtId="168" formatCode="General_)"/>
    <numFmt numFmtId="169" formatCode="#,##0.00\ _€;\-#,##0.00\ _€"/>
    <numFmt numFmtId="170" formatCode="_(&quot;$&quot;\ * #,##0.00_);_(&quot;$&quot;\ * \(#,##0.00\);_(&quot;$&quot;\ * &quot;-&quot;_);_(@_)"/>
    <numFmt numFmtId="171" formatCode="0.000"/>
    <numFmt numFmtId="172" formatCode="_(&quot;$&quot;\ * #,##0.00_);_(&quot;$&quot;\ * \(#,##0.00\);_(&quot;$&quot;\ * &quot;-&quot;??_);_(@_)"/>
    <numFmt numFmtId="173" formatCode="0.0"/>
    <numFmt numFmtId="174" formatCode="_-&quot;$&quot;* #,##0.00_-;\-&quot;$&quot;* #,##0.00_-;_-&quot;$&quot;* &quot;-&quot;_-;_-@_-"/>
    <numFmt numFmtId="175" formatCode="#,##0.00_);\-#,##0.00"/>
    <numFmt numFmtId="176" formatCode="&quot;$&quot;#,##0"/>
    <numFmt numFmtId="177" formatCode="#,##0.0000"/>
    <numFmt numFmtId="178" formatCode="&quot;$&quot;#,##0.00"/>
    <numFmt numFmtId="179" formatCode="_-&quot;$&quot;* #,##0.000_-;\-&quot;$&quot;* #,##0.000_-;_-&quot;$&quot;* &quot;-&quot;??_-;_-@_-"/>
    <numFmt numFmtId="180" formatCode="&quot;$ &quot;#,##0"/>
    <numFmt numFmtId="181" formatCode="&quot;$ &quot;#,##0.0"/>
    <numFmt numFmtId="182" formatCode="&quot;$ &quot;#,##0.00"/>
    <numFmt numFmtId="183" formatCode="#,##0.000"/>
    <numFmt numFmtId="184" formatCode="#,##0.00000"/>
    <numFmt numFmtId="185" formatCode="[$$-540A]#,##0.00"/>
  </numFmts>
  <fonts count="30">
    <font>
      <sz val="11"/>
      <color theme="1"/>
      <name val="Aptos Narrow"/>
      <family val="2"/>
      <scheme val="minor"/>
    </font>
    <font>
      <sz val="8"/>
      <name val="Aptos Narrow"/>
      <family val="2"/>
      <scheme val="minor"/>
    </font>
    <font>
      <sz val="11"/>
      <color theme="1"/>
      <name val="Aptos Narrow"/>
      <family val="2"/>
      <scheme val="minor"/>
    </font>
    <font>
      <sz val="10"/>
      <name val="Courier"/>
    </font>
    <font>
      <sz val="10"/>
      <name val="Arial"/>
      <family val="2"/>
    </font>
    <font>
      <sz val="10"/>
      <color indexed="8"/>
      <name val="MS Sans Serif"/>
      <family val="2"/>
    </font>
    <font>
      <b/>
      <sz val="9"/>
      <color rgb="FFFFFFFF"/>
      <name val="Arial"/>
      <family val="2"/>
    </font>
    <font>
      <sz val="9"/>
      <color rgb="FF000000"/>
      <name val="Arial"/>
      <family val="2"/>
    </font>
    <font>
      <b/>
      <sz val="9"/>
      <color rgb="FF1F3864"/>
      <name val="Arial"/>
      <family val="2"/>
    </font>
    <font>
      <b/>
      <sz val="9"/>
      <color theme="1"/>
      <name val="Arial"/>
      <family val="2"/>
    </font>
    <font>
      <sz val="9"/>
      <color theme="1"/>
      <name val="Arial"/>
      <family val="2"/>
    </font>
    <font>
      <sz val="9"/>
      <name val="Arial"/>
      <family val="2"/>
    </font>
    <font>
      <b/>
      <sz val="9"/>
      <color indexed="8"/>
      <name val="Arial"/>
      <family val="2"/>
    </font>
    <font>
      <sz val="9"/>
      <color indexed="8"/>
      <name val="Arial"/>
      <family val="2"/>
    </font>
    <font>
      <b/>
      <sz val="9"/>
      <color rgb="FF000000"/>
      <name val="Arial"/>
      <family val="2"/>
    </font>
    <font>
      <b/>
      <sz val="9"/>
      <name val="Arial"/>
      <family val="2"/>
    </font>
    <font>
      <sz val="9"/>
      <color rgb="FF333333"/>
      <name val="Arial"/>
      <family val="2"/>
    </font>
    <font>
      <sz val="9"/>
      <color rgb="FF0A0A0A"/>
      <name val="Arial"/>
      <family val="2"/>
    </font>
    <font>
      <i/>
      <sz val="9"/>
      <color theme="1"/>
      <name val="Arial"/>
      <family val="2"/>
    </font>
    <font>
      <sz val="11"/>
      <color theme="1"/>
      <name val="Calibri"/>
      <family val="2"/>
      <charset val="1"/>
    </font>
    <font>
      <sz val="11"/>
      <color theme="1"/>
      <name val="Arial"/>
      <family val="2"/>
    </font>
    <font>
      <b/>
      <sz val="11"/>
      <name val="Arial"/>
      <family val="2"/>
    </font>
    <font>
      <b/>
      <sz val="12"/>
      <name val="Arial"/>
      <family val="2"/>
    </font>
    <font>
      <b/>
      <sz val="11"/>
      <name val="Cambria"/>
      <family val="1"/>
    </font>
    <font>
      <sz val="9"/>
      <color theme="1"/>
      <name val="Aptos Narrow"/>
      <family val="2"/>
      <scheme val="minor"/>
    </font>
    <font>
      <b/>
      <sz val="9"/>
      <name val="Cambria"/>
      <family val="1"/>
    </font>
    <font>
      <b/>
      <sz val="10"/>
      <color rgb="FF000000"/>
      <name val="Arial"/>
      <family val="2"/>
    </font>
    <font>
      <sz val="10"/>
      <color rgb="FF000000"/>
      <name val="Arial"/>
      <family val="2"/>
    </font>
    <font>
      <b/>
      <sz val="11"/>
      <color theme="1"/>
      <name val="Aptos Narrow"/>
      <family val="2"/>
      <scheme val="minor"/>
    </font>
    <font>
      <sz val="6"/>
      <name val="Yu Gothic"/>
      <family val="2"/>
      <charset val="128"/>
    </font>
  </fonts>
  <fills count="1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2F2F2"/>
      </patternFill>
    </fill>
    <fill>
      <patternFill patternType="solid">
        <fgColor rgb="FF1F3864"/>
      </patternFill>
    </fill>
    <fill>
      <patternFill patternType="solid">
        <fgColor rgb="FF2E75B6"/>
      </patternFill>
    </fill>
    <fill>
      <patternFill patternType="solid">
        <fgColor rgb="FFFFF2CC"/>
      </patternFill>
    </fill>
    <fill>
      <patternFill patternType="solid">
        <fgColor rgb="FF4472C4"/>
      </patternFill>
    </fill>
    <fill>
      <patternFill patternType="solid">
        <fgColor rgb="FFFFFFFF"/>
      </patternFill>
    </fill>
    <fill>
      <patternFill patternType="solid">
        <fgColor rgb="FFE2EFDA"/>
      </patternFill>
    </fill>
    <fill>
      <patternFill patternType="solid">
        <fgColor theme="0"/>
        <bgColor indexed="64"/>
      </patternFill>
    </fill>
    <fill>
      <patternFill patternType="solid">
        <fgColor rgb="FFDDEBF7"/>
        <bgColor rgb="FFCCFFFF"/>
      </patternFill>
    </fill>
    <fill>
      <patternFill patternType="solid">
        <fgColor rgb="FFBDD7EE"/>
        <bgColor rgb="FFC0C0C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3"/>
      </left>
      <right/>
      <top style="thin">
        <color indexed="64"/>
      </top>
      <bottom style="thin">
        <color indexed="64"/>
      </bottom>
      <diagonal/>
    </border>
    <border>
      <left style="medium">
        <color rgb="FF1F3864"/>
      </left>
      <right/>
      <top/>
      <bottom/>
      <diagonal/>
    </border>
    <border>
      <left style="medium">
        <color rgb="FF1F3864"/>
      </left>
      <right/>
      <top/>
      <bottom style="medium">
        <color rgb="FF1F3864"/>
      </bottom>
      <diagonal/>
    </border>
    <border>
      <left/>
      <right/>
      <top/>
      <bottom style="medium">
        <color rgb="FF1F3864"/>
      </bottom>
      <diagonal/>
    </border>
    <border>
      <left style="medium">
        <color rgb="FF1F3864"/>
      </left>
      <right style="thin">
        <color rgb="FFAAAAAA"/>
      </right>
      <top style="medium">
        <color rgb="FF1F3864"/>
      </top>
      <bottom style="medium">
        <color rgb="FF1F3864"/>
      </bottom>
      <diagonal/>
    </border>
    <border>
      <left style="thin">
        <color rgb="FFAAAAAA"/>
      </left>
      <right style="thin">
        <color rgb="FFAAAAAA"/>
      </right>
      <top style="medium">
        <color rgb="FF1F3864"/>
      </top>
      <bottom style="medium">
        <color rgb="FF1F3864"/>
      </bottom>
      <diagonal/>
    </border>
    <border>
      <left style="thin">
        <color rgb="FFAAAAAA"/>
      </left>
      <right style="medium">
        <color rgb="FF1F3864"/>
      </right>
      <top style="medium">
        <color rgb="FF1F3864"/>
      </top>
      <bottom style="medium">
        <color rgb="FF1F3864"/>
      </bottom>
      <diagonal/>
    </border>
    <border>
      <left style="medium">
        <color rgb="FF1F3864"/>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medium">
        <color rgb="FF1F3864"/>
      </right>
      <top style="thin">
        <color rgb="FFAAAAAA"/>
      </top>
      <bottom style="thin">
        <color rgb="FFAAAAAA"/>
      </bottom>
      <diagonal/>
    </border>
    <border>
      <left style="medium">
        <color rgb="FF1F3864"/>
      </left>
      <right/>
      <top style="medium">
        <color rgb="FF1F3864"/>
      </top>
      <bottom style="medium">
        <color rgb="FF1F3864"/>
      </bottom>
      <diagonal/>
    </border>
    <border>
      <left/>
      <right/>
      <top style="medium">
        <color rgb="FF1F3864"/>
      </top>
      <bottom style="medium">
        <color rgb="FF1F3864"/>
      </bottom>
      <diagonal/>
    </border>
    <border>
      <left/>
      <right style="thin">
        <color rgb="FFAAAAAA"/>
      </right>
      <top style="medium">
        <color rgb="FF1F3864"/>
      </top>
      <bottom style="medium">
        <color rgb="FF1F3864"/>
      </bottom>
      <diagonal/>
    </border>
    <border>
      <left style="medium">
        <color rgb="FF1F3864"/>
      </left>
      <right style="medium">
        <color rgb="FF1F3864"/>
      </right>
      <top style="medium">
        <color rgb="FF1F3864"/>
      </top>
      <bottom style="medium">
        <color rgb="FF1F3864"/>
      </bottom>
      <diagonal/>
    </border>
    <border>
      <left style="medium">
        <color rgb="FF1F3864"/>
      </left>
      <right style="medium">
        <color rgb="FF1F3864"/>
      </right>
      <top style="thin">
        <color rgb="FFAAAAAA"/>
      </top>
      <bottom style="thin">
        <color rgb="FFAAAAAA"/>
      </bottom>
      <diagonal/>
    </border>
  </borders>
  <cellStyleXfs count="21">
    <xf numFmtId="0" fontId="0" fillId="0" borderId="0"/>
    <xf numFmtId="166" fontId="2" fillId="0" borderId="0" applyFont="0" applyFill="0" applyBorder="0" applyAlignment="0" applyProtection="0"/>
    <xf numFmtId="9" fontId="2" fillId="0" borderId="0" applyFont="0" applyFill="0" applyBorder="0" applyAlignment="0" applyProtection="0"/>
    <xf numFmtId="168" fontId="3" fillId="0" borderId="0">
      <protection locked="0"/>
    </xf>
    <xf numFmtId="0" fontId="5" fillId="0" borderId="0"/>
    <xf numFmtId="0" fontId="4" fillId="0" borderId="0"/>
    <xf numFmtId="9" fontId="4" fillId="0" borderId="0" applyFont="0" applyFill="0" applyBorder="0" applyAlignment="0" applyProtection="0"/>
    <xf numFmtId="172" fontId="2" fillId="0" borderId="0" applyFont="0" applyFill="0" applyBorder="0" applyAlignment="0" applyProtection="0"/>
    <xf numFmtId="0" fontId="5" fillId="0" borderId="0"/>
    <xf numFmtId="44" fontId="2" fillId="0" borderId="0" applyFont="0" applyFill="0" applyBorder="0" applyAlignment="0" applyProtection="0"/>
    <xf numFmtId="167" fontId="2"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5" fillId="0" borderId="0"/>
    <xf numFmtId="0" fontId="4" fillId="0" borderId="0"/>
    <xf numFmtId="164" fontId="2" fillId="0" borderId="0" applyFont="0" applyFill="0" applyBorder="0" applyAlignment="0" applyProtection="0"/>
    <xf numFmtId="0" fontId="4" fillId="0" borderId="0"/>
    <xf numFmtId="44" fontId="2" fillId="0" borderId="0" applyFont="0" applyFill="0" applyBorder="0" applyAlignment="0" applyProtection="0"/>
    <xf numFmtId="166" fontId="2" fillId="0" borderId="0" applyFont="0" applyFill="0" applyBorder="0" applyAlignment="0" applyProtection="0"/>
    <xf numFmtId="0" fontId="19" fillId="0" borderId="0"/>
  </cellStyleXfs>
  <cellXfs count="388">
    <xf numFmtId="0" fontId="0" fillId="0" borderId="0" xfId="0"/>
    <xf numFmtId="0" fontId="7" fillId="7" borderId="31" xfId="0" applyFont="1" applyFill="1" applyBorder="1" applyAlignment="1">
      <alignment horizontal="center" vertical="center" wrapText="1"/>
    </xf>
    <xf numFmtId="0" fontId="7" fillId="7" borderId="32" xfId="0" applyFont="1" applyFill="1" applyBorder="1" applyAlignment="1">
      <alignment horizontal="center" vertical="center" wrapText="1"/>
    </xf>
    <xf numFmtId="9" fontId="7" fillId="7" borderId="32" xfId="2" applyFont="1" applyFill="1" applyBorder="1" applyAlignment="1">
      <alignment horizontal="center" vertical="center" wrapText="1"/>
    </xf>
    <xf numFmtId="4" fontId="7" fillId="7" borderId="32" xfId="0" applyNumberFormat="1"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12" borderId="32" xfId="0" applyFont="1" applyFill="1" applyBorder="1" applyAlignment="1">
      <alignment horizontal="center" vertical="center" wrapText="1"/>
    </xf>
    <xf numFmtId="4" fontId="7" fillId="12" borderId="32" xfId="0" applyNumberFormat="1" applyFont="1" applyFill="1" applyBorder="1" applyAlignment="1">
      <alignment horizontal="center" vertical="center" wrapText="1"/>
    </xf>
    <xf numFmtId="177" fontId="7" fillId="7" borderId="32" xfId="0" applyNumberFormat="1" applyFont="1" applyFill="1" applyBorder="1" applyAlignment="1">
      <alignment horizontal="center" vertical="center" wrapText="1"/>
    </xf>
    <xf numFmtId="0" fontId="7" fillId="0" borderId="31" xfId="0" applyFont="1" applyBorder="1" applyAlignment="1">
      <alignment horizontal="center" vertical="center" wrapText="1"/>
    </xf>
    <xf numFmtId="0" fontId="10" fillId="14" borderId="0" xfId="0" applyFont="1" applyFill="1" applyAlignment="1">
      <alignment horizontal="center" vertical="center" wrapText="1"/>
    </xf>
    <xf numFmtId="0" fontId="10" fillId="0" borderId="0" xfId="0" applyFont="1" applyAlignment="1">
      <alignment horizontal="center" vertical="center" wrapText="1"/>
    </xf>
    <xf numFmtId="164" fontId="10" fillId="0" borderId="0" xfId="16" applyFont="1" applyAlignment="1">
      <alignment horizontal="center" vertical="center" wrapText="1"/>
    </xf>
    <xf numFmtId="0" fontId="10" fillId="14" borderId="1"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10" fillId="14" borderId="7"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14" borderId="11" xfId="0" applyFont="1" applyFill="1" applyBorder="1" applyAlignment="1">
      <alignment horizontal="center" vertical="center" wrapText="1"/>
    </xf>
    <xf numFmtId="0" fontId="10" fillId="14" borderId="9"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9" fillId="14" borderId="1" xfId="0" applyFont="1" applyFill="1" applyBorder="1" applyAlignment="1">
      <alignment horizontal="center" vertical="center" wrapText="1"/>
    </xf>
    <xf numFmtId="166" fontId="10" fillId="0" borderId="1" xfId="1" applyFont="1" applyBorder="1" applyAlignment="1">
      <alignment horizontal="center" vertical="center" wrapText="1"/>
    </xf>
    <xf numFmtId="166" fontId="10" fillId="0" borderId="1" xfId="1" applyFont="1" applyFill="1" applyBorder="1" applyAlignment="1">
      <alignment horizontal="center" vertical="center" wrapText="1"/>
    </xf>
    <xf numFmtId="176" fontId="7" fillId="7" borderId="32" xfId="0" applyNumberFormat="1" applyFont="1" applyFill="1" applyBorder="1" applyAlignment="1">
      <alignment horizontal="center" vertical="center" wrapText="1"/>
    </xf>
    <xf numFmtId="176" fontId="7" fillId="7" borderId="33" xfId="0" applyNumberFormat="1" applyFont="1" applyFill="1" applyBorder="1" applyAlignment="1">
      <alignment horizontal="center" vertical="center" wrapText="1"/>
    </xf>
    <xf numFmtId="176" fontId="7" fillId="12" borderId="32" xfId="0" applyNumberFormat="1" applyFont="1" applyFill="1" applyBorder="1" applyAlignment="1">
      <alignment horizontal="center" vertical="center" wrapText="1"/>
    </xf>
    <xf numFmtId="176" fontId="7" fillId="12" borderId="33" xfId="0" applyNumberFormat="1" applyFont="1" applyFill="1" applyBorder="1" applyAlignment="1">
      <alignment horizontal="center" vertical="center" wrapText="1"/>
    </xf>
    <xf numFmtId="176" fontId="8" fillId="13" borderId="30" xfId="0" applyNumberFormat="1"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11" borderId="29"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7" fillId="14" borderId="32" xfId="0" applyFont="1" applyFill="1" applyBorder="1" applyAlignment="1">
      <alignment horizontal="center" vertical="center" wrapText="1"/>
    </xf>
    <xf numFmtId="4" fontId="7" fillId="14" borderId="32" xfId="0" applyNumberFormat="1" applyFont="1" applyFill="1" applyBorder="1" applyAlignment="1">
      <alignment horizontal="center" vertical="center" wrapText="1"/>
    </xf>
    <xf numFmtId="176" fontId="7" fillId="14" borderId="32" xfId="0" applyNumberFormat="1" applyFont="1" applyFill="1" applyBorder="1" applyAlignment="1">
      <alignment horizontal="center" vertical="center" wrapText="1"/>
    </xf>
    <xf numFmtId="176" fontId="7" fillId="14" borderId="33"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4" xfId="0" applyFont="1" applyBorder="1" applyAlignment="1">
      <alignment horizontal="center" vertical="center" wrapText="1"/>
    </xf>
    <xf numFmtId="166" fontId="10" fillId="0" borderId="16" xfId="0" applyNumberFormat="1" applyFont="1" applyBorder="1" applyAlignment="1">
      <alignment horizontal="center" vertical="center" wrapText="1"/>
    </xf>
    <xf numFmtId="166" fontId="10" fillId="0" borderId="9" xfId="1" applyFont="1" applyBorder="1" applyAlignment="1">
      <alignment horizontal="center" vertical="center" wrapText="1"/>
    </xf>
    <xf numFmtId="166" fontId="10" fillId="0" borderId="6" xfId="0" applyNumberFormat="1" applyFont="1" applyBorder="1" applyAlignment="1">
      <alignment horizontal="center" vertical="center" wrapText="1"/>
    </xf>
    <xf numFmtId="166" fontId="10" fillId="0" borderId="0" xfId="1" applyFont="1" applyAlignment="1">
      <alignment horizontal="center" vertical="center" wrapText="1"/>
    </xf>
    <xf numFmtId="166" fontId="10" fillId="0" borderId="9" xfId="0" applyNumberFormat="1" applyFont="1" applyBorder="1" applyAlignment="1">
      <alignment horizontal="center" vertical="center" wrapText="1"/>
    </xf>
    <xf numFmtId="0" fontId="9" fillId="5" borderId="12" xfId="0" applyFont="1" applyFill="1" applyBorder="1" applyAlignment="1">
      <alignment horizontal="center" vertical="center" wrapText="1"/>
    </xf>
    <xf numFmtId="167" fontId="9" fillId="0" borderId="21" xfId="10" applyFont="1" applyBorder="1" applyAlignment="1">
      <alignment horizontal="center" vertical="center" wrapText="1"/>
    </xf>
    <xf numFmtId="167" fontId="9" fillId="0" borderId="0" xfId="10" applyFont="1" applyBorder="1" applyAlignment="1">
      <alignment horizontal="center" vertical="center" wrapText="1"/>
    </xf>
    <xf numFmtId="0" fontId="9" fillId="5" borderId="22" xfId="0" applyFont="1" applyFill="1" applyBorder="1" applyAlignment="1">
      <alignment horizontal="center" vertical="center" wrapText="1"/>
    </xf>
    <xf numFmtId="167" fontId="9" fillId="0" borderId="15" xfId="10" applyFont="1" applyBorder="1" applyAlignment="1">
      <alignment horizontal="center" vertical="center" wrapText="1"/>
    </xf>
    <xf numFmtId="2" fontId="9" fillId="0" borderId="22" xfId="10" applyNumberFormat="1" applyFont="1" applyBorder="1" applyAlignment="1">
      <alignment horizontal="center" vertical="center" wrapText="1"/>
    </xf>
    <xf numFmtId="10" fontId="9" fillId="0" borderId="0" xfId="10" applyNumberFormat="1" applyFont="1" applyBorder="1" applyAlignment="1">
      <alignment horizontal="center" vertical="center" wrapText="1"/>
    </xf>
    <xf numFmtId="166" fontId="10" fillId="0" borderId="0" xfId="1" applyFont="1" applyBorder="1" applyAlignment="1">
      <alignment horizontal="center" vertical="center" wrapText="1"/>
    </xf>
    <xf numFmtId="166" fontId="10" fillId="0" borderId="0" xfId="0" applyNumberFormat="1" applyFont="1" applyAlignment="1">
      <alignment horizontal="center" vertical="center" wrapText="1"/>
    </xf>
    <xf numFmtId="0" fontId="10" fillId="0" borderId="23" xfId="0" applyFont="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175" fontId="13" fillId="0" borderId="1" xfId="0" applyNumberFormat="1" applyFont="1" applyBorder="1" applyAlignment="1">
      <alignment horizontal="center" vertical="center" wrapText="1"/>
    </xf>
    <xf numFmtId="175" fontId="11" fillId="0" borderId="1"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11" fillId="0" borderId="0" xfId="17" applyFont="1" applyAlignment="1">
      <alignment horizontal="center" vertical="center" wrapText="1"/>
    </xf>
    <xf numFmtId="166" fontId="10" fillId="0" borderId="0" xfId="1" applyFont="1" applyFill="1" applyBorder="1" applyAlignment="1">
      <alignment horizontal="center" vertical="center" wrapText="1"/>
    </xf>
    <xf numFmtId="0" fontId="10" fillId="0" borderId="12" xfId="0" applyFont="1" applyBorder="1" applyAlignment="1">
      <alignment horizontal="center" vertical="center" wrapText="1"/>
    </xf>
    <xf numFmtId="0" fontId="9" fillId="0" borderId="17" xfId="0" applyFont="1" applyBorder="1" applyAlignment="1">
      <alignment horizontal="center" vertical="center" wrapText="1"/>
    </xf>
    <xf numFmtId="166" fontId="9" fillId="0" borderId="16" xfId="1" applyFont="1" applyBorder="1" applyAlignment="1">
      <alignment horizontal="center" vertical="center" wrapText="1"/>
    </xf>
    <xf numFmtId="174" fontId="10" fillId="0" borderId="6" xfId="10" applyNumberFormat="1" applyFont="1" applyFill="1" applyBorder="1" applyAlignment="1">
      <alignment horizontal="center" vertical="center" wrapText="1"/>
    </xf>
    <xf numFmtId="167" fontId="10" fillId="0" borderId="6" xfId="10" applyFont="1" applyFill="1" applyBorder="1" applyAlignment="1">
      <alignment horizontal="center" vertical="center" wrapText="1"/>
    </xf>
    <xf numFmtId="44" fontId="10" fillId="0" borderId="6" xfId="9" applyFont="1" applyFill="1" applyBorder="1" applyAlignment="1">
      <alignment horizontal="center" vertical="center" wrapText="1"/>
    </xf>
    <xf numFmtId="0" fontId="10" fillId="0" borderId="8" xfId="0" applyFont="1" applyBorder="1" applyAlignment="1">
      <alignment horizontal="center" vertical="center" wrapText="1"/>
    </xf>
    <xf numFmtId="44" fontId="10" fillId="0" borderId="2" xfId="9" applyFont="1" applyFill="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4" fillId="6" borderId="1" xfId="0" applyFont="1" applyFill="1" applyBorder="1" applyAlignment="1">
      <alignment horizontal="center" vertical="center" wrapText="1"/>
    </xf>
    <xf numFmtId="2" fontId="14" fillId="6" borderId="1" xfId="10" applyNumberFormat="1" applyFont="1" applyFill="1" applyBorder="1" applyAlignment="1" applyProtection="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2" fontId="14" fillId="0" borderId="1" xfId="10" applyNumberFormat="1" applyFont="1" applyBorder="1" applyAlignment="1" applyProtection="1">
      <alignment horizontal="center" vertical="center" wrapText="1"/>
    </xf>
    <xf numFmtId="2" fontId="7" fillId="0" borderId="1" xfId="10" applyNumberFormat="1" applyFont="1" applyBorder="1" applyAlignment="1" applyProtection="1">
      <alignment horizontal="center" vertical="center" wrapText="1"/>
    </xf>
    <xf numFmtId="0" fontId="14" fillId="0" borderId="0" xfId="0" applyFont="1" applyAlignment="1">
      <alignment horizontal="center" vertical="center" wrapText="1"/>
    </xf>
    <xf numFmtId="2" fontId="7" fillId="0" borderId="0" xfId="10" applyNumberFormat="1" applyFont="1" applyAlignment="1" applyProtection="1">
      <alignment horizontal="center" vertical="center" wrapText="1"/>
    </xf>
    <xf numFmtId="167" fontId="14" fillId="0" borderId="1" xfId="10" applyFont="1" applyBorder="1" applyAlignment="1" applyProtection="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167" fontId="7" fillId="0" borderId="1" xfId="10" applyFont="1" applyBorder="1" applyAlignment="1" applyProtection="1">
      <alignment horizontal="center" vertical="center" wrapText="1"/>
    </xf>
    <xf numFmtId="9" fontId="7" fillId="0" borderId="1" xfId="2" applyFont="1" applyBorder="1" applyAlignment="1">
      <alignment horizontal="center" vertical="center" wrapText="1"/>
    </xf>
    <xf numFmtId="44" fontId="7" fillId="0" borderId="1" xfId="9" applyFont="1" applyBorder="1" applyAlignment="1" applyProtection="1">
      <alignment horizontal="center" vertical="center" wrapText="1"/>
    </xf>
    <xf numFmtId="167" fontId="7" fillId="0" borderId="1" xfId="10" applyFont="1" applyFill="1" applyBorder="1" applyAlignment="1" applyProtection="1">
      <alignment horizontal="center" vertical="center" wrapText="1"/>
    </xf>
    <xf numFmtId="2" fontId="7" fillId="0" borderId="1" xfId="2" applyNumberFormat="1" applyFont="1" applyFill="1" applyBorder="1" applyAlignment="1">
      <alignment horizontal="center" vertical="center" wrapText="1"/>
    </xf>
    <xf numFmtId="169" fontId="11" fillId="0" borderId="1" xfId="3" applyNumberFormat="1" applyFont="1" applyBorder="1" applyAlignment="1" applyProtection="1">
      <alignment horizontal="center" vertical="center" wrapText="1"/>
    </xf>
    <xf numFmtId="0" fontId="7" fillId="0" borderId="0" xfId="0" applyFont="1" applyAlignment="1">
      <alignment horizontal="center" vertical="center" wrapText="1"/>
    </xf>
    <xf numFmtId="44" fontId="14" fillId="0" borderId="1" xfId="9" applyFont="1" applyBorder="1" applyAlignment="1" applyProtection="1">
      <alignment horizontal="center" vertical="center" wrapText="1"/>
    </xf>
    <xf numFmtId="168" fontId="11" fillId="0" borderId="1" xfId="3" applyFont="1" applyBorder="1" applyAlignment="1" applyProtection="1">
      <alignment horizontal="center" vertical="center" wrapText="1"/>
    </xf>
    <xf numFmtId="171" fontId="7" fillId="0" borderId="1" xfId="0" applyNumberFormat="1" applyFont="1" applyBorder="1" applyAlignment="1">
      <alignment horizontal="center" vertical="center" wrapText="1"/>
    </xf>
    <xf numFmtId="170" fontId="7" fillId="0" borderId="1" xfId="10" applyNumberFormat="1" applyFont="1" applyBorder="1" applyAlignment="1" applyProtection="1">
      <alignment horizontal="center" vertical="center" wrapText="1"/>
    </xf>
    <xf numFmtId="167" fontId="11" fillId="0" borderId="1" xfId="10" applyFont="1" applyBorder="1" applyAlignment="1" applyProtection="1">
      <alignment horizontal="center" vertical="center" wrapText="1"/>
    </xf>
    <xf numFmtId="168" fontId="10" fillId="0" borderId="6" xfId="3" applyFont="1" applyBorder="1" applyAlignment="1" applyProtection="1">
      <alignment horizontal="center" vertical="center" wrapText="1"/>
    </xf>
    <xf numFmtId="168" fontId="10" fillId="0" borderId="7" xfId="3" applyFont="1" applyBorder="1" applyAlignment="1" applyProtection="1">
      <alignment horizontal="center" vertical="center" wrapText="1"/>
    </xf>
    <xf numFmtId="168" fontId="10" fillId="0" borderId="1" xfId="3" applyFont="1" applyBorder="1" applyAlignment="1" applyProtection="1">
      <alignment horizontal="center" vertical="center" wrapText="1"/>
    </xf>
    <xf numFmtId="167" fontId="10" fillId="0" borderId="1" xfId="10" applyFont="1" applyFill="1" applyBorder="1" applyAlignment="1" applyProtection="1">
      <alignment horizontal="center" vertical="center" wrapText="1"/>
    </xf>
    <xf numFmtId="0" fontId="7" fillId="0" borderId="4" xfId="0" applyFont="1" applyBorder="1" applyAlignment="1">
      <alignment horizontal="center" vertical="center" wrapText="1"/>
    </xf>
    <xf numFmtId="9" fontId="7" fillId="0" borderId="10" xfId="0" applyNumberFormat="1" applyFont="1" applyBorder="1" applyAlignment="1">
      <alignment horizontal="center" vertical="center" wrapText="1"/>
    </xf>
    <xf numFmtId="2" fontId="7" fillId="0" borderId="7" xfId="10" applyNumberFormat="1" applyFont="1" applyBorder="1" applyAlignment="1" applyProtection="1">
      <alignment horizontal="center" vertical="center" wrapText="1"/>
    </xf>
    <xf numFmtId="166" fontId="14" fillId="0" borderId="1" xfId="1" applyFont="1" applyBorder="1" applyAlignment="1">
      <alignment horizontal="center" vertical="center" wrapText="1"/>
    </xf>
    <xf numFmtId="166" fontId="14" fillId="0" borderId="6" xfId="1" applyFont="1" applyBorder="1" applyAlignment="1">
      <alignment horizontal="center" vertical="center" wrapText="1"/>
    </xf>
    <xf numFmtId="166" fontId="14" fillId="0" borderId="1" xfId="1" applyFont="1" applyBorder="1" applyAlignment="1" applyProtection="1">
      <alignment horizontal="center" vertical="center"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2" applyNumberFormat="1" applyFont="1" applyFill="1" applyBorder="1" applyAlignment="1">
      <alignment horizontal="center" vertical="center" wrapText="1"/>
    </xf>
    <xf numFmtId="0" fontId="11" fillId="0" borderId="0" xfId="0" applyFont="1" applyAlignment="1">
      <alignment horizontal="center" vertical="center" wrapText="1"/>
    </xf>
    <xf numFmtId="169" fontId="11" fillId="0" borderId="0" xfId="0" applyNumberFormat="1" applyFont="1" applyAlignment="1">
      <alignment horizontal="center" vertical="center" wrapText="1"/>
    </xf>
    <xf numFmtId="4" fontId="11" fillId="0" borderId="0" xfId="0" applyNumberFormat="1" applyFont="1" applyAlignment="1">
      <alignment horizontal="center" vertical="center" wrapText="1"/>
    </xf>
    <xf numFmtId="4" fontId="11" fillId="0" borderId="9" xfId="0" applyNumberFormat="1" applyFont="1" applyBorder="1" applyAlignment="1">
      <alignment horizontal="center" vertical="center" wrapText="1"/>
    </xf>
    <xf numFmtId="44" fontId="15" fillId="0" borderId="9" xfId="9" applyFont="1" applyBorder="1" applyAlignment="1" applyProtection="1">
      <alignment horizontal="center" vertical="center" wrapText="1"/>
    </xf>
    <xf numFmtId="44" fontId="15" fillId="3" borderId="1" xfId="9" applyFont="1" applyFill="1" applyBorder="1" applyAlignment="1" applyProtection="1">
      <alignment horizontal="center" vertical="center" wrapText="1"/>
    </xf>
    <xf numFmtId="4" fontId="14" fillId="0" borderId="1" xfId="10" applyNumberFormat="1" applyFont="1" applyBorder="1" applyAlignment="1" applyProtection="1">
      <alignment horizontal="center" vertical="center" wrapText="1"/>
    </xf>
    <xf numFmtId="171" fontId="7" fillId="0" borderId="1" xfId="2" applyNumberFormat="1" applyFont="1" applyFill="1" applyBorder="1" applyAlignment="1">
      <alignment horizontal="center" vertical="center" wrapText="1"/>
    </xf>
    <xf numFmtId="44" fontId="7" fillId="0" borderId="1" xfId="9" applyFont="1" applyFill="1" applyBorder="1" applyAlignment="1" applyProtection="1">
      <alignment horizontal="center" vertical="center" wrapText="1"/>
    </xf>
    <xf numFmtId="167" fontId="10" fillId="0" borderId="1" xfId="10" applyFont="1" applyBorder="1" applyAlignment="1" applyProtection="1">
      <alignment horizontal="center" vertical="center" wrapText="1"/>
    </xf>
    <xf numFmtId="173"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166" fontId="7" fillId="0" borderId="7" xfId="1" applyFont="1" applyBorder="1" applyAlignment="1" applyProtection="1">
      <alignment horizontal="center" vertical="center" wrapText="1"/>
    </xf>
    <xf numFmtId="2" fontId="11" fillId="0" borderId="1" xfId="2" applyNumberFormat="1" applyFont="1" applyFill="1" applyBorder="1" applyAlignment="1">
      <alignment horizontal="center" vertical="center" wrapText="1"/>
    </xf>
    <xf numFmtId="0" fontId="7" fillId="0" borderId="1" xfId="2" applyNumberFormat="1" applyFont="1" applyBorder="1" applyAlignment="1">
      <alignment horizontal="center" vertical="center" wrapText="1"/>
    </xf>
    <xf numFmtId="167" fontId="14" fillId="0" borderId="1" xfId="0" applyNumberFormat="1" applyFont="1" applyBorder="1" applyAlignment="1">
      <alignment horizontal="center" vertical="center" wrapText="1"/>
    </xf>
    <xf numFmtId="0" fontId="7" fillId="4" borderId="1" xfId="0" applyFont="1" applyFill="1" applyBorder="1" applyAlignment="1">
      <alignment horizontal="center" vertical="center" wrapText="1"/>
    </xf>
    <xf numFmtId="171" fontId="11" fillId="0" borderId="1" xfId="2" applyNumberFormat="1" applyFont="1" applyFill="1" applyBorder="1" applyAlignment="1">
      <alignment horizontal="center" vertical="center" wrapText="1"/>
    </xf>
    <xf numFmtId="171" fontId="7" fillId="0" borderId="1" xfId="2" applyNumberFormat="1" applyFont="1" applyBorder="1" applyAlignment="1">
      <alignment horizontal="center" vertical="center" wrapText="1"/>
    </xf>
    <xf numFmtId="178" fontId="10" fillId="0" borderId="1" xfId="1" applyNumberFormat="1" applyFont="1" applyBorder="1" applyAlignment="1" applyProtection="1">
      <alignment horizontal="center" vertical="center" wrapText="1"/>
    </xf>
    <xf numFmtId="166" fontId="10" fillId="0" borderId="1" xfId="1" applyFont="1" applyBorder="1" applyAlignment="1" applyProtection="1">
      <alignment horizontal="center" vertical="center" wrapText="1"/>
    </xf>
    <xf numFmtId="2" fontId="7" fillId="0" borderId="1" xfId="2" applyNumberFormat="1" applyFont="1" applyBorder="1" applyAlignment="1">
      <alignment horizontal="center" vertical="center" wrapText="1"/>
    </xf>
    <xf numFmtId="170" fontId="7" fillId="0" borderId="1" xfId="10" applyNumberFormat="1" applyFont="1" applyFill="1" applyBorder="1" applyAlignment="1" applyProtection="1">
      <alignment horizontal="center" vertical="center" wrapText="1"/>
    </xf>
    <xf numFmtId="0" fontId="7" fillId="0" borderId="1" xfId="2"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9" fontId="7" fillId="0" borderId="1" xfId="2" applyFont="1" applyFill="1" applyBorder="1" applyAlignment="1">
      <alignment horizontal="center" vertical="center" wrapText="1"/>
    </xf>
    <xf numFmtId="166" fontId="11" fillId="0" borderId="1" xfId="1" applyFont="1" applyBorder="1" applyAlignment="1" applyProtection="1">
      <alignment horizontal="center" vertical="center" wrapText="1"/>
    </xf>
    <xf numFmtId="2" fontId="14" fillId="0" borderId="1" xfId="0" applyNumberFormat="1" applyFont="1" applyBorder="1" applyAlignment="1">
      <alignment horizontal="center" vertical="center" wrapText="1"/>
    </xf>
    <xf numFmtId="166" fontId="14" fillId="0" borderId="1" xfId="1" applyFont="1" applyFill="1" applyBorder="1" applyAlignment="1">
      <alignment horizontal="center" vertical="center" wrapText="1"/>
    </xf>
    <xf numFmtId="166" fontId="10" fillId="0" borderId="19" xfId="1" applyFont="1" applyBorder="1" applyAlignment="1">
      <alignment horizontal="center" vertical="center" wrapText="1"/>
    </xf>
    <xf numFmtId="44" fontId="10" fillId="14" borderId="16" xfId="9" applyFont="1" applyFill="1" applyBorder="1" applyAlignment="1">
      <alignment horizontal="center" vertical="center" wrapText="1"/>
    </xf>
    <xf numFmtId="44" fontId="10" fillId="14" borderId="6" xfId="9" applyFont="1" applyFill="1" applyBorder="1" applyAlignment="1">
      <alignment horizontal="center" vertical="center" wrapText="1"/>
    </xf>
    <xf numFmtId="0" fontId="13" fillId="14" borderId="1" xfId="0" applyFont="1" applyFill="1" applyBorder="1" applyAlignment="1">
      <alignment horizontal="center" vertical="center" wrapText="1"/>
    </xf>
    <xf numFmtId="44" fontId="13" fillId="14" borderId="6" xfId="9" applyFont="1" applyFill="1" applyBorder="1" applyAlignment="1">
      <alignment horizontal="center" vertical="center" wrapText="1"/>
    </xf>
    <xf numFmtId="44" fontId="13" fillId="14" borderId="2" xfId="9" applyFont="1" applyFill="1" applyBorder="1" applyAlignment="1">
      <alignment horizontal="center" vertical="center" wrapText="1"/>
    </xf>
    <xf numFmtId="44" fontId="13" fillId="14" borderId="1" xfId="9" applyFont="1" applyFill="1" applyBorder="1" applyAlignment="1">
      <alignment horizontal="center" vertical="center" wrapText="1"/>
    </xf>
    <xf numFmtId="44" fontId="13" fillId="14" borderId="16" xfId="9" applyFont="1" applyFill="1" applyBorder="1" applyAlignment="1">
      <alignment horizontal="center" vertical="center" wrapText="1"/>
    </xf>
    <xf numFmtId="37" fontId="11" fillId="14" borderId="1" xfId="0" applyNumberFormat="1" applyFont="1" applyFill="1" applyBorder="1" applyAlignment="1">
      <alignment horizontal="center" vertical="center" wrapText="1"/>
    </xf>
    <xf numFmtId="44" fontId="11" fillId="14" borderId="6" xfId="9"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1" xfId="13" applyFont="1" applyFill="1" applyBorder="1" applyAlignment="1">
      <alignment horizontal="center" vertical="center" wrapText="1"/>
    </xf>
    <xf numFmtId="37" fontId="11" fillId="14" borderId="1" xfId="14" applyNumberFormat="1" applyFont="1" applyFill="1" applyBorder="1" applyAlignment="1">
      <alignment horizontal="center" vertical="center" wrapText="1"/>
    </xf>
    <xf numFmtId="0" fontId="11" fillId="14" borderId="1" xfId="15" applyFont="1" applyFill="1" applyBorder="1" applyAlignment="1">
      <alignment horizontal="center" vertical="center" wrapText="1"/>
    </xf>
    <xf numFmtId="3" fontId="11" fillId="14" borderId="1" xfId="15"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167" fontId="10" fillId="14" borderId="1" xfId="10" applyFont="1" applyFill="1" applyBorder="1" applyAlignment="1">
      <alignment horizontal="center" vertical="center" wrapText="1"/>
    </xf>
    <xf numFmtId="44" fontId="10" fillId="14" borderId="2" xfId="9" applyFont="1" applyFill="1" applyBorder="1" applyAlignment="1">
      <alignment horizontal="center" vertical="center" wrapText="1"/>
    </xf>
    <xf numFmtId="44" fontId="10" fillId="14" borderId="1" xfId="9" applyFont="1" applyFill="1" applyBorder="1" applyAlignment="1">
      <alignment horizontal="center" vertical="center" wrapText="1"/>
    </xf>
    <xf numFmtId="0" fontId="10" fillId="14" borderId="5" xfId="0" applyFont="1" applyFill="1" applyBorder="1" applyAlignment="1">
      <alignment horizontal="center" vertical="center" wrapText="1"/>
    </xf>
    <xf numFmtId="44" fontId="10" fillId="14" borderId="5" xfId="9" applyFont="1" applyFill="1" applyBorder="1" applyAlignment="1">
      <alignment horizontal="center" vertical="center" wrapText="1"/>
    </xf>
    <xf numFmtId="0" fontId="10" fillId="14" borderId="8" xfId="0" applyFont="1" applyFill="1" applyBorder="1" applyAlignment="1">
      <alignment horizontal="center" vertical="center" wrapText="1"/>
    </xf>
    <xf numFmtId="0" fontId="11" fillId="14" borderId="24" xfId="0" applyFont="1" applyFill="1" applyBorder="1" applyAlignment="1">
      <alignment horizontal="center" vertical="center" wrapText="1"/>
    </xf>
    <xf numFmtId="0" fontId="11" fillId="14" borderId="0" xfId="17" applyFont="1" applyFill="1" applyAlignment="1">
      <alignment horizontal="center" vertical="center" wrapText="1"/>
    </xf>
    <xf numFmtId="0" fontId="16" fillId="14" borderId="0" xfId="0" applyFont="1" applyFill="1" applyAlignment="1">
      <alignment horizontal="center" vertical="center" wrapText="1"/>
    </xf>
    <xf numFmtId="0" fontId="17" fillId="14" borderId="0" xfId="0" applyFont="1" applyFill="1" applyAlignment="1">
      <alignment horizontal="center" vertical="center" wrapText="1"/>
    </xf>
    <xf numFmtId="166" fontId="10" fillId="14" borderId="9" xfId="1" applyFont="1" applyFill="1" applyBorder="1" applyAlignment="1">
      <alignment horizontal="center" vertical="center" wrapText="1"/>
    </xf>
    <xf numFmtId="0" fontId="13" fillId="14" borderId="0" xfId="0" applyFont="1" applyFill="1" applyAlignment="1">
      <alignment horizontal="center" vertical="center" wrapText="1"/>
    </xf>
    <xf numFmtId="0" fontId="10" fillId="14" borderId="24" xfId="0" applyFont="1" applyFill="1" applyBorder="1" applyAlignment="1">
      <alignment horizontal="center" vertical="center" wrapText="1"/>
    </xf>
    <xf numFmtId="0" fontId="9" fillId="14" borderId="17" xfId="0" applyFont="1" applyFill="1" applyBorder="1" applyAlignment="1">
      <alignment horizontal="center" vertical="center" wrapText="1"/>
    </xf>
    <xf numFmtId="0" fontId="9" fillId="14" borderId="9" xfId="0" applyFont="1" applyFill="1" applyBorder="1" applyAlignment="1">
      <alignment horizontal="center" vertical="center" wrapText="1"/>
    </xf>
    <xf numFmtId="166" fontId="9" fillId="14" borderId="1" xfId="1" applyFont="1" applyFill="1" applyBorder="1" applyAlignment="1">
      <alignment horizontal="center" vertical="center" wrapText="1"/>
    </xf>
    <xf numFmtId="2" fontId="11" fillId="14" borderId="1" xfId="2" applyNumberFormat="1" applyFont="1" applyFill="1" applyBorder="1" applyAlignment="1">
      <alignment horizontal="center" vertical="center" wrapText="1"/>
    </xf>
    <xf numFmtId="0" fontId="7" fillId="14" borderId="1" xfId="0" applyFont="1" applyFill="1" applyBorder="1" applyAlignment="1">
      <alignment horizontal="center" vertical="center" wrapText="1"/>
    </xf>
    <xf numFmtId="169" fontId="11" fillId="14" borderId="1" xfId="3" applyNumberFormat="1" applyFont="1" applyFill="1" applyBorder="1" applyAlignment="1" applyProtection="1">
      <alignment horizontal="center" vertical="center" wrapText="1"/>
    </xf>
    <xf numFmtId="44" fontId="10" fillId="0" borderId="0" xfId="0" applyNumberFormat="1" applyFont="1" applyAlignment="1">
      <alignment horizontal="center" vertical="center" wrapText="1"/>
    </xf>
    <xf numFmtId="167" fontId="10" fillId="0" borderId="0" xfId="0" applyNumberFormat="1" applyFont="1" applyAlignment="1">
      <alignment horizontal="center" vertical="center" wrapText="1"/>
    </xf>
    <xf numFmtId="0" fontId="0" fillId="0" borderId="1" xfId="0"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180" fontId="20" fillId="0" borderId="1" xfId="0" applyNumberFormat="1" applyFont="1" applyBorder="1" applyAlignment="1">
      <alignment horizontal="center" vertical="center" wrapText="1"/>
    </xf>
    <xf numFmtId="180" fontId="21" fillId="0" borderId="1" xfId="0" applyNumberFormat="1" applyFont="1" applyBorder="1" applyAlignment="1">
      <alignment horizontal="center" vertical="center" wrapText="1"/>
    </xf>
    <xf numFmtId="180" fontId="21" fillId="15"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4" fontId="20" fillId="0" borderId="1" xfId="0" applyNumberFormat="1" applyFont="1" applyBorder="1" applyAlignment="1">
      <alignment horizontal="center" vertical="center" wrapText="1"/>
    </xf>
    <xf numFmtId="0" fontId="20" fillId="0" borderId="0" xfId="0" applyFont="1"/>
    <xf numFmtId="180" fontId="22" fillId="16"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2" fontId="14" fillId="0" borderId="1" xfId="10" applyNumberFormat="1" applyFont="1" applyFill="1" applyBorder="1" applyAlignment="1" applyProtection="1">
      <alignment horizontal="center" vertical="center" wrapText="1"/>
    </xf>
    <xf numFmtId="2" fontId="7" fillId="0" borderId="1" xfId="10" applyNumberFormat="1" applyFont="1" applyFill="1" applyBorder="1" applyAlignment="1" applyProtection="1">
      <alignment horizontal="center" vertical="center" wrapText="1"/>
    </xf>
    <xf numFmtId="0" fontId="10" fillId="0" borderId="1" xfId="0" applyFont="1" applyBorder="1" applyAlignment="1">
      <alignment horizontal="left" vertical="center" wrapText="1"/>
    </xf>
    <xf numFmtId="180" fontId="10" fillId="0" borderId="1" xfId="0" applyNumberFormat="1" applyFont="1" applyBorder="1" applyAlignment="1">
      <alignment horizontal="center" vertical="center" wrapText="1"/>
    </xf>
    <xf numFmtId="180" fontId="15"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0" fontId="10" fillId="0" borderId="0" xfId="0" applyFont="1"/>
    <xf numFmtId="180" fontId="15" fillId="6" borderId="1" xfId="0" applyNumberFormat="1" applyFont="1" applyFill="1" applyBorder="1" applyAlignment="1">
      <alignment horizontal="center" vertical="center" wrapText="1"/>
    </xf>
    <xf numFmtId="180" fontId="15" fillId="16" borderId="1" xfId="0" applyNumberFormat="1" applyFont="1" applyFill="1" applyBorder="1" applyAlignment="1">
      <alignment horizontal="center" vertical="center" wrapText="1"/>
    </xf>
    <xf numFmtId="182" fontId="10" fillId="0" borderId="1" xfId="0" applyNumberFormat="1" applyFont="1" applyBorder="1" applyAlignment="1">
      <alignment horizontal="center" vertical="center" wrapText="1"/>
    </xf>
    <xf numFmtId="181" fontId="15" fillId="0" borderId="1" xfId="0" applyNumberFormat="1" applyFont="1" applyBorder="1" applyAlignment="1">
      <alignment horizontal="center" vertical="center" wrapText="1"/>
    </xf>
    <xf numFmtId="182" fontId="15" fillId="0" borderId="1" xfId="0" applyNumberFormat="1" applyFont="1" applyBorder="1" applyAlignment="1">
      <alignment horizontal="center" vertical="center" wrapText="1"/>
    </xf>
    <xf numFmtId="181" fontId="15" fillId="6" borderId="1"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166" fontId="10" fillId="0" borderId="0" xfId="1" applyFont="1" applyFill="1"/>
    <xf numFmtId="166" fontId="15" fillId="0" borderId="1" xfId="1" applyFont="1" applyFill="1" applyBorder="1" applyAlignment="1">
      <alignment horizontal="center" vertical="center" wrapText="1"/>
    </xf>
    <xf numFmtId="166" fontId="10" fillId="0" borderId="1" xfId="1" applyFont="1" applyFill="1" applyBorder="1" applyAlignment="1">
      <alignment horizontal="left" vertical="center" wrapText="1"/>
    </xf>
    <xf numFmtId="0" fontId="10" fillId="0" borderId="1" xfId="1" applyNumberFormat="1" applyFont="1" applyFill="1" applyBorder="1" applyAlignment="1">
      <alignment horizontal="center" vertical="center" wrapText="1"/>
    </xf>
    <xf numFmtId="2" fontId="10" fillId="0" borderId="1" xfId="1" applyNumberFormat="1" applyFont="1" applyFill="1" applyBorder="1" applyAlignment="1">
      <alignment horizontal="center" vertical="center" wrapText="1"/>
    </xf>
    <xf numFmtId="166" fontId="15" fillId="6" borderId="1" xfId="1" applyFont="1" applyFill="1" applyBorder="1" applyAlignment="1">
      <alignment horizontal="center" vertical="center" wrapText="1"/>
    </xf>
    <xf numFmtId="166" fontId="15" fillId="3" borderId="1" xfId="1" applyFont="1" applyFill="1" applyBorder="1" applyAlignment="1">
      <alignment horizontal="center" vertical="center" wrapText="1"/>
    </xf>
    <xf numFmtId="173" fontId="10" fillId="0" borderId="1" xfId="1" applyNumberFormat="1" applyFont="1" applyFill="1" applyBorder="1" applyAlignment="1">
      <alignment horizontal="center" vertical="center" wrapText="1"/>
    </xf>
    <xf numFmtId="166" fontId="24" fillId="0" borderId="0" xfId="1" applyFont="1" applyFill="1"/>
    <xf numFmtId="166" fontId="25" fillId="0" borderId="1" xfId="1" applyFont="1" applyFill="1" applyBorder="1" applyAlignment="1">
      <alignment horizontal="center" vertical="center" wrapText="1"/>
    </xf>
    <xf numFmtId="166" fontId="24" fillId="0" borderId="1" xfId="1" applyFont="1" applyFill="1" applyBorder="1" applyAlignment="1">
      <alignment horizontal="center" vertical="center" wrapText="1"/>
    </xf>
    <xf numFmtId="166" fontId="24" fillId="0" borderId="1" xfId="1" applyFont="1" applyFill="1" applyBorder="1" applyAlignment="1">
      <alignment horizontal="left" vertical="center" wrapText="1"/>
    </xf>
    <xf numFmtId="166" fontId="25" fillId="6" borderId="1" xfId="1"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180" fontId="27" fillId="0" borderId="1" xfId="0" applyNumberFormat="1" applyFont="1" applyBorder="1" applyAlignment="1">
      <alignment horizontal="right" vertical="center"/>
    </xf>
    <xf numFmtId="180" fontId="27" fillId="0" borderId="1" xfId="0" applyNumberFormat="1" applyFont="1" applyBorder="1" applyAlignment="1">
      <alignment horizontal="center"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4" fontId="14" fillId="0" borderId="1" xfId="10" applyNumberFormat="1" applyFont="1" applyFill="1" applyBorder="1" applyAlignment="1" applyProtection="1">
      <alignment horizontal="center" vertical="center" wrapText="1"/>
    </xf>
    <xf numFmtId="2" fontId="7" fillId="0" borderId="0" xfId="10" applyNumberFormat="1" applyFont="1" applyFill="1" applyAlignment="1" applyProtection="1">
      <alignment horizontal="center" vertical="center" wrapText="1"/>
    </xf>
    <xf numFmtId="44" fontId="14" fillId="0" borderId="1" xfId="9" applyFont="1" applyFill="1" applyBorder="1" applyAlignment="1" applyProtection="1">
      <alignment horizontal="center" vertical="center" wrapText="1"/>
    </xf>
    <xf numFmtId="166" fontId="7" fillId="0" borderId="7" xfId="1" applyFont="1" applyFill="1" applyBorder="1" applyAlignment="1" applyProtection="1">
      <alignment horizontal="center" vertical="center" wrapText="1"/>
    </xf>
    <xf numFmtId="166" fontId="14" fillId="0" borderId="1" xfId="1" applyFont="1" applyFill="1" applyBorder="1" applyAlignment="1" applyProtection="1">
      <alignment horizontal="center" vertical="center" wrapText="1"/>
    </xf>
    <xf numFmtId="44" fontId="15" fillId="0" borderId="9" xfId="9" applyFont="1" applyFill="1" applyBorder="1" applyAlignment="1" applyProtection="1">
      <alignment horizontal="center" vertical="center" wrapText="1"/>
    </xf>
    <xf numFmtId="44" fontId="15" fillId="0" borderId="1" xfId="9" applyFont="1" applyFill="1" applyBorder="1" applyAlignment="1" applyProtection="1">
      <alignment horizontal="center" vertical="center" wrapText="1"/>
    </xf>
    <xf numFmtId="44" fontId="15" fillId="6" borderId="1" xfId="9" applyFont="1" applyFill="1" applyBorder="1" applyAlignment="1" applyProtection="1">
      <alignment horizontal="center" vertical="center" wrapText="1"/>
    </xf>
    <xf numFmtId="0" fontId="27" fillId="0" borderId="0" xfId="0" applyFont="1" applyAlignment="1">
      <alignment horizontal="center" vertical="center"/>
    </xf>
    <xf numFmtId="0" fontId="27" fillId="0" borderId="0" xfId="0" applyFont="1" applyAlignment="1">
      <alignment horizontal="left" vertical="center" wrapText="1"/>
    </xf>
    <xf numFmtId="180" fontId="27" fillId="0" borderId="0" xfId="0" applyNumberFormat="1" applyFont="1" applyAlignment="1">
      <alignment horizontal="right" vertical="center"/>
    </xf>
    <xf numFmtId="2" fontId="11" fillId="0" borderId="19" xfId="10" applyNumberFormat="1" applyFont="1" applyFill="1" applyBorder="1" applyAlignment="1" applyProtection="1">
      <alignment vertical="center" wrapText="1"/>
    </xf>
    <xf numFmtId="180" fontId="27" fillId="0" borderId="19" xfId="0" applyNumberFormat="1" applyFont="1" applyBorder="1" applyAlignment="1">
      <alignment horizontal="right" vertical="center"/>
    </xf>
    <xf numFmtId="4" fontId="11" fillId="0" borderId="11" xfId="0" applyNumberFormat="1" applyFont="1" applyBorder="1" applyAlignment="1">
      <alignment horizontal="center" vertical="center" wrapText="1"/>
    </xf>
    <xf numFmtId="183" fontId="14" fillId="0" borderId="1" xfId="10" applyNumberFormat="1" applyFont="1" applyBorder="1" applyAlignment="1" applyProtection="1">
      <alignment horizontal="center" vertical="center" wrapText="1"/>
    </xf>
    <xf numFmtId="177" fontId="14" fillId="0" borderId="1" xfId="10" applyNumberFormat="1" applyFont="1" applyBorder="1" applyAlignment="1" applyProtection="1">
      <alignment horizontal="center" vertical="center" wrapText="1"/>
    </xf>
    <xf numFmtId="184" fontId="14" fillId="0" borderId="1" xfId="10" applyNumberFormat="1" applyFont="1" applyBorder="1" applyAlignment="1" applyProtection="1">
      <alignment horizontal="center" vertical="center" wrapText="1"/>
    </xf>
    <xf numFmtId="0" fontId="28" fillId="0" borderId="0" xfId="0" applyFont="1" applyAlignment="1">
      <alignment horizontal="center" vertical="center" wrapText="1"/>
    </xf>
    <xf numFmtId="0" fontId="28" fillId="0" borderId="0" xfId="0" applyFont="1" applyAlignment="1">
      <alignment horizontal="righ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right" vertical="center" wrapText="1"/>
    </xf>
    <xf numFmtId="165" fontId="0" fillId="0" borderId="0" xfId="0" applyNumberFormat="1" applyAlignment="1">
      <alignment horizontal="right"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165" fontId="0" fillId="0" borderId="1" xfId="0" applyNumberFormat="1" applyBorder="1" applyAlignment="1">
      <alignment horizontal="right" vertical="center" wrapText="1"/>
    </xf>
    <xf numFmtId="170" fontId="10" fillId="0" borderId="1" xfId="10" applyNumberFormat="1" applyFont="1" applyBorder="1" applyAlignment="1" applyProtection="1">
      <alignment horizontal="center" vertical="center" wrapText="1"/>
    </xf>
    <xf numFmtId="2" fontId="10" fillId="0" borderId="1" xfId="0" applyNumberFormat="1" applyFont="1" applyBorder="1" applyAlignment="1">
      <alignment horizontal="center" vertical="center" wrapText="1"/>
    </xf>
    <xf numFmtId="179" fontId="10" fillId="0" borderId="0" xfId="1" applyNumberFormat="1" applyFont="1" applyAlignment="1">
      <alignment horizontal="center" vertical="center" wrapText="1"/>
    </xf>
    <xf numFmtId="185" fontId="10" fillId="0" borderId="0" xfId="0" applyNumberFormat="1" applyFont="1" applyAlignment="1">
      <alignment horizontal="center" vertical="center" wrapText="1"/>
    </xf>
    <xf numFmtId="4" fontId="10" fillId="0" borderId="0" xfId="0" applyNumberFormat="1" applyFont="1" applyAlignment="1">
      <alignment horizontal="center" vertical="center" wrapTex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17" fontId="7" fillId="0" borderId="6"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1" fontId="14" fillId="0" borderId="11"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8" xfId="0" applyFont="1" applyBorder="1" applyAlignment="1">
      <alignment horizontal="center" vertical="center" wrapText="1"/>
    </xf>
    <xf numFmtId="0" fontId="14" fillId="6" borderId="6"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 xfId="0" applyFont="1" applyBorder="1" applyAlignment="1">
      <alignment horizontal="center" vertical="center" wrapText="1"/>
    </xf>
    <xf numFmtId="2" fontId="7" fillId="0" borderId="1" xfId="10" applyNumberFormat="1" applyFont="1" applyBorder="1" applyAlignment="1" applyProtection="1">
      <alignment horizontal="center" vertical="center" wrapText="1"/>
    </xf>
    <xf numFmtId="0" fontId="7" fillId="0" borderId="6" xfId="0" applyFont="1" applyBorder="1" applyAlignment="1">
      <alignment horizontal="center" vertical="center" wrapText="1"/>
    </xf>
    <xf numFmtId="0" fontId="14" fillId="0" borderId="0" xfId="0" applyFont="1" applyAlignment="1">
      <alignment horizontal="center" vertical="center" wrapText="1"/>
    </xf>
    <xf numFmtId="168" fontId="10" fillId="0" borderId="6" xfId="3" applyFont="1" applyBorder="1" applyAlignment="1" applyProtection="1">
      <alignment horizontal="center" vertical="center" wrapText="1"/>
    </xf>
    <xf numFmtId="168" fontId="10" fillId="0" borderId="7" xfId="3" applyFont="1" applyBorder="1" applyAlignment="1" applyProtection="1">
      <alignment horizontal="center" vertical="center" wrapText="1"/>
    </xf>
    <xf numFmtId="168" fontId="11" fillId="0" borderId="6" xfId="3" applyFont="1" applyBorder="1" applyAlignment="1" applyProtection="1">
      <alignment horizontal="center" vertical="center" wrapText="1"/>
    </xf>
    <xf numFmtId="168" fontId="11" fillId="0" borderId="7" xfId="3" applyFont="1" applyBorder="1" applyAlignment="1" applyProtection="1">
      <alignment horizontal="center" vertical="center" wrapText="1"/>
    </xf>
    <xf numFmtId="2" fontId="11" fillId="0" borderId="1" xfId="10" applyNumberFormat="1" applyFont="1" applyBorder="1" applyAlignment="1" applyProtection="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2" fontId="7" fillId="0" borderId="11" xfId="10" applyNumberFormat="1" applyFont="1" applyBorder="1" applyAlignment="1" applyProtection="1">
      <alignment horizontal="center" vertical="center" wrapText="1"/>
    </xf>
    <xf numFmtId="2" fontId="7" fillId="0" borderId="19" xfId="10" applyNumberFormat="1" applyFont="1" applyBorder="1" applyAlignment="1" applyProtection="1">
      <alignment horizontal="center" vertical="center" wrapText="1"/>
    </xf>
    <xf numFmtId="0" fontId="7"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7" fillId="14" borderId="6" xfId="0" applyFont="1" applyFill="1" applyBorder="1" applyAlignment="1">
      <alignment horizontal="center" vertical="center" wrapText="1"/>
    </xf>
    <xf numFmtId="0" fontId="7" fillId="14" borderId="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7" xfId="0" applyFont="1" applyFill="1" applyBorder="1" applyAlignment="1">
      <alignment horizontal="center" vertical="center" wrapText="1"/>
    </xf>
    <xf numFmtId="2" fontId="11" fillId="0" borderId="11" xfId="10" applyNumberFormat="1" applyFont="1" applyFill="1" applyBorder="1" applyAlignment="1" applyProtection="1">
      <alignment horizontal="center" vertical="center" wrapText="1"/>
    </xf>
    <xf numFmtId="2" fontId="11" fillId="0" borderId="19" xfId="10" applyNumberFormat="1" applyFont="1" applyFill="1" applyBorder="1" applyAlignment="1" applyProtection="1">
      <alignment horizontal="center" vertical="center" wrapText="1"/>
    </xf>
    <xf numFmtId="0" fontId="27" fillId="0" borderId="1" xfId="0" applyFont="1" applyBorder="1" applyAlignment="1">
      <alignment horizontal="center" vertical="center"/>
    </xf>
    <xf numFmtId="0" fontId="26" fillId="0" borderId="1" xfId="0" applyFont="1" applyBorder="1" applyAlignment="1">
      <alignment horizontal="center" vertical="center"/>
    </xf>
    <xf numFmtId="0" fontId="27" fillId="0" borderId="1" xfId="0" applyFont="1" applyBorder="1" applyAlignment="1">
      <alignment horizontal="left" vertical="center" wrapText="1"/>
    </xf>
    <xf numFmtId="2" fontId="7" fillId="0" borderId="11" xfId="10" applyNumberFormat="1" applyFont="1" applyFill="1" applyBorder="1" applyAlignment="1" applyProtection="1">
      <alignment horizontal="center" vertical="center" wrapText="1"/>
    </xf>
    <xf numFmtId="2" fontId="7" fillId="0" borderId="19" xfId="10" applyNumberFormat="1" applyFont="1" applyFill="1" applyBorder="1" applyAlignment="1" applyProtection="1">
      <alignment horizontal="center" vertical="center" wrapText="1"/>
    </xf>
    <xf numFmtId="2" fontId="7" fillId="0" borderId="9" xfId="10" applyNumberFormat="1" applyFont="1" applyFill="1" applyBorder="1" applyAlignment="1" applyProtection="1">
      <alignment horizontal="center" vertical="center" wrapText="1"/>
    </xf>
    <xf numFmtId="0" fontId="27" fillId="0" borderId="6"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15" fillId="6" borderId="1" xfId="0" applyFont="1" applyFill="1" applyBorder="1" applyAlignment="1">
      <alignment horizontal="center" vertical="center" wrapText="1"/>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7" fillId="14" borderId="1"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10" xfId="0" applyFont="1" applyFill="1" applyBorder="1" applyAlignment="1">
      <alignment horizontal="center" vertical="center" wrapText="1"/>
    </xf>
    <xf numFmtId="0" fontId="14" fillId="14" borderId="16" xfId="0" applyFont="1" applyFill="1" applyBorder="1" applyAlignment="1">
      <alignment horizontal="center" vertical="center" wrapText="1"/>
    </xf>
    <xf numFmtId="0" fontId="14" fillId="14" borderId="17" xfId="0" applyFont="1" applyFill="1" applyBorder="1" applyAlignment="1">
      <alignment horizontal="center" vertical="center" wrapText="1"/>
    </xf>
    <xf numFmtId="0" fontId="22" fillId="16" borderId="1" xfId="0" applyFont="1" applyFill="1" applyBorder="1" applyAlignment="1">
      <alignment horizontal="center" vertical="center"/>
    </xf>
    <xf numFmtId="0" fontId="10" fillId="0" borderId="0" xfId="0" applyFont="1" applyAlignment="1">
      <alignment horizontal="center" vertical="center" wrapText="1"/>
    </xf>
    <xf numFmtId="0" fontId="21" fillId="0" borderId="1" xfId="0" applyFont="1" applyBorder="1" applyAlignment="1">
      <alignment horizontal="right" vertical="center"/>
    </xf>
    <xf numFmtId="0" fontId="21" fillId="0" borderId="1" xfId="0" applyFont="1" applyBorder="1" applyAlignment="1">
      <alignment horizontal="center" vertical="center" wrapText="1"/>
    </xf>
    <xf numFmtId="0" fontId="20" fillId="0" borderId="1" xfId="0" applyFont="1" applyBorder="1" applyAlignment="1">
      <alignment horizontal="left" vertical="center" wrapText="1"/>
    </xf>
    <xf numFmtId="0" fontId="21" fillId="15" borderId="1" xfId="0" applyFont="1" applyFill="1" applyBorder="1" applyAlignment="1">
      <alignment horizontal="right" vertical="center"/>
    </xf>
    <xf numFmtId="0" fontId="20" fillId="0" borderId="1" xfId="2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5" fillId="0" borderId="6" xfId="0" applyFont="1" applyBorder="1" applyAlignment="1">
      <alignment horizontal="right" vertical="center"/>
    </xf>
    <xf numFmtId="0" fontId="15" fillId="0" borderId="5" xfId="0" applyFont="1" applyBorder="1" applyAlignment="1">
      <alignment horizontal="right" vertical="center"/>
    </xf>
    <xf numFmtId="0" fontId="15" fillId="0" borderId="7" xfId="0" applyFont="1" applyBorder="1" applyAlignment="1">
      <alignment horizontal="right" vertical="center"/>
    </xf>
    <xf numFmtId="0" fontId="15" fillId="6" borderId="6"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7" xfId="0" applyFont="1" applyFill="1" applyBorder="1" applyAlignment="1">
      <alignment horizontal="center" vertical="center"/>
    </xf>
    <xf numFmtId="0" fontId="15" fillId="0" borderId="5" xfId="0" applyFont="1" applyBorder="1" applyAlignment="1">
      <alignment horizontal="center" vertical="center" wrapText="1"/>
    </xf>
    <xf numFmtId="0" fontId="0" fillId="0" borderId="1" xfId="0" applyBorder="1" applyAlignment="1">
      <alignment horizontal="left" vertical="center" wrapTex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15" fillId="16" borderId="1" xfId="0" applyFont="1" applyFill="1" applyBorder="1" applyAlignment="1">
      <alignment horizontal="center" vertical="center"/>
    </xf>
    <xf numFmtId="0" fontId="15" fillId="0" borderId="1" xfId="0" applyFont="1" applyBorder="1" applyAlignment="1">
      <alignment horizontal="center" vertical="center" wrapText="1"/>
    </xf>
    <xf numFmtId="0" fontId="10" fillId="0" borderId="1" xfId="0" applyFont="1" applyBorder="1" applyAlignment="1">
      <alignment horizontal="left" vertical="center" wrapText="1"/>
    </xf>
    <xf numFmtId="0" fontId="15" fillId="0" borderId="1" xfId="0" applyFont="1" applyBorder="1" applyAlignment="1">
      <alignment horizontal="right" vertical="center"/>
    </xf>
    <xf numFmtId="0" fontId="15" fillId="6" borderId="1" xfId="0" applyFont="1" applyFill="1" applyBorder="1" applyAlignment="1">
      <alignment horizontal="center" vertical="center"/>
    </xf>
    <xf numFmtId="0" fontId="24" fillId="0" borderId="1" xfId="0" applyFont="1" applyBorder="1" applyAlignment="1">
      <alignment horizontal="left" vertical="center" wrapText="1"/>
    </xf>
    <xf numFmtId="166" fontId="15" fillId="0" borderId="1" xfId="1" applyFont="1" applyFill="1" applyBorder="1" applyAlignment="1">
      <alignment horizontal="right" vertical="center"/>
    </xf>
    <xf numFmtId="166" fontId="15" fillId="6" borderId="1" xfId="1" applyFont="1" applyFill="1" applyBorder="1" applyAlignment="1">
      <alignment horizontal="center" vertical="center"/>
    </xf>
    <xf numFmtId="166" fontId="15" fillId="0" borderId="1" xfId="1" applyFont="1" applyFill="1" applyBorder="1" applyAlignment="1">
      <alignment horizontal="center" vertical="center" wrapText="1"/>
    </xf>
    <xf numFmtId="166" fontId="10" fillId="0" borderId="1" xfId="1" applyFont="1" applyFill="1" applyBorder="1" applyAlignment="1">
      <alignment horizontal="left" vertical="center" wrapText="1"/>
    </xf>
    <xf numFmtId="166" fontId="15" fillId="0" borderId="1" xfId="1" applyFont="1" applyFill="1" applyBorder="1" applyAlignment="1">
      <alignment horizontal="center" vertical="center"/>
    </xf>
    <xf numFmtId="166" fontId="15" fillId="3" borderId="1" xfId="1" applyFont="1" applyFill="1" applyBorder="1" applyAlignment="1">
      <alignment horizontal="center" vertical="center"/>
    </xf>
    <xf numFmtId="166" fontId="25" fillId="0" borderId="1" xfId="1" applyFont="1" applyFill="1" applyBorder="1" applyAlignment="1">
      <alignment horizontal="right" vertical="center"/>
    </xf>
    <xf numFmtId="166" fontId="25" fillId="0" borderId="1" xfId="1" applyFont="1" applyFill="1" applyBorder="1" applyAlignment="1">
      <alignment horizontal="center" vertical="center" wrapText="1"/>
    </xf>
    <xf numFmtId="166" fontId="24" fillId="0" borderId="1" xfId="1" applyFont="1" applyFill="1" applyBorder="1" applyAlignment="1">
      <alignment horizontal="left" vertical="center" wrapText="1"/>
    </xf>
    <xf numFmtId="166" fontId="25" fillId="6" borderId="1" xfId="1" applyFont="1" applyFill="1" applyBorder="1" applyAlignment="1">
      <alignment horizontal="center" vertical="center"/>
    </xf>
    <xf numFmtId="166" fontId="10" fillId="0" borderId="1" xfId="1" applyFont="1" applyFill="1" applyBorder="1" applyAlignment="1">
      <alignment horizontal="center" vertical="center" wrapText="1"/>
    </xf>
    <xf numFmtId="0" fontId="6" fillId="8" borderId="25" xfId="0" applyFont="1" applyFill="1" applyBorder="1" applyAlignment="1">
      <alignment horizontal="center" vertical="center" wrapText="1"/>
    </xf>
    <xf numFmtId="0" fontId="6" fillId="8" borderId="0" xfId="0" applyFont="1" applyFill="1" applyAlignment="1">
      <alignment horizontal="center" vertical="center" wrapText="1"/>
    </xf>
    <xf numFmtId="0" fontId="6" fillId="9" borderId="25" xfId="0" applyFont="1" applyFill="1" applyBorder="1" applyAlignment="1">
      <alignment horizontal="center" vertical="center" wrapText="1"/>
    </xf>
    <xf numFmtId="0" fontId="6" fillId="9" borderId="0" xfId="0" applyFont="1" applyFill="1" applyAlignment="1">
      <alignment horizontal="center" vertical="center" wrapText="1"/>
    </xf>
    <xf numFmtId="0" fontId="11" fillId="10" borderId="26" xfId="0" applyFont="1" applyFill="1" applyBorder="1" applyAlignment="1">
      <alignment horizontal="center" vertical="center" wrapText="1"/>
    </xf>
    <xf numFmtId="0" fontId="11" fillId="10" borderId="27" xfId="0" applyFont="1" applyFill="1" applyBorder="1" applyAlignment="1">
      <alignment horizontal="center" vertical="center" wrapText="1"/>
    </xf>
    <xf numFmtId="0" fontId="8" fillId="13" borderId="34" xfId="0" applyFont="1" applyFill="1" applyBorder="1" applyAlignment="1">
      <alignment horizontal="center" vertical="center" wrapText="1"/>
    </xf>
    <xf numFmtId="0" fontId="8" fillId="13" borderId="35" xfId="0" applyFont="1" applyFill="1" applyBorder="1" applyAlignment="1">
      <alignment horizontal="center" vertical="center" wrapText="1"/>
    </xf>
    <xf numFmtId="0" fontId="8" fillId="13" borderId="36" xfId="0" applyFont="1" applyFill="1" applyBorder="1" applyAlignment="1">
      <alignment horizontal="center" vertical="center" wrapText="1"/>
    </xf>
    <xf numFmtId="0" fontId="6" fillId="9" borderId="37" xfId="0" applyFont="1" applyFill="1" applyBorder="1" applyAlignment="1">
      <alignment horizontal="center" vertical="center" wrapText="1"/>
    </xf>
    <xf numFmtId="0" fontId="11" fillId="10" borderId="38" xfId="0" applyFont="1" applyFill="1" applyBorder="1" applyAlignment="1">
      <alignment horizontal="center" vertical="center" wrapText="1"/>
    </xf>
    <xf numFmtId="0" fontId="6" fillId="8" borderId="37" xfId="0" applyFont="1" applyFill="1" applyBorder="1" applyAlignment="1">
      <alignment horizontal="center" vertical="center" wrapText="1"/>
    </xf>
  </cellXfs>
  <cellStyles count="21">
    <cellStyle name="Millares" xfId="16" builtinId="3"/>
    <cellStyle name="Moneda" xfId="1" builtinId="4"/>
    <cellStyle name="Moneda [0] 2" xfId="10" xr:uid="{4B340D0B-6E5D-4A04-AD01-0E45076C1835}"/>
    <cellStyle name="Moneda 2" xfId="7" xr:uid="{9B7A2610-F204-48E0-A8FD-1E7198395D6A}"/>
    <cellStyle name="Moneda 3" xfId="9" xr:uid="{8502F788-87BF-4EE6-87F2-8C3A9E6A2ED9}"/>
    <cellStyle name="Moneda 3 2" xfId="19" xr:uid="{71E38504-153F-4AD6-88C0-2F178C561A9C}"/>
    <cellStyle name="Moneda 4" xfId="18" xr:uid="{14E3016B-2BFC-4E4C-B7F3-7040E86DEA62}"/>
    <cellStyle name="Normal" xfId="0" builtinId="0"/>
    <cellStyle name="Normal 133" xfId="14" xr:uid="{D799677C-F42D-48DB-AAD0-79720E06F762}"/>
    <cellStyle name="Normal 14" xfId="5" xr:uid="{EA978F41-3283-48A1-85DF-EA4527F601C5}"/>
    <cellStyle name="Normal 2" xfId="20" xr:uid="{96752BE6-7D3B-4444-8E4C-A8DAB9D79E83}"/>
    <cellStyle name="Normal 2 10" xfId="13" xr:uid="{E7A60CB0-3E0F-4EFC-A153-FC5DE9583AA9}"/>
    <cellStyle name="Normal 2 16 2" xfId="11" xr:uid="{4EEBD6D3-9E66-49AF-9E98-C20D58CD07F8}"/>
    <cellStyle name="Normal 2 2" xfId="8" xr:uid="{2470F908-8E28-4292-957A-17970D8CD281}"/>
    <cellStyle name="Normal 2 2 10 2" xfId="17" xr:uid="{D068A925-EF07-4BEF-A7C6-1DEF0A86AC75}"/>
    <cellStyle name="Normal 3" xfId="4" xr:uid="{A4D65EE8-B9FA-4008-843B-3D2DF3247421}"/>
    <cellStyle name="Normal 4 2" xfId="15" xr:uid="{A783A183-016D-4F3D-9164-A747A9422641}"/>
    <cellStyle name="Normal_Formato Apu 2 2" xfId="3" xr:uid="{A0422CC6-85C8-411B-B01E-15511983749E}"/>
    <cellStyle name="Porcentaje" xfId="2" builtinId="5"/>
    <cellStyle name="Porcentual 2" xfId="12" xr:uid="{99D4D5B9-6F6F-4078-B632-21BB883B4924}"/>
    <cellStyle name="Porcentual 9" xfId="6" xr:uid="{E1BACDDE-4FF5-429E-9D25-7694EDF790C4}"/>
  </cellStyles>
  <dxfs count="19">
    <dxf>
      <fill>
        <patternFill patternType="none">
          <fgColor indexed="64"/>
          <bgColor theme="0"/>
        </patternFill>
      </fill>
    </dxf>
    <dxf>
      <font>
        <b val="0"/>
        <i val="0"/>
        <strike val="0"/>
        <condense val="0"/>
        <extend val="0"/>
        <outline val="0"/>
        <shadow val="0"/>
        <u val="none"/>
        <vertAlign val="baseline"/>
        <sz val="9"/>
        <color theme="1"/>
        <name val="Aptos Narrow"/>
        <family val="2"/>
        <scheme val="minor"/>
      </font>
      <fill>
        <patternFill patternType="none">
          <fgColor indexed="64"/>
          <bgColor theme="0"/>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ptos Narrow"/>
        <family val="2"/>
        <scheme val="minor"/>
      </fon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Narrow"/>
        <family val="2"/>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Narrow"/>
        <family val="2"/>
        <scheme val="minor"/>
      </font>
      <fill>
        <patternFill patternType="none">
          <fgColor indexed="64"/>
          <bgColor theme="0"/>
        </patternFill>
      </fill>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theme="0"/>
        </patternFill>
      </fill>
    </dxf>
    <dxf>
      <border outline="0">
        <bottom style="thin">
          <color indexed="64"/>
        </bottom>
      </border>
    </dxf>
    <dxf>
      <font>
        <b/>
        <i val="0"/>
        <strike val="0"/>
        <condense val="0"/>
        <extend val="0"/>
        <outline val="0"/>
        <shadow val="0"/>
        <u val="none"/>
        <vertAlign val="baseline"/>
        <sz val="9"/>
        <color theme="1"/>
        <name val="Aptos Narrow"/>
        <family val="2"/>
        <scheme val="minor"/>
      </fon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styles" Target="styles.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sharedStrings" Target="sharedStrings.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calcChain" Target="calcChain.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103474</xdr:rowOff>
    </xdr:to>
    <xdr:pic>
      <xdr:nvPicPr>
        <xdr:cNvPr id="4" name="Imagen 3" descr="Universidad del Atlántico Sede Regional Sur - Suan | Suan">
          <a:extLst>
            <a:ext uri="{FF2B5EF4-FFF2-40B4-BE49-F238E27FC236}">
              <a16:creationId xmlns:a16="http://schemas.microsoft.com/office/drawing/2014/main" id="{A36C6EC5-7826-428D-8984-63A3D81CE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02C22D80-BAED-45E0-A0CC-99CEC114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617CD56C-7DE6-4ECA-9FF7-12EE9AA0A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9870B78B-59B3-4917-9696-3E7B68455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5B9026C9-C2C8-40D7-866B-F493A48C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938516E6-245B-4C65-A34D-C960ABC8B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D4145153-404E-4D1D-BB58-C8B3D1198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166DA054-CD34-4268-8F2B-8CC6A0567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B62D004-962A-4635-B27D-50262BF9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FFD96A0F-B822-4E1E-A080-9EDB2558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D0C295D8-2B69-4E18-BE39-60D713C22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44A6F9DD-2B91-4C6D-A9CD-7CCCB41EF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86386EE0-7146-4531-9CB8-69482AE7F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7C96BE35-741F-4224-917C-CC3C526B9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48ACC7F-3776-4886-B31E-0F74E8E1E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41A007E-8580-400E-BF3F-D086F6575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E1D1E8C2-A11E-43EA-93FD-5FFC8EA8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8128A7B7-F42E-4AEE-9FDB-E3AD6D1E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C484222-A0B4-4C07-A517-3E9C65881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AA93A27-549F-4524-BCFC-936858A57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DE56232-3154-48F6-8C99-D8FB44BE5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E9CCA3C-E1F7-48CD-AEAB-9733B8D15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41651</xdr:rowOff>
    </xdr:to>
    <xdr:pic>
      <xdr:nvPicPr>
        <xdr:cNvPr id="4" name="Imagen 3" descr="Universidad del Atlántico Sede Regional Sur - Suan | Suan">
          <a:extLst>
            <a:ext uri="{FF2B5EF4-FFF2-40B4-BE49-F238E27FC236}">
              <a16:creationId xmlns:a16="http://schemas.microsoft.com/office/drawing/2014/main" id="{95B9458D-AEC5-4BE6-BCE3-F2269F3C7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F574B681-11BA-417A-BD1B-CD14F24A4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1F72871-D874-48F7-94AD-25C619C3C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6F0BCF9-C60B-45A1-9B2A-5C81B9859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D36BBDF-9B84-4552-8A82-D5973796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C20E2109-5520-44C2-BE4E-CDED18879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3D53A65E-CBAA-42DE-99CB-B231D4263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76DBC9A2-067F-43E9-8274-C6498F406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2D74A87-1A54-4FC5-9CF3-DFC36CF31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3FC5288-B636-4DA6-A5AF-C45AD8FA2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1F73BC7-45E9-4670-9E0A-9210D2266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7BE43526-5495-4AA6-B139-B78448B5F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6864E8C-DC89-405D-98D9-4794DBD56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B82C3B0B-B949-46A9-857B-48DDA8132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BBAD92AC-2A96-4E7A-B207-260410FBC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4D9EB95-99C8-4D8D-94D5-E1DF202C0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82460C7-4192-4E29-A1A1-31FE4EFDD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943BCB3-0230-4A50-9C55-96D80E72B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3F63E4E9-A422-4AFF-9FB4-67E399B64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A02FE558-81CB-49AF-8045-4893623A2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8F16BF70-DC2F-49D4-8214-F826E3814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41651</xdr:rowOff>
    </xdr:to>
    <xdr:pic>
      <xdr:nvPicPr>
        <xdr:cNvPr id="5" name="Imagen 4" descr="Universidad del Atlántico Sede Regional Sur - Suan | Suan">
          <a:extLst>
            <a:ext uri="{FF2B5EF4-FFF2-40B4-BE49-F238E27FC236}">
              <a16:creationId xmlns:a16="http://schemas.microsoft.com/office/drawing/2014/main" id="{20D79E41-AE7D-41DF-9525-00DA7C64A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A54C53E-0470-4BAF-9CD7-77FF2E43D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34F9EF2-CA34-41C3-AD0A-7F0C5C549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0F2B1BA-33A1-4ED3-AD2E-08D690707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2E3E2D5-35E3-4627-B034-B45598E46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E84CF21-5003-4FB5-A851-3E5B9D219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600401D-7A6D-4DBB-9EB7-F1EC76492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4C1840E-C52F-4F79-8123-2BE0B8628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668FEFB-8661-4560-A37D-BF9684F42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E68174A-97A3-46F3-8755-ED63BA3F7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BDA127D-9077-4C07-A37D-99DF0C021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0486856-7CB7-44E8-B9BD-ED9CCE4D7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55758A48-82A1-46E3-8586-8B52EEDA3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710C1B72-C0B9-4C89-9611-A7F6B3F2E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08D5E68-3DAB-4A13-938E-9999D9D04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C52F200-7645-4B83-A19C-ECC188DC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1EF8CA2D-0A42-484E-8D05-35AE76ACE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CDB90C7E-B751-43EF-8E82-8C2511D3A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EBD2895-3596-4D26-9F48-16CBEF87F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4E43BAB0-3F74-47B3-8B03-EDBC7DEC8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DE7E694A-7629-46D1-84AC-491C6B7AB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41651</xdr:rowOff>
    </xdr:to>
    <xdr:pic>
      <xdr:nvPicPr>
        <xdr:cNvPr id="4" name="Imagen 3" descr="Universidad del Atlántico Sede Regional Sur - Suan | Suan">
          <a:extLst>
            <a:ext uri="{FF2B5EF4-FFF2-40B4-BE49-F238E27FC236}">
              <a16:creationId xmlns:a16="http://schemas.microsoft.com/office/drawing/2014/main" id="{0E75E747-2B4F-4A0A-B2FE-3F5FCD6FA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109BFFAF-4109-4299-9738-947D8746E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84974E42-5DB6-405C-90CC-64591D075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8BCD3FE-D28D-4567-8E5E-B3879CB50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6855A239-46D8-43B3-8532-144C0A70B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AC40501-A2D6-445C-9A38-C7C865700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ED5F261-98B6-4761-97FD-650BD5872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64C68AA-B818-428F-937F-3AC90FD8D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4B1FC5D-3B46-4CF7-8D96-3390300A4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1C2C1305-CD2E-4C62-981A-74B2C239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DE9E0F0-9D31-4B5F-9F51-5DFBC5DCF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5E92365-1C5C-4523-8DAB-568172D4A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60C69AFE-BED8-4D13-B79D-B7432A729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4DD5AD1D-45D3-4060-96DF-BB8D9FF88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8EA1A582-1547-466B-A2A9-1C89D0709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BD73D94-AD50-4EC1-A722-77D96642A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D13D488-033D-4C35-914D-F1B06470E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F93097D6-EE12-459A-86A2-F777B4E59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D16583B-8A32-4354-BFD0-1ADFC2EE5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FF556BE-C9F0-4AFF-92ED-24836E88D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FC309DA-170F-4445-9CBA-39502407B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41651</xdr:rowOff>
    </xdr:to>
    <xdr:pic>
      <xdr:nvPicPr>
        <xdr:cNvPr id="4" name="Imagen 3" descr="Universidad del Atlántico Sede Regional Sur - Suan | Suan">
          <a:extLst>
            <a:ext uri="{FF2B5EF4-FFF2-40B4-BE49-F238E27FC236}">
              <a16:creationId xmlns:a16="http://schemas.microsoft.com/office/drawing/2014/main" id="{4B47E60F-4726-4AE7-8BFC-484AF6436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7D002E2-3E73-48FC-97AF-3989DEFBC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5B4998F-CCF9-4609-A22E-F641C41B0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4F6476A7-1FF1-4F69-A133-123312A21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C3BD9D8-4CA3-4163-A512-1E6710E82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2513711-804A-4A72-B41F-849E689B2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576B12F-56B2-4264-9D8C-256C16E00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647E0F4F-4C9C-4DEC-AAD2-85898B0DC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1F451E71-D197-44E3-97A5-7617FC622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64378784-86D8-4B9C-A3E5-896442E27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ABBFF0F-C6B3-4FF4-B6FE-9BB500E15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11BFA3A9-4A91-440E-8420-6EFF6182A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37015CCF-7717-4A03-A3BB-DB5C4B70A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2498E5E-4097-4DF4-BD16-FAFBB5D0C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568A867-9451-44D8-82A4-B7766B0B3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F03DF749-BD34-457C-A186-35BDD7D90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3884350-7C48-4A53-A195-30FC23761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48F8A59-626B-44CB-A3D9-BDAC76E76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CE11BA5-B674-4378-A70C-43E212DAF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B6DEBE9A-B822-4B35-967F-1719EA51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566D22F4-30AF-4AC7-A974-393113F2D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5" name="Imagen 4" descr="Universidad del Atlántico Sede Regional Sur - Suan | Suan">
          <a:extLst>
            <a:ext uri="{FF2B5EF4-FFF2-40B4-BE49-F238E27FC236}">
              <a16:creationId xmlns:a16="http://schemas.microsoft.com/office/drawing/2014/main" id="{EC9F1B82-5C36-4DBC-9D10-EFB93B3B4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473783CA-D7B5-4685-9561-4546D45C9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1F98882-8CD6-4329-9AED-6178779F6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A4527FBD-09E3-43AF-ABC8-41BD9C978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1B6910F6-A42B-4F4E-82EC-0E27B24D3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F54785E8-BD57-4CB8-9434-30868835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7F89DA2-ABC7-46A5-922F-F64D3A987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2AAE2CF-5478-4AD8-8498-8BCC4F360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5935581A-BA77-4C0A-B2C5-D223CD2FE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81593D9-65D3-4F21-8FE4-D21EF2E19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12F9B87E-E6AA-467C-9E53-BE9495395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42C60EF1-F44F-43B5-A884-87AF1122D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6D10352-45D9-43E4-A779-DB70F0209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E61912DC-97DE-4E70-9066-1E97EF376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7E45E2CB-FAC1-4F89-A784-DC0A8457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19313E2-C84C-45D8-88AD-53E40A4F4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6494A88-5BEA-48DA-85B9-EC6E8E423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AFCE1EEB-D931-4BFE-8EBD-A0F9C7B3B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CE29EA3-DDF3-42B9-8DB6-BF61DA5B5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2D0DFB6-326F-41EB-8F30-4AC0DE981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4D4023C-C4AE-4D4F-B8DA-F3FA15640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6A801E35-44C7-4972-805A-A51D44A70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71EB9635-BEE2-4269-9E4E-8C7211866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9AAE237-75B4-412B-BBF4-8DF2959FA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344E2DA-CBF8-4E76-894A-D130651D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0A5EB4B-7463-483D-A66D-BA4A7ADD5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8DDB68E-D217-4C4A-B8DD-A4D45E6D6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F12F6E14-BCD8-4CB4-BD99-4CCC5B8E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720E111-C77F-42A0-BD02-BC5642C5E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51601E3-BEF8-43D3-9A8F-EE93D756F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3F9D733-DB5E-4895-B801-5EA757421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2C9103D-D771-40E0-AB7E-7223CA95F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F226A3E3-6890-4B1D-8556-0313E43F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609B952-E284-432D-9241-924F7F93F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136BC53C-6DAF-42E8-9DDD-E3089EFE0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8555683-B39C-4CB6-AB6F-5D7BC4A20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8FCFA3F-EF2D-4C3E-8EFB-36C444BA1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5F3780D-20BC-4B08-84E0-289DEC59F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9105E1E2-BB05-4CCA-9976-62472A0F4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A2CC719-E4AE-43EF-9130-C36CBA03A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9FAEF0B-9CA3-489C-BD33-5A84F24F8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7955E15-D696-4872-B618-108D95C53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111240A2-E0DC-4173-BF07-7F4BC94A7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77BEA88-C8B9-406E-9C65-730450613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F20EE73-8F53-42D6-B2FC-DEFC512DB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579B583-0F73-4978-9E50-CCB853612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51D75105-6C21-44FD-B468-45B3CE521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4E8DF92-7C5A-42A8-81FF-7CE398D16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507F3841-4E05-4EE7-8B26-D01375842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03D483A8-290E-447F-964F-E47F5ED8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6BF792DC-F976-4E28-A1F9-E87F352C8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C60E0008-898C-41BB-9CEF-2F5117497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802EADC-3247-42C0-915F-173738561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5.xml><?xml version="1.0" encoding="utf-8"?>
<xdr:wsDr xmlns:xdr="http://schemas.openxmlformats.org/drawingml/2006/spreadsheetDrawing" xmlns:a="http://schemas.openxmlformats.org/drawingml/2006/main">
  <xdr:oneCellAnchor>
    <xdr:from>
      <xdr:col>2</xdr:col>
      <xdr:colOff>167806</xdr:colOff>
      <xdr:row>2</xdr:row>
      <xdr:rowOff>68229</xdr:rowOff>
    </xdr:from>
    <xdr:ext cx="689119" cy="627696"/>
    <xdr:pic>
      <xdr:nvPicPr>
        <xdr:cNvPr id="2" name="Imagen 1" descr="Universidad del Atlántico Sede Regional Sur - Suan | Suan">
          <a:extLst>
            <a:ext uri="{FF2B5EF4-FFF2-40B4-BE49-F238E27FC236}">
              <a16:creationId xmlns:a16="http://schemas.microsoft.com/office/drawing/2014/main" id="{7C930F3D-2B7A-4731-A262-8E76AD4B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167806</xdr:colOff>
      <xdr:row>2</xdr:row>
      <xdr:rowOff>68229</xdr:rowOff>
    </xdr:from>
    <xdr:ext cx="689119" cy="627696"/>
    <xdr:pic>
      <xdr:nvPicPr>
        <xdr:cNvPr id="3" name="Imagen 2" descr="Universidad del Atlántico Sede Regional Sur - Suan | Suan">
          <a:extLst>
            <a:ext uri="{FF2B5EF4-FFF2-40B4-BE49-F238E27FC236}">
              <a16:creationId xmlns:a16="http://schemas.microsoft.com/office/drawing/2014/main" id="{70ED6006-495F-43DB-9A65-F6EF41740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E07A794-0C49-4A15-AA81-B49E1CACE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9CBED92-7791-46A1-98FB-D537538FD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3C9A807-7296-4A2D-8263-54013176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DE5087C5-5D2B-4053-B573-F92EE92F2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B615BEA1-1D2F-4DA9-9633-DEAD965C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7B3B49F-EDAD-40D1-991A-89D6EB4C9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7442A6F-BC27-4082-A50C-FE06C96A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6603E76C-5A41-4C60-B25B-09C02BE73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44768</xdr:rowOff>
    </xdr:to>
    <xdr:pic>
      <xdr:nvPicPr>
        <xdr:cNvPr id="4" name="Imagen 3" descr="Universidad del Atlántico Sede Regional Sur - Suan | Suan">
          <a:extLst>
            <a:ext uri="{FF2B5EF4-FFF2-40B4-BE49-F238E27FC236}">
              <a16:creationId xmlns:a16="http://schemas.microsoft.com/office/drawing/2014/main" id="{4A353A21-70E8-44F7-BCB8-0BECA12AB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6E04F53-97EC-400D-B424-92DD46ECB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BF3F4FF-50E8-47C1-A13A-6B5E6F88C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89D866D-0FA9-438C-B986-249B5829F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B79D2EE7-B8B3-4024-A815-620F986F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BE62FBB6-C4D1-4ACB-9280-DD3EDC1F6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42432A0-D1DB-4FB4-B363-455FE0500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58CBFB9-4D8E-4938-895C-64501B442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4B931791-90F1-499F-B9E9-3E2BE4950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BB28AF1C-7E42-4219-AC9E-E76248F28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D3263EC7-E2C7-415E-9F89-6CA6EAD18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75194DD-1AD6-4A39-B62D-C3A438509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F3431F67-790F-4B59-BA12-6E715734A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1D48302-86CE-48D0-8D1E-94B36E01F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E133383-6E6C-4595-883C-FB3D952D4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7.xml><?xml version="1.0" encoding="utf-8"?>
<xdr:wsDr xmlns:xdr="http://schemas.openxmlformats.org/drawingml/2006/spreadsheetDrawing" xmlns:a="http://schemas.openxmlformats.org/drawingml/2006/main">
  <xdr:oneCellAnchor>
    <xdr:from>
      <xdr:col>2</xdr:col>
      <xdr:colOff>167806</xdr:colOff>
      <xdr:row>2</xdr:row>
      <xdr:rowOff>68229</xdr:rowOff>
    </xdr:from>
    <xdr:ext cx="689119" cy="627696"/>
    <xdr:pic>
      <xdr:nvPicPr>
        <xdr:cNvPr id="2" name="Imagen 1" descr="Universidad del Atlántico Sede Regional Sur - Suan | Suan">
          <a:extLst>
            <a:ext uri="{FF2B5EF4-FFF2-40B4-BE49-F238E27FC236}">
              <a16:creationId xmlns:a16="http://schemas.microsoft.com/office/drawing/2014/main" id="{01ECFE95-EB7B-4B4D-87FE-B913DC4CC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167806</xdr:colOff>
      <xdr:row>2</xdr:row>
      <xdr:rowOff>68229</xdr:rowOff>
    </xdr:from>
    <xdr:ext cx="689119" cy="627696"/>
    <xdr:pic>
      <xdr:nvPicPr>
        <xdr:cNvPr id="3" name="Imagen 2" descr="Universidad del Atlántico Sede Regional Sur - Suan | Suan">
          <a:extLst>
            <a:ext uri="{FF2B5EF4-FFF2-40B4-BE49-F238E27FC236}">
              <a16:creationId xmlns:a16="http://schemas.microsoft.com/office/drawing/2014/main" id="{374FE7E2-3959-4D29-8D21-6B22C74EB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8.xml><?xml version="1.0" encoding="utf-8"?>
<xdr:wsDr xmlns:xdr="http://schemas.openxmlformats.org/drawingml/2006/spreadsheetDrawing" xmlns:a="http://schemas.openxmlformats.org/drawingml/2006/main">
  <xdr:oneCellAnchor>
    <xdr:from>
      <xdr:col>2</xdr:col>
      <xdr:colOff>167806</xdr:colOff>
      <xdr:row>2</xdr:row>
      <xdr:rowOff>68229</xdr:rowOff>
    </xdr:from>
    <xdr:ext cx="689119" cy="627696"/>
    <xdr:pic>
      <xdr:nvPicPr>
        <xdr:cNvPr id="2" name="Imagen 1" descr="Universidad del Atlántico Sede Regional Sur - Suan | Suan">
          <a:extLst>
            <a:ext uri="{FF2B5EF4-FFF2-40B4-BE49-F238E27FC236}">
              <a16:creationId xmlns:a16="http://schemas.microsoft.com/office/drawing/2014/main" id="{F04F51DC-82FE-466D-9D94-45C49E316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167806</xdr:colOff>
      <xdr:row>2</xdr:row>
      <xdr:rowOff>68229</xdr:rowOff>
    </xdr:from>
    <xdr:ext cx="689119" cy="627696"/>
    <xdr:pic>
      <xdr:nvPicPr>
        <xdr:cNvPr id="3" name="Imagen 2" descr="Universidad del Atlántico Sede Regional Sur - Suan | Suan">
          <a:extLst>
            <a:ext uri="{FF2B5EF4-FFF2-40B4-BE49-F238E27FC236}">
              <a16:creationId xmlns:a16="http://schemas.microsoft.com/office/drawing/2014/main" id="{50E3C1A6-5F1E-48B5-9803-8C92F2617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548ACA6A-EFF7-4591-BC1A-C2945E168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E4A9BB85-AE1A-45D1-9F26-DE918681D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53071</xdr:rowOff>
    </xdr:to>
    <xdr:pic>
      <xdr:nvPicPr>
        <xdr:cNvPr id="4" name="Imagen 3" descr="Universidad del Atlántico Sede Regional Sur - Suan | Suan">
          <a:extLst>
            <a:ext uri="{FF2B5EF4-FFF2-40B4-BE49-F238E27FC236}">
              <a16:creationId xmlns:a16="http://schemas.microsoft.com/office/drawing/2014/main" id="{3C13A6FC-565B-4C00-AE25-D247B35E8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75FAE2D4-292E-4269-8544-6FFC9EBC9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8B866A8A-0A4E-4D6F-A989-7C5F4349F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CE6162A-F349-40E1-AF3E-F7B3BAD50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9A6D591-1593-4AC7-8740-B3118C448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C767EB0-F33D-48FE-9A3A-1500504EC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9BCEAEC7-2D6B-438E-8B7A-477EFD2B3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C9CAE0EE-A4E8-4912-A5C9-F02146673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84C579D6-A9B4-4FE7-93C0-62DBD1E49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7035A991-BDB1-4378-9900-B39B200D5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E5BDB92-CE5C-41C2-938D-1DBC03B27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BCB35AF3-804B-4D9C-B6F0-931BFC28E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608023C9-8218-4A55-922B-B555FB13B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4336891-4110-4FCF-8831-D58512E13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6C55CEBE-D423-4402-AB24-E599D1C4C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1CA70119-18F5-44EB-99DA-49730B058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27318BE9-851D-48C5-8206-D7C028CD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8.xml><?xml version="1.0" encoding="utf-8"?>
<xdr:wsDr xmlns:xdr="http://schemas.openxmlformats.org/drawingml/2006/spreadsheetDrawing" xmlns:a="http://schemas.openxmlformats.org/drawingml/2006/main">
  <xdr:oneCellAnchor>
    <xdr:from>
      <xdr:col>2</xdr:col>
      <xdr:colOff>167806</xdr:colOff>
      <xdr:row>2</xdr:row>
      <xdr:rowOff>68229</xdr:rowOff>
    </xdr:from>
    <xdr:ext cx="689119" cy="627696"/>
    <xdr:pic>
      <xdr:nvPicPr>
        <xdr:cNvPr id="2" name="Imagen 1" descr="Universidad del Atlántico Sede Regional Sur - Suan | Suan">
          <a:extLst>
            <a:ext uri="{FF2B5EF4-FFF2-40B4-BE49-F238E27FC236}">
              <a16:creationId xmlns:a16="http://schemas.microsoft.com/office/drawing/2014/main" id="{6118AD38-C2C4-40FA-B7B3-71915388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167806</xdr:colOff>
      <xdr:row>2</xdr:row>
      <xdr:rowOff>68229</xdr:rowOff>
    </xdr:from>
    <xdr:ext cx="689119" cy="627696"/>
    <xdr:pic>
      <xdr:nvPicPr>
        <xdr:cNvPr id="3" name="Imagen 2" descr="Universidad del Atlántico Sede Regional Sur - Suan | Suan">
          <a:extLst>
            <a:ext uri="{FF2B5EF4-FFF2-40B4-BE49-F238E27FC236}">
              <a16:creationId xmlns:a16="http://schemas.microsoft.com/office/drawing/2014/main" id="{E0360CF3-0D6A-4A71-ADE3-833E309C5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D84E34D-31D9-45B3-B2C8-E4E238ABE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70B9F035-3974-497F-84E2-61CE4ACE1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5" name="Imagen 4" descr="Universidad del Atlántico Sede Regional Sur - Suan | Suan">
          <a:extLst>
            <a:ext uri="{FF2B5EF4-FFF2-40B4-BE49-F238E27FC236}">
              <a16:creationId xmlns:a16="http://schemas.microsoft.com/office/drawing/2014/main" id="{89B048BC-4486-4552-802D-EEE37FAF0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303B0DD2-D04A-45DA-8BDB-DCAC5A4C2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0.xml><?xml version="1.0" encoding="utf-8"?>
<xdr:wsDr xmlns:xdr="http://schemas.openxmlformats.org/drawingml/2006/spreadsheetDrawing" xmlns:a="http://schemas.openxmlformats.org/drawingml/2006/main">
  <xdr:oneCellAnchor>
    <xdr:from>
      <xdr:col>2</xdr:col>
      <xdr:colOff>167806</xdr:colOff>
      <xdr:row>2</xdr:row>
      <xdr:rowOff>68229</xdr:rowOff>
    </xdr:from>
    <xdr:ext cx="689119" cy="627696"/>
    <xdr:pic>
      <xdr:nvPicPr>
        <xdr:cNvPr id="2" name="Imagen 1" descr="Universidad del Atlántico Sede Regional Sur - Suan | Suan">
          <a:extLst>
            <a:ext uri="{FF2B5EF4-FFF2-40B4-BE49-F238E27FC236}">
              <a16:creationId xmlns:a16="http://schemas.microsoft.com/office/drawing/2014/main" id="{7A039E4D-8D67-4B1C-BDC3-EE34FED0F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167806</xdr:colOff>
      <xdr:row>2</xdr:row>
      <xdr:rowOff>68229</xdr:rowOff>
    </xdr:from>
    <xdr:ext cx="689119" cy="627696"/>
    <xdr:pic>
      <xdr:nvPicPr>
        <xdr:cNvPr id="3" name="Imagen 2" descr="Universidad del Atlántico Sede Regional Sur - Suan | Suan">
          <a:extLst>
            <a:ext uri="{FF2B5EF4-FFF2-40B4-BE49-F238E27FC236}">
              <a16:creationId xmlns:a16="http://schemas.microsoft.com/office/drawing/2014/main" id="{28848AE4-6B13-4293-8326-6AE895DA6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01.xml><?xml version="1.0" encoding="utf-8"?>
<xdr:wsDr xmlns:xdr="http://schemas.openxmlformats.org/drawingml/2006/spreadsheetDrawing" xmlns:a="http://schemas.openxmlformats.org/drawingml/2006/main">
  <xdr:oneCellAnchor>
    <xdr:from>
      <xdr:col>2</xdr:col>
      <xdr:colOff>167806</xdr:colOff>
      <xdr:row>2</xdr:row>
      <xdr:rowOff>68229</xdr:rowOff>
    </xdr:from>
    <xdr:ext cx="689119" cy="627696"/>
    <xdr:pic>
      <xdr:nvPicPr>
        <xdr:cNvPr id="2" name="Imagen 1" descr="Universidad del Atlántico Sede Regional Sur - Suan | Suan">
          <a:extLst>
            <a:ext uri="{FF2B5EF4-FFF2-40B4-BE49-F238E27FC236}">
              <a16:creationId xmlns:a16="http://schemas.microsoft.com/office/drawing/2014/main" id="{F1AA9DFB-2A88-44E5-9228-ECA79112A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167806</xdr:colOff>
      <xdr:row>2</xdr:row>
      <xdr:rowOff>68229</xdr:rowOff>
    </xdr:from>
    <xdr:ext cx="689119" cy="627696"/>
    <xdr:pic>
      <xdr:nvPicPr>
        <xdr:cNvPr id="3" name="Imagen 2" descr="Universidad del Atlántico Sede Regional Sur - Suan | Suan">
          <a:extLst>
            <a:ext uri="{FF2B5EF4-FFF2-40B4-BE49-F238E27FC236}">
              <a16:creationId xmlns:a16="http://schemas.microsoft.com/office/drawing/2014/main" id="{C4AA6AAB-28EF-4F4D-8FD8-147B9F1A9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449229"/>
          <a:ext cx="689119" cy="6276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0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1EA2D8A-5FB8-48A8-A58C-1B77CC41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D9445986-F5D8-41B7-B710-E269AA59F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E5B5652F-ABA4-4DA4-81FD-4744E08C0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D359C05D-208C-483D-85D1-42B150CD9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2DCEEB22-29CC-4063-9433-0EC1B84AC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A5BDEB8C-CDE8-4E79-9974-6DE3F61A6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390397C7-F892-40D1-A030-BF5924B11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FDE56C2-3251-4631-9F43-8F8B07E4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D9D3B9AD-9187-487D-BA0C-530FBA7BF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74AD95C7-600D-467E-A1F7-54BC8A92E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8586B414-4374-4E08-B957-20889453B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749EFCF4-C8DA-45C6-A9A8-BB0EE5B57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E355D081-B39D-41B4-AEFB-E1E7B290C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22BC3237-B237-4CBF-9111-BCD0E1ADB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A034E0CF-6B09-459A-908B-9EE2D4368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3D8C619A-894A-43B3-995F-97EABA38D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FD70ABF4-5553-4DB3-9FDE-9A0E96B4D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23B4E281-B9E1-4A41-B076-A3A6CC0F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F827473-811A-4459-B02F-F8D230F03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178B7C6B-1005-4EE1-809C-A6EA9774E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8B793E7A-1AD6-4F1C-BE23-504209359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6148FD4C-9F96-477E-8567-48D406393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5C69A599-0705-4237-960B-7B198B87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A2A3A6A0-89CE-4395-8B2F-54077BB43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175218</xdr:colOff>
      <xdr:row>2</xdr:row>
      <xdr:rowOff>45846</xdr:rowOff>
    </xdr:from>
    <xdr:to>
      <xdr:col>2</xdr:col>
      <xdr:colOff>933249</xdr:colOff>
      <xdr:row>6</xdr:row>
      <xdr:rowOff>59723</xdr:rowOff>
    </xdr:to>
    <xdr:pic>
      <xdr:nvPicPr>
        <xdr:cNvPr id="4" name="Imagen 3" descr="Universidad del Atlántico Sede Regional Sur - Suan | Suan">
          <a:extLst>
            <a:ext uri="{FF2B5EF4-FFF2-40B4-BE49-F238E27FC236}">
              <a16:creationId xmlns:a16="http://schemas.microsoft.com/office/drawing/2014/main" id="{0925B6CD-097D-4E73-84BA-666106953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3405" y="359857"/>
          <a:ext cx="758031" cy="704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5598F26A-E7BA-417F-84F2-346A4AC37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7C7110A8-9646-4D9C-9B91-4F0A00696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28321</xdr:rowOff>
    </xdr:to>
    <xdr:pic>
      <xdr:nvPicPr>
        <xdr:cNvPr id="4" name="Imagen 3" descr="Universidad del Atlántico Sede Regional Sur - Suan | Suan">
          <a:extLst>
            <a:ext uri="{FF2B5EF4-FFF2-40B4-BE49-F238E27FC236}">
              <a16:creationId xmlns:a16="http://schemas.microsoft.com/office/drawing/2014/main" id="{1888FE1D-A4A2-4DF2-9BF7-7C66D73F3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53071</xdr:rowOff>
    </xdr:to>
    <xdr:pic>
      <xdr:nvPicPr>
        <xdr:cNvPr id="4" name="Imagen 3" descr="Universidad del Atlántico Sede Regional Sur - Suan | Suan">
          <a:extLst>
            <a:ext uri="{FF2B5EF4-FFF2-40B4-BE49-F238E27FC236}">
              <a16:creationId xmlns:a16="http://schemas.microsoft.com/office/drawing/2014/main" id="{CA46BADB-F02F-44C9-9070-203930B72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2" name="Imagen 1" descr="Universidad del Atlántico Sede Regional Sur - Suan | Suan">
          <a:extLst>
            <a:ext uri="{FF2B5EF4-FFF2-40B4-BE49-F238E27FC236}">
              <a16:creationId xmlns:a16="http://schemas.microsoft.com/office/drawing/2014/main" id="{E73E8C97-1D5B-4360-B85C-5243BE376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133350</xdr:colOff>
      <xdr:row>2</xdr:row>
      <xdr:rowOff>98181</xdr:rowOff>
    </xdr:from>
    <xdr:to>
      <xdr:col>2</xdr:col>
      <xdr:colOff>891381</xdr:colOff>
      <xdr:row>6</xdr:row>
      <xdr:rowOff>112058</xdr:rowOff>
    </xdr:to>
    <xdr:pic>
      <xdr:nvPicPr>
        <xdr:cNvPr id="4" name="Imagen 3" descr="Universidad del Atlántico Sede Regional Sur - Suan | Suan">
          <a:extLst>
            <a:ext uri="{FF2B5EF4-FFF2-40B4-BE49-F238E27FC236}">
              <a16:creationId xmlns:a16="http://schemas.microsoft.com/office/drawing/2014/main" id="{9CDA8725-0DC4-4680-902A-2B5AEE229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1537" y="412192"/>
          <a:ext cx="758031" cy="704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133350</xdr:colOff>
      <xdr:row>2</xdr:row>
      <xdr:rowOff>98181</xdr:rowOff>
    </xdr:from>
    <xdr:to>
      <xdr:col>2</xdr:col>
      <xdr:colOff>891381</xdr:colOff>
      <xdr:row>7</xdr:row>
      <xdr:rowOff>35858</xdr:rowOff>
    </xdr:to>
    <xdr:pic>
      <xdr:nvPicPr>
        <xdr:cNvPr id="4" name="Imagen 3" descr="Universidad del Atlántico Sede Regional Sur - Suan | Suan">
          <a:extLst>
            <a:ext uri="{FF2B5EF4-FFF2-40B4-BE49-F238E27FC236}">
              <a16:creationId xmlns:a16="http://schemas.microsoft.com/office/drawing/2014/main" id="{0AE5BF3D-7293-4530-AB4A-62195A6CC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402981"/>
          <a:ext cx="758031" cy="699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DBC5790A-0205-4488-9A81-49E23EB38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993" y="382240"/>
          <a:ext cx="689119" cy="657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99355EC9-5623-4CCB-9463-6840E8394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43CBD4A3-828A-490D-8947-018A9405A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E5C21EC9-3596-4AD7-A4A9-217DAB69A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22FEED3-D82C-4BC1-A31A-F9A00E89F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8135E2C9-38F8-4EF5-8150-7340234E8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CC85022A-7339-4C67-A046-EBDDF075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A6F46D1-345F-433E-9409-ED70576AD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5C5BE4AE-BB9E-4B3C-BDF6-4D5FA681B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5BE77E3F-5B40-426C-A731-5B370CD03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09F4DA63-5F93-4772-89AF-865B92950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5" name="Imagen 4" descr="Universidad del Atlántico Sede Regional Sur - Suan | Suan">
          <a:extLst>
            <a:ext uri="{FF2B5EF4-FFF2-40B4-BE49-F238E27FC236}">
              <a16:creationId xmlns:a16="http://schemas.microsoft.com/office/drawing/2014/main" id="{295BDEC7-D5B8-43AD-8DA9-85FB8261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8D9C729-AB16-49E6-AEFB-BB6967FFC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C96664D1-D975-4B4A-8CC8-74EA41780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243E826-98BF-4F30-B93A-D71D39EC0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21E466A7-4574-407B-A120-6493AFBB6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992C7F1-2D19-48E7-9B9D-C2B448282D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67DDA90-1EB9-43ED-878C-D10B34903D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5E9914F-6248-4EA5-900E-0BF1FF1E9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545A9CBD-E612-4AD4-A9EE-A612067A8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856A64BC-08B0-4F1C-AB5E-81A1ACB2C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3794E204-62E0-4DC6-8699-ABE28E0E6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F665EB7-C352-478B-8B4E-05E6C9432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593D739A-3C93-47F4-87B9-7F3BE0E69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27DE0204-3945-4335-866C-17F4D2E30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F13C4A2F-2B7B-43B9-92B0-89A77439C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A56DC66F-E03C-4541-9E6C-A1AF63C19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1F9788B5-D4BC-42B5-AC88-DB702BA97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B13966D0-7D49-4B4D-8376-EE7B0FF20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B1AE398-2129-4A3E-BACF-F41B84DB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53FFD40C-0D47-49E4-B7F6-61A1DBEB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5C4C9CD-D2C6-484D-B3AC-9A4A23661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1532330D-40BD-47B5-82FD-4AB7F0C6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B80B959E-5C59-41F9-84E5-3010B812F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7F2EA044-FA6D-4A64-95BF-6E5D41948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8988FC7E-7130-4B4F-A313-B0A889B60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A3990148-3479-47ED-8F11-C82CD9DEC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934E01CC-AD47-420C-8CD3-90C647A1F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5C84114B-0AB6-40ED-B424-75F01D2F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32B540B8-AF96-408C-A514-4E116DDD9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254333F7-17C0-4EE1-AB8D-8C1C8AA6D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9208EB53-6C20-461F-92BA-D0FB8F0AD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200F101-AF4B-42E3-BDFF-F5B391E77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4E4EEA74-2505-4856-9975-9564FDB37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7DBCAF0D-C719-4CB9-8FF6-2B3C59358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4C196260-4F57-4DBF-A6EB-A9CF2F45F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956F8516-CF69-4098-8DAD-95FCCD9A9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D71AA088-FDE8-4235-A4C1-C05C3CC7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9F685D1-22EE-4C95-8097-626DA1E52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DC1B5885-7F60-4ED9-99D0-7D721B978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5FFA1C7-12C3-4BD7-B2BE-455585145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124C4076-B55E-4BBF-B92E-ABC558D09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C6C206B8-4AAE-4147-B3A6-11328C074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00E7E27F-C524-4978-BE44-7821193BB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D160119-4F6B-4BC2-B4E8-B77F278AC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8EA21149-EB13-443E-AD28-DAF6746CF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C7ACBD1-F69B-41A0-92F9-1C640F21B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D8AE95B7-BFF5-409F-933C-928A7E44C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E3E7D987-0092-461A-B17F-CF5257A30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A083A600-DB35-400F-85E1-DFCC61C72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00AFA7C-8D12-4B65-9F7E-02EBB194A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7F5B092-0BEA-4050-B6F8-73B484D1B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E01C2F1C-E699-473D-9D1D-BC01ED0A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A76B4FB8-BEB3-4F94-ADF7-4679AA7E0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9EFC3794-0793-4695-9CF0-E1C723ADF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16F5B4C2-B7DC-4D8A-87ED-48772ACDD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51818923-5FAC-4DB3-9DEF-573C1AD8E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88FDCD32-4A05-42E0-910B-C189443EF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235EE68A-EF0A-4986-8D7F-72579073F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9C247582-A754-48B9-8C17-A2E353CA0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B503316A-20D8-4FCB-921F-8BA42BEF1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62E33C6-12F2-44E0-8B37-6AF3A1C26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696C155F-9B80-4A8B-A8FE-A299AB988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CDC13200-0E33-4B95-A708-F417E8F2A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6ACF1FA5-819F-4869-BC88-867FCE86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2" name="Imagen 1" descr="Universidad del Atlántico Sede Regional Sur - Suan | Suan">
          <a:extLst>
            <a:ext uri="{FF2B5EF4-FFF2-40B4-BE49-F238E27FC236}">
              <a16:creationId xmlns:a16="http://schemas.microsoft.com/office/drawing/2014/main" id="{E913E828-3A21-4497-8518-CBDDD3B5B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3" name="Imagen 2" descr="Universidad del Atlántico Sede Regional Sur - Suan | Suan">
          <a:extLst>
            <a:ext uri="{FF2B5EF4-FFF2-40B4-BE49-F238E27FC236}">
              <a16:creationId xmlns:a16="http://schemas.microsoft.com/office/drawing/2014/main" id="{0A0F4F9E-C246-4F29-A9C3-2D2A61081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CC8E9F2-8F1B-42CA-B4C9-CAC16E4C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83818658-8A28-4416-B618-2A6743EDA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A8B4AC93-4144-4B2B-8163-2503CE86D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4B2C394-57D2-4051-A88A-90121FF48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BCECCFB1-06E7-44ED-BE0B-FF5130567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3145CCC6-C1F8-421B-B5EE-EC2057FA5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7BB6A15D-52F3-48A1-A968-79577968E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069FF87-ECEA-497E-A524-60F17D234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313D3D27-2DBB-476F-A875-37C6082D6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9BF4377-1242-4F4E-8C3E-799303E99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37023FC-C4DF-4EF0-B00A-09C7FE76A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380D297B-1FA0-419A-9CAB-CB43CFECD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4D08AC48-054D-45BC-AC8F-1D884ACCC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D13C8CB4-9AFB-4AA6-A4FA-AB55DFB1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955BABD-1A8A-4927-8798-11CD701F2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BB2CAF1-2BF5-47B5-B3AC-9B6EA7069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27CB3E8-84E6-495E-9584-13CB5A078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FD9F616-F334-4F97-A162-2E219F219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3" name="Imagen 2" descr="Universidad del Atlántico Sede Regional Sur - Suan | Suan">
          <a:extLst>
            <a:ext uri="{FF2B5EF4-FFF2-40B4-BE49-F238E27FC236}">
              <a16:creationId xmlns:a16="http://schemas.microsoft.com/office/drawing/2014/main" id="{FD800F7E-A432-405F-8967-0439CA4CE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EDBA4C14-9CAA-4743-B2E5-D6F31A012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FE9F7115-7796-44FC-BFD7-9069C4588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0DFCF7B7-5F75-4E66-BF4B-429C58DCA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3023634-A0FA-412A-A003-C39007A98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6E270403-89FC-4AEE-82AA-8D8C1B6D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FF20283C-9111-40D9-9AAC-9D4AB495E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B7EC5969-8DBF-453D-9F58-DD6271B0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DD37A829-EEDE-4122-BB65-1B8586E0F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1E741863-E4CB-4E3B-AD0F-3E92F8CEB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36771394-C1E3-41CD-8394-019CC9ED8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6387E3EF-A54B-45A6-9E97-549954890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15EFF8F3-5C42-46A4-9FB4-E53F6A745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26D2F9EA-4B34-4A23-8BF9-B9FBA4ADB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046616E5-FDB3-4615-927A-3AC08E2BC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D406EFC-0910-47D1-B983-797ED741E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D17999AB-655C-4DE8-A742-0FE3320B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11681938-97F5-4DD6-BE09-556D5BC1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2B679B6F-EC91-42DD-A2E6-F25A5B8FE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6255E074-C5C4-421A-84F6-C1E500E27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5F55C24F-5405-4A01-B2E1-64E438DD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133350</xdr:colOff>
      <xdr:row>2</xdr:row>
      <xdr:rowOff>171450</xdr:rowOff>
    </xdr:from>
    <xdr:to>
      <xdr:col>2</xdr:col>
      <xdr:colOff>891381</xdr:colOff>
      <xdr:row>7</xdr:row>
      <xdr:rowOff>46324</xdr:rowOff>
    </xdr:to>
    <xdr:pic>
      <xdr:nvPicPr>
        <xdr:cNvPr id="4" name="Imagen 3" descr="Universidad del Atlántico Sede Regional Sur - Suan | Suan">
          <a:extLst>
            <a:ext uri="{FF2B5EF4-FFF2-40B4-BE49-F238E27FC236}">
              <a16:creationId xmlns:a16="http://schemas.microsoft.com/office/drawing/2014/main" id="{DE378107-0907-45C4-AB66-008403AED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552450"/>
          <a:ext cx="758031" cy="71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CC24F53-0482-4637-BAC6-F40F14392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F7F85CAA-473A-4360-AC9F-6E0E9D855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AF745EBA-9CD3-456B-9FC5-45A392E40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E41793C-29D4-4E27-A869-D14F5F42C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84346B9A-DA46-40C0-850B-60D08586D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3B93189-05DF-4F75-AA4F-87B393A0A6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9100904-91A6-42C8-90EF-4B75B10C96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494A974-6FA8-4760-8EAB-AB2A1682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F46CFEB5-A16F-4A40-A4C3-8707D3256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E997DD1A-2307-4DD8-A29E-E123E80FA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9639F7D6-A723-49E8-A9DE-3C75ABADB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F60F915D-12D5-4483-AC80-1E751EB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871E8B3C-D4CE-4FD0-BD84-95716AB09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6F24BFF3-0F0B-456B-BE43-A9F18DA66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B48E86E1-B380-4786-BEE7-139A5CA4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0CC5F6C1-46C4-4097-B828-F9C5A4B9E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C010C03D-E3CB-444B-9425-EE5861EEC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B4CB54D1-B1BA-415B-B327-E2ADE3D1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2</xdr:col>
      <xdr:colOff>167806</xdr:colOff>
      <xdr:row>2</xdr:row>
      <xdr:rowOff>68229</xdr:rowOff>
    </xdr:from>
    <xdr:to>
      <xdr:col>2</xdr:col>
      <xdr:colOff>856925</xdr:colOff>
      <xdr:row>6</xdr:row>
      <xdr:rowOff>97211</xdr:rowOff>
    </xdr:to>
    <xdr:pic>
      <xdr:nvPicPr>
        <xdr:cNvPr id="4" name="Imagen 3" descr="Universidad del Atlántico Sede Regional Sur - Suan | Suan">
          <a:extLst>
            <a:ext uri="{FF2B5EF4-FFF2-40B4-BE49-F238E27FC236}">
              <a16:creationId xmlns:a16="http://schemas.microsoft.com/office/drawing/2014/main" id="{7FA0B4F9-0644-4C63-AAD8-F64BFF49E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167806</xdr:colOff>
      <xdr:row>2</xdr:row>
      <xdr:rowOff>68229</xdr:rowOff>
    </xdr:from>
    <xdr:to>
      <xdr:col>2</xdr:col>
      <xdr:colOff>856925</xdr:colOff>
      <xdr:row>6</xdr:row>
      <xdr:rowOff>97211</xdr:rowOff>
    </xdr:to>
    <xdr:pic>
      <xdr:nvPicPr>
        <xdr:cNvPr id="5" name="Imagen 4" descr="Universidad del Atlántico Sede Regional Sur - Suan | Suan">
          <a:extLst>
            <a:ext uri="{FF2B5EF4-FFF2-40B4-BE49-F238E27FC236}">
              <a16:creationId xmlns:a16="http://schemas.microsoft.com/office/drawing/2014/main" id="{22C0BB85-A9EB-4923-BA64-F3B896083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806" y="373029"/>
          <a:ext cx="689119" cy="638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C6377E-F2D7-4162-B51D-F55F34CB6EC6}" name="Tabla2" displayName="Tabla2" ref="C6:F87" totalsRowShown="0" headerRowDxfId="18" dataDxfId="16" headerRowBorderDxfId="17" tableBorderDxfId="15" totalsRowBorderDxfId="14">
  <autoFilter ref="C6:F87" xr:uid="{82C6377E-F2D7-4162-B51D-F55F34CB6EC6}"/>
  <tableColumns count="4">
    <tableColumn id="1" xr3:uid="{67C476BA-5985-4B5D-87B2-994B69B507E4}" name="CODIGO" dataDxfId="13"/>
    <tableColumn id="2" xr3:uid="{53D00F7B-A5D6-485E-83D2-F5DDFB10572E}" name="DESCRIPCION " dataDxfId="12"/>
    <tableColumn id="3" xr3:uid="{B787DFB9-3AC5-4D29-916D-D67DD6E1663B}" name="UNIDAD" dataDxfId="11"/>
    <tableColumn id="4" xr3:uid="{129B24F3-C176-4CC5-BD69-F35C3D736CB2}" name="PRECIO" dataDxfId="10" dataCellStyle="Moneda 3"/>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3CC5ED-6B6D-468B-AC02-7ACFFD9EF8D0}" name="Tabla4" displayName="Tabla4" ref="C6:G616" totalsRowShown="0" headerRowDxfId="8" dataDxfId="6" headerRowBorderDxfId="7" tableBorderDxfId="5">
  <autoFilter ref="C6:G616" xr:uid="{793CC5ED-6B6D-468B-AC02-7ACFFD9EF8D0}"/>
  <tableColumns count="5">
    <tableColumn id="1" xr3:uid="{092FC671-3BBE-49B5-A127-DA3FFA193FA9}" name="CODIGO" dataDxfId="4"/>
    <tableColumn id="2" xr3:uid="{5C8AE403-AF11-411F-8EA4-5087568AB0FA}" name="INSUMO" dataDxfId="3"/>
    <tableColumn id="3" xr3:uid="{AF68C38E-30AA-423C-802C-1C78BE4A5209}" name="UNIDAD" dataDxfId="2"/>
    <tableColumn id="4" xr3:uid="{EAD33812-56CF-4DE0-A437-4071CCB0205C}" name="PRECIO" dataDxfId="1" dataCellStyle="Moneda 3"/>
    <tableColumn id="5" xr3:uid="{4ACC551B-2BFE-4445-AE6D-B1AF76F62825}" name="PROVEEDOR " dataDxfId="0"/>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72.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83.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84.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0.xml.rels><?xml version="1.0" encoding="UTF-8" standalone="yes"?>
<Relationships xmlns="http://schemas.openxmlformats.org/package/2006/relationships"><Relationship Id="rId1" Type="http://schemas.openxmlformats.org/officeDocument/2006/relationships/drawing" Target="../drawings/drawing187.xml"/></Relationships>
</file>

<file path=xl/worksheets/_rels/sheet191.xml.rels><?xml version="1.0" encoding="UTF-8" standalone="yes"?>
<Relationships xmlns="http://schemas.openxmlformats.org/package/2006/relationships"><Relationship Id="rId1" Type="http://schemas.openxmlformats.org/officeDocument/2006/relationships/drawing" Target="../drawings/drawing188.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89.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90.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91.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92.xml"/></Relationships>
</file>

<file path=xl/worksheets/_rels/sheet196.xml.rels><?xml version="1.0" encoding="UTF-8" standalone="yes"?>
<Relationships xmlns="http://schemas.openxmlformats.org/package/2006/relationships"><Relationship Id="rId1" Type="http://schemas.openxmlformats.org/officeDocument/2006/relationships/drawing" Target="../drawings/drawing193.xml"/></Relationships>
</file>

<file path=xl/worksheets/_rels/sheet197.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195.xml"/></Relationships>
</file>

<file path=xl/worksheets/_rels/sheet199.xml.rels><?xml version="1.0" encoding="UTF-8" standalone="yes"?>
<Relationships xmlns="http://schemas.openxmlformats.org/package/2006/relationships"><Relationship Id="rId1" Type="http://schemas.openxmlformats.org/officeDocument/2006/relationships/drawing" Target="../drawings/drawing19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0.xml.rels><?xml version="1.0" encoding="UTF-8" standalone="yes"?>
<Relationships xmlns="http://schemas.openxmlformats.org/package/2006/relationships"><Relationship Id="rId1" Type="http://schemas.openxmlformats.org/officeDocument/2006/relationships/drawing" Target="../drawings/drawing197.xml"/></Relationships>
</file>

<file path=xl/worksheets/_rels/sheet201.xml.rels><?xml version="1.0" encoding="UTF-8" standalone="yes"?>
<Relationships xmlns="http://schemas.openxmlformats.org/package/2006/relationships"><Relationship Id="rId1" Type="http://schemas.openxmlformats.org/officeDocument/2006/relationships/drawing" Target="../drawings/drawing198.xml"/></Relationships>
</file>

<file path=xl/worksheets/_rels/sheet202.xml.rels><?xml version="1.0" encoding="UTF-8" standalone="yes"?>
<Relationships xmlns="http://schemas.openxmlformats.org/package/2006/relationships"><Relationship Id="rId1" Type="http://schemas.openxmlformats.org/officeDocument/2006/relationships/drawing" Target="../drawings/drawing199.xml"/></Relationships>
</file>

<file path=xl/worksheets/_rels/sheet203.xml.rels><?xml version="1.0" encoding="UTF-8" standalone="yes"?>
<Relationships xmlns="http://schemas.openxmlformats.org/package/2006/relationships"><Relationship Id="rId1" Type="http://schemas.openxmlformats.org/officeDocument/2006/relationships/drawing" Target="../drawings/drawing200.xml"/></Relationships>
</file>

<file path=xl/worksheets/_rels/sheet204.xml.rels><?xml version="1.0" encoding="UTF-8" standalone="yes"?>
<Relationships xmlns="http://schemas.openxmlformats.org/package/2006/relationships"><Relationship Id="rId1" Type="http://schemas.openxmlformats.org/officeDocument/2006/relationships/drawing" Target="../drawings/drawing201.xml"/></Relationships>
</file>

<file path=xl/worksheets/_rels/sheet205.xml.rels><?xml version="1.0" encoding="UTF-8" standalone="yes"?>
<Relationships xmlns="http://schemas.openxmlformats.org/package/2006/relationships"><Relationship Id="rId1" Type="http://schemas.openxmlformats.org/officeDocument/2006/relationships/drawing" Target="../drawings/drawing202.xml"/></Relationships>
</file>

<file path=xl/worksheets/_rels/sheet206.xml.rels><?xml version="1.0" encoding="UTF-8" standalone="yes"?>
<Relationships xmlns="http://schemas.openxmlformats.org/package/2006/relationships"><Relationship Id="rId1" Type="http://schemas.openxmlformats.org/officeDocument/2006/relationships/drawing" Target="../drawings/drawing203.xml"/></Relationships>
</file>

<file path=xl/worksheets/_rels/sheet207.xml.rels><?xml version="1.0" encoding="UTF-8" standalone="yes"?>
<Relationships xmlns="http://schemas.openxmlformats.org/package/2006/relationships"><Relationship Id="rId1" Type="http://schemas.openxmlformats.org/officeDocument/2006/relationships/drawing" Target="../drawings/drawing204.xml"/></Relationships>
</file>

<file path=xl/worksheets/_rels/sheet208.xml.rels><?xml version="1.0" encoding="UTF-8" standalone="yes"?>
<Relationships xmlns="http://schemas.openxmlformats.org/package/2006/relationships"><Relationship Id="rId1" Type="http://schemas.openxmlformats.org/officeDocument/2006/relationships/drawing" Target="../drawings/drawing205.xml"/></Relationships>
</file>

<file path=xl/worksheets/_rels/sheet209.xml.rels><?xml version="1.0" encoding="UTF-8" standalone="yes"?>
<Relationships xmlns="http://schemas.openxmlformats.org/package/2006/relationships"><Relationship Id="rId1" Type="http://schemas.openxmlformats.org/officeDocument/2006/relationships/drawing" Target="../drawings/drawing20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0.xml.rels><?xml version="1.0" encoding="UTF-8" standalone="yes"?>
<Relationships xmlns="http://schemas.openxmlformats.org/package/2006/relationships"><Relationship Id="rId1" Type="http://schemas.openxmlformats.org/officeDocument/2006/relationships/drawing" Target="../drawings/drawing207.xml"/></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2.xml.rels><?xml version="1.0" encoding="UTF-8" standalone="yes"?>
<Relationships xmlns="http://schemas.openxmlformats.org/package/2006/relationships"><Relationship Id="rId1" Type="http://schemas.openxmlformats.org/officeDocument/2006/relationships/drawing" Target="../drawings/drawing208.xml"/></Relationships>
</file>

<file path=xl/worksheets/_rels/sheet213.xml.rels><?xml version="1.0" encoding="UTF-8" standalone="yes"?>
<Relationships xmlns="http://schemas.openxmlformats.org/package/2006/relationships"><Relationship Id="rId1" Type="http://schemas.openxmlformats.org/officeDocument/2006/relationships/drawing" Target="../drawings/drawing209.xml"/></Relationships>
</file>

<file path=xl/worksheets/_rels/sheet214.xml.rels><?xml version="1.0" encoding="UTF-8" standalone="yes"?>
<Relationships xmlns="http://schemas.openxmlformats.org/package/2006/relationships"><Relationship Id="rId1" Type="http://schemas.openxmlformats.org/officeDocument/2006/relationships/drawing" Target="../drawings/drawing210.xml"/></Relationships>
</file>

<file path=xl/worksheets/_rels/sheet215.xml.rels><?xml version="1.0" encoding="UTF-8" standalone="yes"?>
<Relationships xmlns="http://schemas.openxmlformats.org/package/2006/relationships"><Relationship Id="rId1" Type="http://schemas.openxmlformats.org/officeDocument/2006/relationships/drawing" Target="../drawings/drawing21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6.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80B7-AAC6-4A71-8E4B-D7CECFE668DC}">
  <sheetPr codeName="Hoja4"/>
  <dimension ref="B3:P46"/>
  <sheetViews>
    <sheetView zoomScaleNormal="100" workbookViewId="0">
      <selection sqref="A1:I49"/>
    </sheetView>
  </sheetViews>
  <sheetFormatPr baseColWidth="10" defaultColWidth="11.3984375" defaultRowHeight="11.4"/>
  <cols>
    <col min="1" max="2" width="11.3984375" style="11"/>
    <col min="3" max="3" width="36.69921875" style="11" bestFit="1" customWidth="1"/>
    <col min="4" max="4" width="19.3984375" style="11" bestFit="1" customWidth="1"/>
    <col min="5" max="5" width="11.3984375" style="11" bestFit="1" customWidth="1"/>
    <col min="6" max="6" width="15.69921875" style="11" bestFit="1" customWidth="1"/>
    <col min="7" max="7" width="23.296875" style="11" bestFit="1" customWidth="1"/>
    <col min="8" max="8" width="22.8984375" style="11" bestFit="1" customWidth="1"/>
    <col min="9" max="9" width="12.8984375" style="11" bestFit="1" customWidth="1"/>
    <col min="10" max="10" width="14.09765625" style="43" bestFit="1" customWidth="1"/>
    <col min="11" max="14" width="14.09765625" style="43" customWidth="1"/>
    <col min="15" max="15" width="13.09765625" style="12" bestFit="1" customWidth="1"/>
    <col min="16" max="16" width="18.8984375" style="11" customWidth="1"/>
    <col min="17" max="16384" width="11.3984375" style="11"/>
  </cols>
  <sheetData>
    <row r="3" spans="3:15" ht="12.75" thickBot="1"/>
    <row r="4" spans="3:15" ht="51.75" customHeight="1" thickBot="1">
      <c r="C4" s="251" t="s">
        <v>209</v>
      </c>
      <c r="D4" s="252"/>
      <c r="E4" s="252"/>
      <c r="F4" s="252"/>
      <c r="G4" s="252"/>
      <c r="H4" s="252"/>
      <c r="I4" s="252"/>
    </row>
    <row r="5" spans="3:15" ht="12.75" thickBot="1"/>
    <row r="6" spans="3:15" ht="12.75" thickBot="1">
      <c r="D6" s="45" t="s">
        <v>210</v>
      </c>
      <c r="E6" s="46">
        <v>1750905</v>
      </c>
      <c r="F6" s="47"/>
      <c r="G6" s="47"/>
      <c r="H6" s="47"/>
    </row>
    <row r="7" spans="3:15" ht="12.75" thickBot="1">
      <c r="D7" s="48" t="s">
        <v>211</v>
      </c>
      <c r="E7" s="49">
        <v>249095</v>
      </c>
      <c r="F7" s="47"/>
      <c r="G7" s="47"/>
      <c r="H7" s="47"/>
    </row>
    <row r="8" spans="3:15" ht="12.75" thickBot="1">
      <c r="D8" s="48" t="s">
        <v>1232</v>
      </c>
      <c r="E8" s="50">
        <v>1.65</v>
      </c>
      <c r="F8" s="51"/>
      <c r="G8" s="51"/>
      <c r="H8" s="51"/>
    </row>
    <row r="9" spans="3:15" ht="12">
      <c r="E9" s="47"/>
      <c r="F9" s="47"/>
      <c r="G9" s="47"/>
      <c r="H9" s="47"/>
    </row>
    <row r="10" spans="3:15" ht="12.75" thickBot="1"/>
    <row r="11" spans="3:15" ht="24.6" thickBot="1">
      <c r="C11" s="37" t="s">
        <v>200</v>
      </c>
      <c r="D11" s="254" t="s">
        <v>84</v>
      </c>
      <c r="E11" s="255"/>
      <c r="F11" s="38" t="s">
        <v>1260</v>
      </c>
      <c r="G11" s="39" t="s">
        <v>1233</v>
      </c>
      <c r="H11" s="38" t="s">
        <v>1262</v>
      </c>
      <c r="I11" s="38" t="s">
        <v>1261</v>
      </c>
      <c r="L11" s="12"/>
      <c r="M11" s="11"/>
      <c r="N11" s="11"/>
      <c r="O11" s="11"/>
    </row>
    <row r="12" spans="3:15">
      <c r="C12" s="16" t="s">
        <v>80</v>
      </c>
      <c r="D12" s="256" t="s">
        <v>201</v>
      </c>
      <c r="E12" s="256"/>
      <c r="F12" s="43">
        <f>+E6+E7</f>
        <v>2000000</v>
      </c>
      <c r="G12" s="40">
        <f>+F12/30</f>
        <v>66666.666666666672</v>
      </c>
      <c r="H12" s="41">
        <f>+G12*$E$8</f>
        <v>110000</v>
      </c>
      <c r="I12" s="44">
        <f>+H12/8</f>
        <v>13750</v>
      </c>
      <c r="N12" s="12" t="e">
        <f>+#REF!*30</f>
        <v>#REF!</v>
      </c>
      <c r="O12" s="11"/>
    </row>
    <row r="13" spans="3:15">
      <c r="C13" s="17" t="s">
        <v>82</v>
      </c>
      <c r="D13" s="253" t="s">
        <v>202</v>
      </c>
      <c r="E13" s="253"/>
      <c r="F13" s="23">
        <v>3300000</v>
      </c>
      <c r="G13" s="42">
        <f>+F13/30</f>
        <v>110000</v>
      </c>
      <c r="H13" s="41">
        <f t="shared" ref="H13:H16" si="0">+G13*$E$8</f>
        <v>181500</v>
      </c>
      <c r="I13" s="44">
        <f>+H13/8</f>
        <v>22687.5</v>
      </c>
      <c r="N13" s="12" t="e">
        <f>+#REF!*30</f>
        <v>#REF!</v>
      </c>
      <c r="O13" s="11"/>
    </row>
    <row r="14" spans="3:15">
      <c r="C14" s="17" t="s">
        <v>203</v>
      </c>
      <c r="D14" s="253" t="s">
        <v>204</v>
      </c>
      <c r="E14" s="253"/>
      <c r="F14" s="23">
        <v>4000000</v>
      </c>
      <c r="G14" s="42">
        <f>+F14/30</f>
        <v>133333.33333333334</v>
      </c>
      <c r="H14" s="41">
        <f t="shared" si="0"/>
        <v>220000</v>
      </c>
      <c r="I14" s="44">
        <f>+H14/8</f>
        <v>27500</v>
      </c>
      <c r="N14" s="12" t="e">
        <f>+#REF!*30</f>
        <v>#REF!</v>
      </c>
      <c r="O14" s="11"/>
    </row>
    <row r="15" spans="3:15">
      <c r="C15" s="17" t="s">
        <v>205</v>
      </c>
      <c r="D15" s="253" t="s">
        <v>206</v>
      </c>
      <c r="E15" s="253"/>
      <c r="F15" s="23">
        <v>5000000</v>
      </c>
      <c r="G15" s="40">
        <f>+F15/30</f>
        <v>166666.66666666666</v>
      </c>
      <c r="H15" s="41">
        <f t="shared" si="0"/>
        <v>274999.99999999994</v>
      </c>
      <c r="I15" s="44">
        <f>+H15/8</f>
        <v>34374.999999999993</v>
      </c>
      <c r="N15" s="12" t="e">
        <f>+#REF!*30</f>
        <v>#REF!</v>
      </c>
      <c r="O15" s="11"/>
    </row>
    <row r="16" spans="3:15">
      <c r="C16" s="17" t="s">
        <v>207</v>
      </c>
      <c r="D16" s="253" t="s">
        <v>208</v>
      </c>
      <c r="E16" s="253"/>
      <c r="F16" s="23">
        <v>2500000</v>
      </c>
      <c r="G16" s="42">
        <f>+F16/30</f>
        <v>83333.333333333328</v>
      </c>
      <c r="H16" s="41">
        <f t="shared" si="0"/>
        <v>137499.99999999997</v>
      </c>
      <c r="I16" s="44">
        <f t="shared" ref="I16" si="1">+H16/8</f>
        <v>17187.499999999996</v>
      </c>
      <c r="N16" s="12" t="e">
        <f>+#REF!*30</f>
        <v>#REF!</v>
      </c>
      <c r="O16" s="11"/>
    </row>
    <row r="17" spans="2:16" ht="12">
      <c r="F17" s="52"/>
      <c r="G17" s="53"/>
      <c r="H17" s="52"/>
    </row>
    <row r="18" spans="2:16" ht="12">
      <c r="F18" s="52"/>
      <c r="G18" s="53"/>
      <c r="H18" s="52"/>
    </row>
    <row r="19" spans="2:16" ht="12">
      <c r="F19" s="52"/>
      <c r="G19" s="53"/>
      <c r="H19" s="52"/>
    </row>
    <row r="20" spans="2:16" ht="12">
      <c r="F20" s="52"/>
      <c r="G20" s="53"/>
      <c r="H20" s="52"/>
    </row>
    <row r="22" spans="2:16" ht="12.75" thickBot="1"/>
    <row r="23" spans="2:16" ht="12">
      <c r="B23" s="54" t="s">
        <v>200</v>
      </c>
      <c r="C23" s="55" t="s">
        <v>84</v>
      </c>
      <c r="D23" s="56" t="s">
        <v>77</v>
      </c>
      <c r="E23" s="56" t="s">
        <v>1</v>
      </c>
      <c r="F23" s="56"/>
      <c r="G23" s="56" t="s">
        <v>1234</v>
      </c>
    </row>
    <row r="24" spans="2:16" ht="12">
      <c r="B24" s="17" t="s">
        <v>45</v>
      </c>
      <c r="C24" s="57" t="s">
        <v>1235</v>
      </c>
      <c r="D24" s="57">
        <f>+I14</f>
        <v>27500</v>
      </c>
      <c r="E24" s="57" t="s">
        <v>1236</v>
      </c>
      <c r="F24" s="57">
        <v>1</v>
      </c>
      <c r="G24" s="57">
        <f t="shared" ref="G24:G46" si="2">D24*F24</f>
        <v>27500</v>
      </c>
    </row>
    <row r="25" spans="2:16" ht="12">
      <c r="B25" s="17" t="s">
        <v>351</v>
      </c>
      <c r="C25" s="57" t="s">
        <v>1237</v>
      </c>
      <c r="D25" s="57">
        <f>I15</f>
        <v>34374.999999999993</v>
      </c>
      <c r="E25" s="57" t="s">
        <v>1236</v>
      </c>
      <c r="F25" s="57">
        <v>1</v>
      </c>
      <c r="G25" s="57">
        <f t="shared" si="2"/>
        <v>34374.999999999993</v>
      </c>
    </row>
    <row r="26" spans="2:16" ht="12">
      <c r="B26" s="17" t="s">
        <v>353</v>
      </c>
      <c r="C26" s="57" t="s">
        <v>1238</v>
      </c>
      <c r="D26" s="57">
        <f>+I13+8000</f>
        <v>30687.5</v>
      </c>
      <c r="E26" s="57" t="s">
        <v>1236</v>
      </c>
      <c r="F26" s="57">
        <v>1</v>
      </c>
      <c r="G26" s="57">
        <f>D26*F26</f>
        <v>30687.5</v>
      </c>
    </row>
    <row r="27" spans="2:16" ht="12">
      <c r="B27" s="17" t="s">
        <v>183</v>
      </c>
      <c r="C27" s="57" t="s">
        <v>1239</v>
      </c>
      <c r="D27" s="57">
        <f>+I12+4000</f>
        <v>17750</v>
      </c>
      <c r="E27" s="57" t="s">
        <v>1236</v>
      </c>
      <c r="F27" s="57">
        <v>1</v>
      </c>
      <c r="G27" s="57">
        <f t="shared" si="2"/>
        <v>17750</v>
      </c>
      <c r="P27" s="43"/>
    </row>
    <row r="28" spans="2:16" ht="24">
      <c r="B28" s="17" t="s">
        <v>356</v>
      </c>
      <c r="C28" s="57" t="s">
        <v>1240</v>
      </c>
      <c r="D28" s="57">
        <f>D26+D27*1</f>
        <v>48437.5</v>
      </c>
      <c r="E28" s="57" t="s">
        <v>1236</v>
      </c>
      <c r="F28" s="57">
        <v>1</v>
      </c>
      <c r="G28" s="57">
        <f t="shared" si="2"/>
        <v>48437.5</v>
      </c>
    </row>
    <row r="29" spans="2:16" ht="24">
      <c r="B29" s="17" t="s">
        <v>359</v>
      </c>
      <c r="C29" s="57" t="s">
        <v>1241</v>
      </c>
      <c r="D29" s="57">
        <f>D26+D27*2</f>
        <v>66187.5</v>
      </c>
      <c r="E29" s="57" t="s">
        <v>1236</v>
      </c>
      <c r="F29" s="57">
        <v>1</v>
      </c>
      <c r="G29" s="57">
        <f t="shared" si="2"/>
        <v>66187.5</v>
      </c>
    </row>
    <row r="30" spans="2:16">
      <c r="B30" s="17" t="s">
        <v>361</v>
      </c>
      <c r="C30" s="58" t="s">
        <v>1242</v>
      </c>
      <c r="D30" s="57">
        <f>D26+D27*3</f>
        <v>83937.5</v>
      </c>
      <c r="E30" s="57" t="s">
        <v>1236</v>
      </c>
      <c r="F30" s="57">
        <v>1</v>
      </c>
      <c r="G30" s="57">
        <f t="shared" si="2"/>
        <v>83937.5</v>
      </c>
    </row>
    <row r="31" spans="2:16">
      <c r="B31" s="17" t="s">
        <v>363</v>
      </c>
      <c r="C31" s="57" t="s">
        <v>1243</v>
      </c>
      <c r="D31" s="57">
        <f>D26+(D27*4)</f>
        <v>101687.5</v>
      </c>
      <c r="E31" s="57" t="s">
        <v>1236</v>
      </c>
      <c r="F31" s="57">
        <v>1</v>
      </c>
      <c r="G31" s="57">
        <f t="shared" si="2"/>
        <v>101687.5</v>
      </c>
    </row>
    <row r="32" spans="2:16">
      <c r="B32" s="17" t="s">
        <v>365</v>
      </c>
      <c r="C32" s="57" t="s">
        <v>1244</v>
      </c>
      <c r="D32" s="57">
        <f>D26+D27*5</f>
        <v>119437.5</v>
      </c>
      <c r="E32" s="57" t="s">
        <v>1236</v>
      </c>
      <c r="F32" s="57">
        <v>1</v>
      </c>
      <c r="G32" s="57">
        <f>D32*F32</f>
        <v>119437.5</v>
      </c>
    </row>
    <row r="33" spans="2:15">
      <c r="B33" s="17" t="s">
        <v>140</v>
      </c>
      <c r="C33" s="57" t="s">
        <v>1245</v>
      </c>
      <c r="D33" s="57">
        <f>D26+D27*6</f>
        <v>137187.5</v>
      </c>
      <c r="E33" s="57" t="s">
        <v>1236</v>
      </c>
      <c r="F33" s="57">
        <v>1</v>
      </c>
      <c r="G33" s="57">
        <f t="shared" si="2"/>
        <v>137187.5</v>
      </c>
    </row>
    <row r="34" spans="2:15">
      <c r="B34" s="17" t="s">
        <v>177</v>
      </c>
      <c r="C34" s="57" t="s">
        <v>1246</v>
      </c>
      <c r="D34" s="57">
        <f>+D27+D26</f>
        <v>48437.5</v>
      </c>
      <c r="E34" s="57" t="s">
        <v>1236</v>
      </c>
      <c r="F34" s="57">
        <v>1</v>
      </c>
      <c r="G34" s="57">
        <f t="shared" si="2"/>
        <v>48437.5</v>
      </c>
    </row>
    <row r="35" spans="2:15">
      <c r="B35" s="17" t="s">
        <v>369</v>
      </c>
      <c r="C35" s="57" t="s">
        <v>1247</v>
      </c>
      <c r="D35" s="57">
        <f>D26*1.1+D27*1.1</f>
        <v>53281.25</v>
      </c>
      <c r="E35" s="57" t="s">
        <v>1236</v>
      </c>
      <c r="F35" s="57">
        <v>1</v>
      </c>
      <c r="G35" s="57">
        <f>D35*F35</f>
        <v>53281.25</v>
      </c>
    </row>
    <row r="36" spans="2:15">
      <c r="B36" s="17" t="s">
        <v>371</v>
      </c>
      <c r="C36" s="57" t="s">
        <v>1248</v>
      </c>
      <c r="D36" s="57">
        <f>D26*1.15+D27*1.15</f>
        <v>55703.125</v>
      </c>
      <c r="E36" s="57" t="s">
        <v>1236</v>
      </c>
      <c r="F36" s="57">
        <v>1</v>
      </c>
      <c r="G36" s="57">
        <f>D36*F36</f>
        <v>55703.125</v>
      </c>
    </row>
    <row r="37" spans="2:15">
      <c r="B37" s="17" t="s">
        <v>171</v>
      </c>
      <c r="C37" s="57" t="s">
        <v>1249</v>
      </c>
      <c r="D37" s="57">
        <f>D26*1.05+D27*1.05</f>
        <v>50859.375</v>
      </c>
      <c r="E37" s="57" t="s">
        <v>1236</v>
      </c>
      <c r="F37" s="57">
        <v>1</v>
      </c>
      <c r="G37" s="57">
        <f>D37*F37</f>
        <v>50859.375</v>
      </c>
    </row>
    <row r="38" spans="2:15">
      <c r="B38" s="17" t="s">
        <v>374</v>
      </c>
      <c r="C38" s="57" t="s">
        <v>1250</v>
      </c>
      <c r="D38" s="57">
        <f>+D26+2*D27</f>
        <v>66187.5</v>
      </c>
      <c r="E38" s="57" t="s">
        <v>1236</v>
      </c>
      <c r="F38" s="57">
        <v>1</v>
      </c>
      <c r="G38" s="57">
        <f>D38*F38</f>
        <v>66187.5</v>
      </c>
    </row>
    <row r="39" spans="2:15">
      <c r="B39" s="17" t="s">
        <v>376</v>
      </c>
      <c r="C39" s="57" t="s">
        <v>1251</v>
      </c>
      <c r="D39" s="57">
        <f>D26+D27</f>
        <v>48437.5</v>
      </c>
      <c r="E39" s="57" t="s">
        <v>1236</v>
      </c>
      <c r="F39" s="57">
        <v>1</v>
      </c>
      <c r="G39" s="57">
        <f>D39*F39</f>
        <v>48437.5</v>
      </c>
      <c r="I39" s="43"/>
      <c r="L39" s="12"/>
      <c r="M39" s="11"/>
      <c r="N39" s="11"/>
      <c r="O39" s="11"/>
    </row>
    <row r="40" spans="2:15">
      <c r="B40" s="17" t="s">
        <v>378</v>
      </c>
      <c r="C40" s="57" t="s">
        <v>1252</v>
      </c>
      <c r="D40" s="57">
        <f>D27*2*1</f>
        <v>35500</v>
      </c>
      <c r="E40" s="57" t="s">
        <v>1236</v>
      </c>
      <c r="F40" s="57">
        <v>1</v>
      </c>
      <c r="G40" s="57">
        <f t="shared" si="2"/>
        <v>35500</v>
      </c>
    </row>
    <row r="41" spans="2:15">
      <c r="B41" s="17" t="s">
        <v>380</v>
      </c>
      <c r="C41" s="57" t="s">
        <v>1253</v>
      </c>
      <c r="D41" s="57">
        <f>+D27*8</f>
        <v>142000</v>
      </c>
      <c r="E41" s="57" t="s">
        <v>1254</v>
      </c>
      <c r="F41" s="57">
        <v>1</v>
      </c>
      <c r="G41" s="57">
        <f t="shared" si="2"/>
        <v>142000</v>
      </c>
    </row>
    <row r="42" spans="2:15">
      <c r="B42" s="17" t="s">
        <v>68</v>
      </c>
      <c r="C42" s="57" t="s">
        <v>1255</v>
      </c>
      <c r="D42" s="57">
        <f>+D27*8</f>
        <v>142000</v>
      </c>
      <c r="E42" s="57" t="s">
        <v>1254</v>
      </c>
      <c r="F42" s="57">
        <v>1</v>
      </c>
      <c r="G42" s="57">
        <f t="shared" si="2"/>
        <v>142000</v>
      </c>
    </row>
    <row r="43" spans="2:15">
      <c r="B43" s="17" t="s">
        <v>69</v>
      </c>
      <c r="C43" s="57" t="s">
        <v>1256</v>
      </c>
      <c r="D43" s="57">
        <f>D27*1.5*8</f>
        <v>213000</v>
      </c>
      <c r="E43" s="57" t="s">
        <v>1254</v>
      </c>
      <c r="F43" s="57">
        <v>1</v>
      </c>
      <c r="G43" s="57">
        <f t="shared" si="2"/>
        <v>213000</v>
      </c>
    </row>
    <row r="44" spans="2:15">
      <c r="B44" s="17" t="s">
        <v>70</v>
      </c>
      <c r="C44" s="57" t="s">
        <v>1257</v>
      </c>
      <c r="D44" s="57">
        <f>D27*8</f>
        <v>142000</v>
      </c>
      <c r="E44" s="57" t="s">
        <v>1254</v>
      </c>
      <c r="F44" s="57">
        <v>1</v>
      </c>
      <c r="G44" s="57">
        <f t="shared" si="2"/>
        <v>142000</v>
      </c>
    </row>
    <row r="45" spans="2:15">
      <c r="B45" s="17" t="s">
        <v>71</v>
      </c>
      <c r="C45" s="57" t="s">
        <v>1258</v>
      </c>
      <c r="D45" s="57">
        <f>D27*1.5*8</f>
        <v>213000</v>
      </c>
      <c r="E45" s="57" t="s">
        <v>1254</v>
      </c>
      <c r="F45" s="57">
        <v>1</v>
      </c>
      <c r="G45" s="57">
        <f t="shared" si="2"/>
        <v>213000</v>
      </c>
    </row>
    <row r="46" spans="2:15">
      <c r="B46" s="17" t="s">
        <v>391</v>
      </c>
      <c r="C46" s="57" t="s">
        <v>1259</v>
      </c>
      <c r="D46" s="57">
        <f>D42+D41+(D25*8)</f>
        <v>559000</v>
      </c>
      <c r="E46" s="57" t="s">
        <v>1254</v>
      </c>
      <c r="F46" s="57">
        <v>1</v>
      </c>
      <c r="G46" s="57">
        <f t="shared" si="2"/>
        <v>559000</v>
      </c>
    </row>
  </sheetData>
  <mergeCells count="7">
    <mergeCell ref="C4:I4"/>
    <mergeCell ref="D15:E15"/>
    <mergeCell ref="D16:E16"/>
    <mergeCell ref="D11:E11"/>
    <mergeCell ref="D12:E12"/>
    <mergeCell ref="D13:E13"/>
    <mergeCell ref="D14:E14"/>
  </mergeCells>
  <phoneticPr fontId="1" type="noConversion"/>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8899-C2D2-4EAD-A155-7CCB26336ABF}">
  <sheetPr codeName="Hoja50"/>
  <dimension ref="B3:I41"/>
  <sheetViews>
    <sheetView workbookViewId="0">
      <selection activeCell="J20" sqref="J20"/>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t="e">
        <f>+#REF!</f>
        <v>#REF!</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1.75" customHeight="1">
      <c r="B13" s="13" t="s">
        <v>28</v>
      </c>
      <c r="C13" s="283" t="s">
        <v>1891</v>
      </c>
      <c r="D13" s="284"/>
      <c r="E13" s="284"/>
      <c r="F13" s="285"/>
      <c r="G13" s="286" t="s">
        <v>2</v>
      </c>
      <c r="H13" s="286"/>
      <c r="I13" s="236">
        <v>88.863140000000001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0.08</v>
      </c>
      <c r="H19" s="85">
        <f>F19*G19</f>
        <v>840</v>
      </c>
      <c r="I19" s="287"/>
    </row>
    <row r="20" spans="2:9">
      <c r="B20" s="71" t="s">
        <v>1263</v>
      </c>
      <c r="C20" s="258" t="str">
        <f>VLOOKUP(B20,'MAQUINARIA Y EQUIPOS  '!C7:F95,2,FALSE)</f>
        <v xml:space="preserve">MARTILLO DEMOLEDOR </v>
      </c>
      <c r="D20" s="258"/>
      <c r="E20" s="88" t="str">
        <f>VLOOKUP(B20,'MAQUINARIA Y EQUIPOS  '!C7:F95,3,FALSE)</f>
        <v>HH</v>
      </c>
      <c r="F20" s="86">
        <f>VLOOKUP(B20,'MAQUINARIA Y EQUIPOS  '!C7:F95,4,FALSE)</f>
        <v>12000</v>
      </c>
      <c r="G20" s="71">
        <v>0.02</v>
      </c>
      <c r="H20" s="85">
        <f>F20*G20</f>
        <v>240</v>
      </c>
      <c r="I20" s="287"/>
    </row>
    <row r="21" spans="2:9" ht="12">
      <c r="B21" s="89"/>
      <c r="C21" s="89"/>
      <c r="D21" s="89"/>
      <c r="E21" s="89"/>
      <c r="F21" s="89"/>
      <c r="G21" s="89"/>
      <c r="H21" s="89" t="s">
        <v>64</v>
      </c>
      <c r="I21" s="90">
        <f>SUM(H18:H20)</f>
        <v>2151.4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c r="D26" s="291"/>
      <c r="E26" s="97" t="str">
        <f>VLOOKUP(B26,'INSUMOS '!C4:G951,3,FALSE)</f>
        <v>m</v>
      </c>
      <c r="F26" s="98">
        <f>VLOOKUP(B26,'INSUMOS '!C4:G951,4,FALSE)</f>
        <v>500</v>
      </c>
      <c r="G26" s="71">
        <v>1.35</v>
      </c>
      <c r="H26" s="83">
        <f>+G26*F26</f>
        <v>675</v>
      </c>
      <c r="I26" s="287"/>
    </row>
    <row r="27" spans="2:9">
      <c r="B27" s="71"/>
      <c r="C27" s="292"/>
      <c r="D27" s="293"/>
      <c r="E27" s="91"/>
      <c r="F27" s="94"/>
      <c r="G27" s="92"/>
      <c r="H27" s="83"/>
      <c r="I27" s="287"/>
    </row>
    <row r="28" spans="2:9" ht="12">
      <c r="B28" s="89"/>
      <c r="C28" s="89"/>
      <c r="D28" s="89"/>
      <c r="E28" s="89"/>
      <c r="F28" s="89"/>
      <c r="G28" s="258" t="s">
        <v>64</v>
      </c>
      <c r="H28" s="258"/>
      <c r="I28" s="85">
        <f>SUM(H24:H27)</f>
        <v>9175</v>
      </c>
    </row>
    <row r="29" spans="2:9" ht="12">
      <c r="B29" s="89"/>
      <c r="C29" s="89"/>
      <c r="D29" s="89"/>
      <c r="E29" s="89"/>
      <c r="F29" s="89"/>
      <c r="G29" s="99" t="s">
        <v>72</v>
      </c>
      <c r="H29" s="100">
        <v>0.05</v>
      </c>
      <c r="I29" s="101">
        <f>I28*H29</f>
        <v>458.75</v>
      </c>
    </row>
    <row r="30" spans="2:9" ht="12">
      <c r="B30" s="89"/>
      <c r="C30" s="89"/>
      <c r="D30" s="89"/>
      <c r="E30" s="89"/>
      <c r="F30" s="89"/>
      <c r="G30" s="258" t="s">
        <v>73</v>
      </c>
      <c r="H30" s="258"/>
      <c r="I30" s="90">
        <f>SUM(I28:I29)</f>
        <v>9633.75</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f>0.05*1.3</f>
        <v>6.5000000000000002E-2</v>
      </c>
      <c r="F33" s="70">
        <v>19</v>
      </c>
      <c r="G33" s="102">
        <f>VLOOKUP(B33,'MAQUINARIA Y EQUIPOS  '!C7:F95,4,FALSE)</f>
        <v>1500</v>
      </c>
      <c r="H33" s="103">
        <f>+F33*G33*E33</f>
        <v>1852.5</v>
      </c>
      <c r="I33" s="301"/>
    </row>
    <row r="34" spans="2:9">
      <c r="B34" s="71"/>
      <c r="C34" s="71"/>
      <c r="D34" s="82"/>
      <c r="E34" s="71"/>
      <c r="F34" s="71"/>
      <c r="G34" s="86"/>
      <c r="H34" s="86"/>
      <c r="I34" s="301"/>
    </row>
    <row r="35" spans="2:9" ht="12">
      <c r="B35" s="89"/>
      <c r="C35" s="89"/>
      <c r="D35" s="89"/>
      <c r="E35" s="89"/>
      <c r="F35" s="89"/>
      <c r="G35" s="302" t="s">
        <v>64</v>
      </c>
      <c r="H35" s="302"/>
      <c r="I35" s="104">
        <f>+H33</f>
        <v>1852.5</v>
      </c>
    </row>
    <row r="36" spans="2:9" ht="12">
      <c r="B36" s="78"/>
      <c r="C36" s="289" t="s">
        <v>75</v>
      </c>
      <c r="D36" s="289"/>
      <c r="E36" s="78"/>
      <c r="F36" s="78"/>
      <c r="G36" s="78"/>
      <c r="H36" s="78"/>
      <c r="I36" s="79"/>
    </row>
    <row r="37" spans="2:9" ht="12">
      <c r="B37" s="105" t="s">
        <v>42</v>
      </c>
      <c r="C37" s="305" t="s">
        <v>76</v>
      </c>
      <c r="D37" s="306"/>
      <c r="E37" s="105" t="s">
        <v>1</v>
      </c>
      <c r="F37" s="105" t="s">
        <v>77</v>
      </c>
      <c r="G37" s="105" t="s">
        <v>78</v>
      </c>
      <c r="H37" s="105" t="s">
        <v>79</v>
      </c>
      <c r="I37" s="294"/>
    </row>
    <row r="38" spans="2:9" ht="21.75" customHeight="1">
      <c r="B38" s="106" t="s">
        <v>359</v>
      </c>
      <c r="C38" s="303" t="str">
        <f>+VLOOKUP(B38,'MANO DE OBRA '!B23:G46,2,FALSE)</f>
        <v xml:space="preserve"> Cuadrilla de construccion 2 (1 oficial+ 2 ayudante)</v>
      </c>
      <c r="D38" s="304"/>
      <c r="E38" s="106" t="str">
        <f>+VLOOKUP(B38,'MANO DE OBRA '!B23:G46,4,FALSE)</f>
        <v>Hora</v>
      </c>
      <c r="F38" s="86">
        <f>+VLOOKUP(B38,'MANO DE OBRA '!B23:G46,3,FALSE)</f>
        <v>66187.5</v>
      </c>
      <c r="G38" s="107">
        <v>0.28299999999999997</v>
      </c>
      <c r="H38" s="94">
        <f>+G38*F38</f>
        <v>18731.0625</v>
      </c>
      <c r="I38" s="294"/>
    </row>
    <row r="39" spans="2:9">
      <c r="B39" s="106"/>
      <c r="C39" s="303"/>
      <c r="D39" s="304"/>
      <c r="E39" s="106"/>
      <c r="F39" s="86"/>
      <c r="G39" s="121"/>
      <c r="H39" s="94"/>
      <c r="I39" s="294"/>
    </row>
    <row r="40" spans="2:9" ht="12">
      <c r="B40" s="108"/>
      <c r="C40" s="109"/>
      <c r="D40" s="109"/>
      <c r="E40" s="109"/>
      <c r="F40" s="110"/>
      <c r="G40" s="110"/>
      <c r="H40" s="111" t="s">
        <v>64</v>
      </c>
      <c r="I40" s="112">
        <f>SUM(H38:H39)</f>
        <v>18731.0625</v>
      </c>
    </row>
    <row r="41" spans="2:9" ht="12">
      <c r="B41" s="295" t="s">
        <v>83</v>
      </c>
      <c r="C41" s="296"/>
      <c r="D41" s="297" t="s">
        <v>77</v>
      </c>
      <c r="E41" s="298"/>
      <c r="F41" s="298"/>
      <c r="G41" s="298"/>
      <c r="H41" s="299"/>
      <c r="I41" s="113">
        <f>SUM(I21+I35+I30+I40)</f>
        <v>32368.712500000001</v>
      </c>
    </row>
  </sheetData>
  <mergeCells count="43">
    <mergeCell ref="C37:D37"/>
    <mergeCell ref="I37:I39"/>
    <mergeCell ref="C38:D38"/>
    <mergeCell ref="C39:D39"/>
    <mergeCell ref="B41:C41"/>
    <mergeCell ref="D41:H41"/>
    <mergeCell ref="I17:I20"/>
    <mergeCell ref="C18:D18"/>
    <mergeCell ref="C19:D19"/>
    <mergeCell ref="C20:D20"/>
    <mergeCell ref="C36:D36"/>
    <mergeCell ref="C23:D23"/>
    <mergeCell ref="I23:I27"/>
    <mergeCell ref="C24:D24"/>
    <mergeCell ref="C25:D25"/>
    <mergeCell ref="C26:D26"/>
    <mergeCell ref="C27:D27"/>
    <mergeCell ref="G28:H28"/>
    <mergeCell ref="G30:H30"/>
    <mergeCell ref="C31:D31"/>
    <mergeCell ref="I32:I34"/>
    <mergeCell ref="G35:H35"/>
    <mergeCell ref="C22:D22"/>
    <mergeCell ref="C13:F13"/>
    <mergeCell ref="G13:H13"/>
    <mergeCell ref="C14:E14"/>
    <mergeCell ref="F14:H14"/>
    <mergeCell ref="C15:E15"/>
    <mergeCell ref="F15:H15"/>
    <mergeCell ref="C17:D17"/>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0EA62-7D6C-43D7-81A8-F1714D9EF745}">
  <sheetPr codeName="Hoja102"/>
  <dimension ref="B3:I38"/>
  <sheetViews>
    <sheetView topLeftCell="A4" zoomScale="89" zoomScaleNormal="89" workbookViewId="0">
      <selection activeCell="L19" sqref="L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13.8</v>
      </c>
      <c r="C13" s="283" t="s">
        <v>1978</v>
      </c>
      <c r="D13" s="284"/>
      <c r="E13" s="284"/>
      <c r="F13" s="285"/>
      <c r="G13" s="286" t="s">
        <v>170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c r="C19" s="81"/>
      <c r="D19" s="82"/>
      <c r="E19" s="71"/>
      <c r="F19" s="83"/>
      <c r="G19" s="84"/>
      <c r="H19" s="85"/>
      <c r="I19" s="287"/>
    </row>
    <row r="20" spans="2:9">
      <c r="B20" s="71" t="s">
        <v>1267</v>
      </c>
      <c r="C20" s="288" t="str">
        <f>VLOOKUP(B20,'MAQUINARIA Y EQUIPOS  '!C7:F95,2,FALSE)</f>
        <v xml:space="preserve">Pluma grua </v>
      </c>
      <c r="D20" s="265"/>
      <c r="E20" s="71" t="str">
        <f>VLOOKUP(B20,'MAQUINARIA Y EQUIPOS  '!C7:F95,3,FALSE)</f>
        <v>HH</v>
      </c>
      <c r="F20" s="83">
        <f>VLOOKUP(B20,'MAQUINARIA Y EQUIPOS  '!C7:F95,4,FALSE)</f>
        <v>10500</v>
      </c>
      <c r="G20" s="122">
        <v>0.02</v>
      </c>
      <c r="H20" s="85">
        <f>F20*G20</f>
        <v>210</v>
      </c>
      <c r="I20" s="287"/>
    </row>
    <row r="21" spans="2:9" ht="12">
      <c r="B21" s="89"/>
      <c r="C21" s="89"/>
      <c r="D21" s="89"/>
      <c r="E21" s="89"/>
      <c r="F21" s="89"/>
      <c r="G21" s="89"/>
      <c r="H21" s="89" t="s">
        <v>64</v>
      </c>
      <c r="I21" s="90">
        <f>SUM(H18:H20)</f>
        <v>2352.8000000000002</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1633</v>
      </c>
      <c r="C24" s="290" t="str">
        <f>VLOOKUP(B24,'INSUMOS '!C1:G1048573,2,FALSE)</f>
        <v>Dispenser/Protector papel higiénico acero 304 (Dim: 2727.512 cm)</v>
      </c>
      <c r="D24" s="291"/>
      <c r="E24" s="97" t="str">
        <f>VLOOKUP(B24,'INSUMOS '!C1:G1048573,3,FALSE)</f>
        <v xml:space="preserve">UND </v>
      </c>
      <c r="F24" s="98">
        <f>VLOOKUP(B24,'INSUMOS '!C1:G1048573,4,FALSE)</f>
        <v>195000</v>
      </c>
      <c r="G24" s="71">
        <v>1</v>
      </c>
      <c r="H24" s="83">
        <f>+G24*F24</f>
        <v>195000</v>
      </c>
      <c r="I24" s="287"/>
    </row>
    <row r="25" spans="2:9" ht="12">
      <c r="B25" s="89"/>
      <c r="C25" s="89"/>
      <c r="D25" s="89"/>
      <c r="E25" s="89"/>
      <c r="F25" s="89"/>
      <c r="G25" s="258" t="s">
        <v>64</v>
      </c>
      <c r="H25" s="258"/>
      <c r="I25" s="85">
        <f>SUM(H24:H24)</f>
        <v>195000</v>
      </c>
    </row>
    <row r="26" spans="2:9" ht="12">
      <c r="B26" s="89"/>
      <c r="C26" s="89"/>
      <c r="D26" s="89"/>
      <c r="E26" s="89"/>
      <c r="F26" s="89"/>
      <c r="G26" s="99" t="s">
        <v>72</v>
      </c>
      <c r="H26" s="100">
        <v>0.05</v>
      </c>
      <c r="I26" s="120">
        <f>I25*H26</f>
        <v>9750</v>
      </c>
    </row>
    <row r="27" spans="2:9" ht="12">
      <c r="B27" s="89"/>
      <c r="C27" s="89"/>
      <c r="D27" s="89"/>
      <c r="E27" s="89"/>
      <c r="F27" s="89"/>
      <c r="G27" s="258" t="s">
        <v>73</v>
      </c>
      <c r="H27" s="258"/>
      <c r="I27" s="90">
        <f>SUM(I25:I26)</f>
        <v>204750</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t="s">
        <v>274</v>
      </c>
      <c r="C30" s="70" t="str">
        <f>VLOOKUP(B30,'MAQUINARIA Y EQUIPOS  '!C12:F100,2,FALSE)</f>
        <v>CAMIONETA D300</v>
      </c>
      <c r="D30" s="75" t="s">
        <v>346</v>
      </c>
      <c r="E30" s="70">
        <v>0.02</v>
      </c>
      <c r="F30" s="70">
        <v>19</v>
      </c>
      <c r="G30" s="102">
        <v>1000</v>
      </c>
      <c r="H30" s="103">
        <f>+G30*E30</f>
        <v>20</v>
      </c>
      <c r="I30" s="301"/>
    </row>
    <row r="31" spans="2:9">
      <c r="B31" s="71"/>
      <c r="C31" s="71"/>
      <c r="D31" s="82"/>
      <c r="E31" s="71"/>
      <c r="F31" s="71"/>
      <c r="G31" s="86"/>
      <c r="H31" s="86"/>
      <c r="I31" s="301"/>
    </row>
    <row r="32" spans="2:9" ht="12">
      <c r="B32" s="89"/>
      <c r="C32" s="89"/>
      <c r="D32" s="89"/>
      <c r="E32" s="89"/>
      <c r="F32" s="89"/>
      <c r="G32" s="302" t="s">
        <v>64</v>
      </c>
      <c r="H32" s="302"/>
      <c r="I32" s="104">
        <f>+H30</f>
        <v>20</v>
      </c>
    </row>
    <row r="33" spans="2:9" ht="12">
      <c r="B33" s="78"/>
      <c r="C33" s="289" t="s">
        <v>75</v>
      </c>
      <c r="D33" s="289"/>
      <c r="E33" s="78"/>
      <c r="F33" s="78"/>
      <c r="G33" s="78"/>
      <c r="H33" s="78"/>
      <c r="I33" s="79"/>
    </row>
    <row r="34" spans="2:9" ht="12">
      <c r="B34" s="105" t="s">
        <v>42</v>
      </c>
      <c r="C34" s="105" t="s">
        <v>76</v>
      </c>
      <c r="D34" s="105" t="s">
        <v>1225</v>
      </c>
      <c r="E34" s="105" t="s">
        <v>1</v>
      </c>
      <c r="F34" s="105" t="s">
        <v>77</v>
      </c>
      <c r="G34" s="105" t="s">
        <v>78</v>
      </c>
      <c r="H34" s="105" t="s">
        <v>79</v>
      </c>
      <c r="I34" s="294"/>
    </row>
    <row r="35" spans="2:9" ht="30" customHeight="1">
      <c r="B35" s="106" t="s">
        <v>369</v>
      </c>
      <c r="C35" s="106" t="str">
        <f>+VLOOKUP(B35,'MANO DE OBRA '!B23:G46,2,FALSE)</f>
        <v xml:space="preserve"> Cuadrilla BB Instalaciones (1 oficial+ 1 ayudante)</v>
      </c>
      <c r="D35" s="106">
        <v>1</v>
      </c>
      <c r="E35" s="106" t="str">
        <f>+VLOOKUP(B35,'MANO DE OBRA '!B23:G46,4,FALSE)</f>
        <v>Hora</v>
      </c>
      <c r="F35" s="86">
        <f>+VLOOKUP(B35,'MANO DE OBRA '!B23:G46,3,FALSE)</f>
        <v>53281.25</v>
      </c>
      <c r="G35" s="121">
        <v>0.5</v>
      </c>
      <c r="H35" s="94">
        <f>F35*G35*D35</f>
        <v>26640.625</v>
      </c>
      <c r="I35" s="294"/>
    </row>
    <row r="36" spans="2:9">
      <c r="B36" s="106"/>
      <c r="C36" s="106"/>
      <c r="D36" s="106"/>
      <c r="E36" s="106"/>
      <c r="F36" s="86"/>
      <c r="G36" s="121"/>
      <c r="H36" s="94"/>
      <c r="I36" s="294"/>
    </row>
    <row r="37" spans="2:9" ht="12">
      <c r="B37" s="108"/>
      <c r="C37" s="109"/>
      <c r="D37" s="109"/>
      <c r="E37" s="109"/>
      <c r="F37" s="110"/>
      <c r="G37" s="110"/>
      <c r="H37" s="111" t="s">
        <v>64</v>
      </c>
      <c r="I37" s="112">
        <f>SUM(H35:H36)</f>
        <v>26640.625</v>
      </c>
    </row>
    <row r="38" spans="2:9" ht="12">
      <c r="B38" s="295" t="s">
        <v>83</v>
      </c>
      <c r="C38" s="296"/>
      <c r="D38" s="297" t="s">
        <v>77</v>
      </c>
      <c r="E38" s="298"/>
      <c r="F38" s="298"/>
      <c r="G38" s="298"/>
      <c r="H38" s="299"/>
      <c r="I38" s="113">
        <f>SUM(I21+I32+I27+I37)</f>
        <v>233763.42499999999</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3:D23"/>
    <mergeCell ref="I23:I24"/>
    <mergeCell ref="C24:D24"/>
    <mergeCell ref="C13:F13"/>
    <mergeCell ref="G13:H13"/>
    <mergeCell ref="C14:E14"/>
    <mergeCell ref="F14:H14"/>
    <mergeCell ref="C15:E15"/>
    <mergeCell ref="F15:H15"/>
    <mergeCell ref="C17:D17"/>
    <mergeCell ref="I17:I20"/>
    <mergeCell ref="C18:D18"/>
    <mergeCell ref="C20:D20"/>
    <mergeCell ref="C22:D22"/>
    <mergeCell ref="I34:I36"/>
    <mergeCell ref="B38:C38"/>
    <mergeCell ref="D38:H38"/>
    <mergeCell ref="G25:H25"/>
    <mergeCell ref="G27:H27"/>
    <mergeCell ref="C28:D28"/>
    <mergeCell ref="I29:I31"/>
    <mergeCell ref="G32:H32"/>
    <mergeCell ref="C33:D33"/>
  </mergeCell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8FEEB-B8BB-4B20-A63D-A098C96C5CB5}">
  <sheetPr codeName="Hoja103"/>
  <dimension ref="B3:I37"/>
  <sheetViews>
    <sheetView topLeftCell="A10" zoomScale="89" zoomScaleNormal="89"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9" customHeight="1">
      <c r="B13" s="17">
        <v>13.9</v>
      </c>
      <c r="C13" s="283" t="s">
        <v>1979</v>
      </c>
      <c r="D13" s="284"/>
      <c r="E13" s="284"/>
      <c r="F13" s="285"/>
      <c r="G13" s="286" t="s">
        <v>170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1634</v>
      </c>
      <c r="C23" s="290" t="str">
        <f>VLOOKUP(B23,'INSUMOS '!C1:G1048573,2,FALSE)</f>
        <v>Caneca de pedal acero 430 con balde interior (Dim: 21x32 cm)</v>
      </c>
      <c r="D23" s="291"/>
      <c r="E23" s="97" t="str">
        <f>VLOOKUP(B23,'INSUMOS '!C1:G1048573,3,FALSE)</f>
        <v xml:space="preserve">UND </v>
      </c>
      <c r="F23" s="98">
        <f>VLOOKUP(B23,'INSUMOS '!C1:G1048573,4,FALSE)</f>
        <v>89250</v>
      </c>
      <c r="G23" s="71">
        <v>1</v>
      </c>
      <c r="H23" s="83">
        <f>+G23*F23</f>
        <v>89250</v>
      </c>
      <c r="I23" s="287"/>
    </row>
    <row r="24" spans="2:9" ht="12">
      <c r="B24" s="89"/>
      <c r="C24" s="89"/>
      <c r="D24" s="89"/>
      <c r="E24" s="89"/>
      <c r="F24" s="89"/>
      <c r="G24" s="258" t="s">
        <v>64</v>
      </c>
      <c r="H24" s="258"/>
      <c r="I24" s="85">
        <f>SUM(H23:H23)</f>
        <v>89250</v>
      </c>
    </row>
    <row r="25" spans="2:9" ht="12">
      <c r="B25" s="89"/>
      <c r="C25" s="89"/>
      <c r="D25" s="89"/>
      <c r="E25" s="89"/>
      <c r="F25" s="89"/>
      <c r="G25" s="99" t="s">
        <v>72</v>
      </c>
      <c r="H25" s="100">
        <v>0.05</v>
      </c>
      <c r="I25" s="120">
        <f>I24*H25</f>
        <v>4462.5</v>
      </c>
    </row>
    <row r="26" spans="2:9" ht="12">
      <c r="B26" s="89"/>
      <c r="C26" s="89"/>
      <c r="D26" s="89"/>
      <c r="E26" s="89"/>
      <c r="F26" s="89"/>
      <c r="G26" s="258" t="s">
        <v>73</v>
      </c>
      <c r="H26" s="258"/>
      <c r="I26" s="90">
        <f>SUM(I24:I25)</f>
        <v>93712.5</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346</v>
      </c>
      <c r="E29" s="70">
        <v>0.02</v>
      </c>
      <c r="F29" s="70">
        <v>19</v>
      </c>
      <c r="G29" s="102">
        <v>1000</v>
      </c>
      <c r="H29" s="103">
        <f>+G29*E29</f>
        <v>20</v>
      </c>
      <c r="I29" s="301"/>
    </row>
    <row r="30" spans="2:9">
      <c r="B30" s="71"/>
      <c r="C30" s="71"/>
      <c r="D30" s="82"/>
      <c r="E30" s="71"/>
      <c r="F30" s="71"/>
      <c r="G30" s="86"/>
      <c r="H30" s="86"/>
      <c r="I30" s="301"/>
    </row>
    <row r="31" spans="2:9" ht="12">
      <c r="B31" s="89"/>
      <c r="C31" s="89"/>
      <c r="D31" s="89"/>
      <c r="E31" s="89"/>
      <c r="F31" s="89"/>
      <c r="G31" s="302" t="s">
        <v>64</v>
      </c>
      <c r="H31" s="302"/>
      <c r="I31" s="104">
        <f>+H29</f>
        <v>20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369</v>
      </c>
      <c r="C34" s="106" t="str">
        <f>+VLOOKUP(B34,'MANO DE OBRA '!B23:G46,2,FALSE)</f>
        <v xml:space="preserve"> Cuadrilla BB Instalaciones (1 oficial+ 1 ayudante)</v>
      </c>
      <c r="D34" s="106">
        <v>1</v>
      </c>
      <c r="E34" s="106" t="str">
        <f>+VLOOKUP(B34,'MANO DE OBRA '!B23:G46,4,FALSE)</f>
        <v>Hora</v>
      </c>
      <c r="F34" s="86">
        <f>+VLOOKUP(B34,'MANO DE OBRA '!B23:G46,3,FALSE)</f>
        <v>53281.25</v>
      </c>
      <c r="G34" s="121">
        <v>0.5</v>
      </c>
      <c r="H34" s="94">
        <f>F34*G34*D34</f>
        <v>26640.625</v>
      </c>
      <c r="I34" s="294"/>
    </row>
    <row r="35" spans="2:9">
      <c r="B35" s="106"/>
      <c r="C35" s="106"/>
      <c r="D35" s="106"/>
      <c r="E35" s="106"/>
      <c r="F35" s="86"/>
      <c r="G35" s="121"/>
      <c r="H35" s="94"/>
      <c r="I35" s="294"/>
    </row>
    <row r="36" spans="2:9" ht="12">
      <c r="B36" s="108"/>
      <c r="C36" s="109"/>
      <c r="D36" s="109"/>
      <c r="E36" s="109"/>
      <c r="F36" s="110"/>
      <c r="G36" s="110"/>
      <c r="H36" s="111" t="s">
        <v>64</v>
      </c>
      <c r="I36" s="112">
        <f>SUM(H34:H35)</f>
        <v>26640.625</v>
      </c>
    </row>
    <row r="37" spans="2:9" ht="12">
      <c r="B37" s="295" t="s">
        <v>83</v>
      </c>
      <c r="C37" s="296"/>
      <c r="D37" s="297" t="s">
        <v>77</v>
      </c>
      <c r="E37" s="298"/>
      <c r="F37" s="298"/>
      <c r="G37" s="298"/>
      <c r="H37" s="299"/>
      <c r="I37" s="113">
        <f>SUM(I20+I31+I26+I36)</f>
        <v>122725.925</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3D290-DE91-4901-B2BC-D8BB33DBED6C}">
  <sheetPr codeName="Hoja104"/>
  <dimension ref="B3:I42"/>
  <sheetViews>
    <sheetView topLeftCell="A19" zoomScale="89" zoomScaleNormal="89" workbookViewId="0">
      <selection activeCell="M33" sqref="M3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247">
        <v>13.1</v>
      </c>
      <c r="C13" s="283" t="s">
        <v>1980</v>
      </c>
      <c r="D13" s="284"/>
      <c r="E13" s="284"/>
      <c r="F13" s="285"/>
      <c r="G13" s="286" t="s">
        <v>2</v>
      </c>
      <c r="H13" s="286"/>
      <c r="I13" s="114">
        <v>1.8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c r="C19" s="81"/>
      <c r="D19" s="82"/>
      <c r="E19" s="71"/>
      <c r="F19" s="83"/>
      <c r="G19" s="84"/>
      <c r="H19" s="85"/>
      <c r="I19" s="287"/>
    </row>
    <row r="20" spans="2:9">
      <c r="B20" s="71" t="s">
        <v>1267</v>
      </c>
      <c r="C20" s="288" t="str">
        <f>VLOOKUP(B20,'MAQUINARIA Y EQUIPOS  '!C7:F95,2,FALSE)</f>
        <v xml:space="preserve">Pluma grua </v>
      </c>
      <c r="D20" s="265"/>
      <c r="E20" s="71" t="str">
        <f>VLOOKUP(B20,'MAQUINARIA Y EQUIPOS  '!C7:F95,3,FALSE)</f>
        <v>HH</v>
      </c>
      <c r="F20" s="83">
        <f>VLOOKUP(B20,'MAQUINARIA Y EQUIPOS  '!C7:F95,4,FALSE)</f>
        <v>10500</v>
      </c>
      <c r="G20" s="122">
        <v>0.02</v>
      </c>
      <c r="H20" s="85">
        <f>F20*G20</f>
        <v>210</v>
      </c>
      <c r="I20" s="287"/>
    </row>
    <row r="21" spans="2:9" ht="12">
      <c r="B21" s="89"/>
      <c r="C21" s="89"/>
      <c r="D21" s="89"/>
      <c r="E21" s="89"/>
      <c r="F21" s="89"/>
      <c r="G21" s="89"/>
      <c r="H21" s="89" t="s">
        <v>64</v>
      </c>
      <c r="I21" s="90">
        <f>SUM(H18:H20)</f>
        <v>2352.8000000000002</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1640</v>
      </c>
      <c r="C24" s="283" t="str">
        <f>VLOOKUP(B24,'INSUMOS '!C1:G1048573,2,FALSE)</f>
        <v>Silicona neutra especial para espejos (No daña el azogue)</v>
      </c>
      <c r="D24" s="285"/>
      <c r="E24" s="70" t="str">
        <f>VLOOKUP(B24,'INSUMOS '!C1:G1048573,3,FALSE)</f>
        <v xml:space="preserve">und </v>
      </c>
      <c r="F24" s="80">
        <f>VLOOKUP(B24,'INSUMOS '!C1:G1048573,4,FALSE)</f>
        <v>25000</v>
      </c>
      <c r="G24" s="70">
        <v>0.3</v>
      </c>
      <c r="H24" s="123">
        <f>+G24*F24</f>
        <v>7500</v>
      </c>
      <c r="I24" s="287"/>
    </row>
    <row r="25" spans="2:9" ht="12">
      <c r="B25" s="70" t="s">
        <v>1638</v>
      </c>
      <c r="C25" s="283" t="str">
        <f>VLOOKUP(B25,'INSUMOS '!C1:G1048573,2,FALSE)</f>
        <v>Perfilería perimetral de aluminio color negro</v>
      </c>
      <c r="D25" s="285"/>
      <c r="E25" s="70" t="str">
        <f>VLOOKUP(B25,'INSUMOS '!C1:G1048573,3,FALSE)</f>
        <v>M</v>
      </c>
      <c r="F25" s="80">
        <f>VLOOKUP(B25,'INSUMOS '!C1:G1048573,4,FALSE)</f>
        <v>15000</v>
      </c>
      <c r="G25" s="70">
        <v>4.2</v>
      </c>
      <c r="H25" s="123">
        <f>+G25*F25</f>
        <v>63000</v>
      </c>
      <c r="I25" s="287"/>
    </row>
    <row r="26" spans="2:9" ht="12">
      <c r="B26" s="70" t="s">
        <v>1631</v>
      </c>
      <c r="C26" s="283" t="str">
        <f>VLOOKUP(B26,'INSUMOS '!C2:G1048574,2,FALSE)</f>
        <v>Chazos de expansión plásticos y tornillos de acero inoxidable</v>
      </c>
      <c r="D26" s="285"/>
      <c r="E26" s="70" t="str">
        <f>VLOOKUP(B26,'INSUMOS '!C2:G1048574,3,FALSE)</f>
        <v>GLB</v>
      </c>
      <c r="F26" s="80">
        <f>VLOOKUP(B26,'INSUMOS '!C2:G1048574,4,FALSE)</f>
        <v>8000</v>
      </c>
      <c r="G26" s="70">
        <v>1</v>
      </c>
      <c r="H26" s="123">
        <f>+G26*F26</f>
        <v>8000</v>
      </c>
      <c r="I26" s="287"/>
    </row>
    <row r="27" spans="2:9" ht="12">
      <c r="B27" s="70" t="s">
        <v>1642</v>
      </c>
      <c r="C27" s="283" t="str">
        <f>VLOOKUP(B27,'INSUMOS '!C3:G1048575,2,FALSE)</f>
        <v>Cinta doble faz de poliuretano de alta adherencia</v>
      </c>
      <c r="D27" s="285"/>
      <c r="E27" s="70" t="str">
        <f>VLOOKUP(B27,'INSUMOS '!C3:G1048575,3,FALSE)</f>
        <v xml:space="preserve">UND </v>
      </c>
      <c r="F27" s="80">
        <f>VLOOKUP(B27,'INSUMOS '!C3:G1048575,4,FALSE)</f>
        <v>34900</v>
      </c>
      <c r="G27" s="70">
        <v>0.15</v>
      </c>
      <c r="H27" s="123">
        <f>+G27*F27</f>
        <v>5235</v>
      </c>
      <c r="I27" s="287"/>
    </row>
    <row r="28" spans="2:9">
      <c r="B28" s="71" t="s">
        <v>1636</v>
      </c>
      <c r="C28" s="290" t="str">
        <f>VLOOKUP(B28,'INSUMOS '!C1:G1048573,2,FALSE)</f>
        <v>Espejo flotado claro de 4 mm de espesor</v>
      </c>
      <c r="D28" s="291"/>
      <c r="E28" s="97" t="str">
        <f>VLOOKUP(B28,'INSUMOS '!C1:G1048573,3,FALSE)</f>
        <v>M2</v>
      </c>
      <c r="F28" s="98">
        <f>VLOOKUP(B28,'INSUMOS '!C1:G1048573,4,FALSE)</f>
        <v>80000</v>
      </c>
      <c r="G28" s="71">
        <v>1</v>
      </c>
      <c r="H28" s="86">
        <f>+G28*F28</f>
        <v>80000</v>
      </c>
      <c r="I28" s="287"/>
    </row>
    <row r="29" spans="2:9" ht="12">
      <c r="B29" s="89"/>
      <c r="C29" s="89"/>
      <c r="D29" s="89"/>
      <c r="E29" s="89"/>
      <c r="F29" s="89"/>
      <c r="G29" s="258" t="s">
        <v>64</v>
      </c>
      <c r="H29" s="258"/>
      <c r="I29" s="85">
        <f>SUM(H24:H28)</f>
        <v>163735</v>
      </c>
    </row>
    <row r="30" spans="2:9" ht="12">
      <c r="B30" s="89"/>
      <c r="C30" s="89"/>
      <c r="D30" s="89"/>
      <c r="E30" s="89"/>
      <c r="F30" s="89"/>
      <c r="G30" s="99" t="s">
        <v>72</v>
      </c>
      <c r="H30" s="100">
        <v>0.05</v>
      </c>
      <c r="I30" s="120">
        <f>I29*H30</f>
        <v>8186.75</v>
      </c>
    </row>
    <row r="31" spans="2:9" ht="12">
      <c r="B31" s="89"/>
      <c r="C31" s="89"/>
      <c r="D31" s="89"/>
      <c r="E31" s="89"/>
      <c r="F31" s="89"/>
      <c r="G31" s="258" t="s">
        <v>73</v>
      </c>
      <c r="H31" s="258"/>
      <c r="I31" s="90">
        <f>SUM(I29:I30)</f>
        <v>171921.75</v>
      </c>
    </row>
    <row r="32" spans="2:9" ht="12">
      <c r="B32" s="78"/>
      <c r="C32" s="289" t="s">
        <v>74</v>
      </c>
      <c r="D32" s="289"/>
      <c r="E32" s="78"/>
      <c r="F32" s="78"/>
      <c r="G32" s="78"/>
      <c r="H32" s="78"/>
      <c r="I32" s="79"/>
    </row>
    <row r="33" spans="2:9" ht="12">
      <c r="B33" s="70" t="s">
        <v>42</v>
      </c>
      <c r="C33" s="70" t="s">
        <v>58</v>
      </c>
      <c r="D33" s="70" t="s">
        <v>342</v>
      </c>
      <c r="E33" s="70" t="s">
        <v>343</v>
      </c>
      <c r="F33" s="70" t="s">
        <v>344</v>
      </c>
      <c r="G33" s="70" t="s">
        <v>1278</v>
      </c>
      <c r="H33" s="74" t="s">
        <v>61</v>
      </c>
      <c r="I33" s="300"/>
    </row>
    <row r="34" spans="2:9" ht="12">
      <c r="B34" s="70" t="s">
        <v>274</v>
      </c>
      <c r="C34" s="70"/>
      <c r="D34" s="75" t="s">
        <v>346</v>
      </c>
      <c r="E34" s="70">
        <v>1</v>
      </c>
      <c r="F34" s="70">
        <v>19</v>
      </c>
      <c r="G34" s="102">
        <v>1600</v>
      </c>
      <c r="H34" s="103">
        <f>+G34*E34</f>
        <v>1600</v>
      </c>
      <c r="I34" s="301"/>
    </row>
    <row r="35" spans="2:9">
      <c r="B35" s="71"/>
      <c r="C35" s="71"/>
      <c r="D35" s="82"/>
      <c r="E35" s="71"/>
      <c r="F35" s="71"/>
      <c r="G35" s="86"/>
      <c r="H35" s="86"/>
      <c r="I35" s="301"/>
    </row>
    <row r="36" spans="2:9" ht="12">
      <c r="B36" s="89"/>
      <c r="C36" s="89"/>
      <c r="D36" s="89"/>
      <c r="E36" s="89"/>
      <c r="F36" s="89"/>
      <c r="G36" s="302" t="s">
        <v>64</v>
      </c>
      <c r="H36" s="302"/>
      <c r="I36" s="104">
        <f>+H34</f>
        <v>1600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30" customHeight="1">
      <c r="B39" s="106" t="s">
        <v>371</v>
      </c>
      <c r="C39" s="106" t="str">
        <f>+VLOOKUP(B39,'MANO DE OBRA '!B23:G46,2,FALSE)</f>
        <v>Cuadrilla CC Acabados (1 oficial + 1 ayudante)</v>
      </c>
      <c r="D39" s="106">
        <v>1</v>
      </c>
      <c r="E39" s="106" t="str">
        <f>+VLOOKUP(B39,'MANO DE OBRA '!B23:G46,4,FALSE)</f>
        <v>Hora</v>
      </c>
      <c r="F39" s="86">
        <f>+VLOOKUP(B39,'MANO DE OBRA '!B23:G46,3,FALSE)</f>
        <v>55703.125</v>
      </c>
      <c r="G39" s="121">
        <v>0.75</v>
      </c>
      <c r="H39" s="94">
        <f>F39*G39*D39</f>
        <v>41777.34375</v>
      </c>
      <c r="I39" s="294"/>
    </row>
    <row r="40" spans="2:9">
      <c r="B40" s="106"/>
      <c r="C40" s="106"/>
      <c r="D40" s="106"/>
      <c r="E40" s="106"/>
      <c r="F40" s="86"/>
      <c r="G40" s="121"/>
      <c r="H40" s="94"/>
      <c r="I40" s="294"/>
    </row>
    <row r="41" spans="2:9" ht="12">
      <c r="B41" s="108"/>
      <c r="C41" s="109"/>
      <c r="D41" s="109"/>
      <c r="E41" s="109"/>
      <c r="F41" s="110"/>
      <c r="G41" s="110"/>
      <c r="H41" s="111" t="s">
        <v>64</v>
      </c>
      <c r="I41" s="112">
        <f>SUM(H39:H40)</f>
        <v>41777.34375</v>
      </c>
    </row>
    <row r="42" spans="2:9" ht="12">
      <c r="B42" s="295" t="s">
        <v>83</v>
      </c>
      <c r="C42" s="296"/>
      <c r="D42" s="297" t="s">
        <v>77</v>
      </c>
      <c r="E42" s="298"/>
      <c r="F42" s="298"/>
      <c r="G42" s="298"/>
      <c r="H42" s="299"/>
      <c r="I42" s="113">
        <f>SUM(I21+I36+I31+I41)</f>
        <v>217651.89374999999</v>
      </c>
    </row>
  </sheetData>
  <mergeCells count="40">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3:D23"/>
    <mergeCell ref="I23:I28"/>
    <mergeCell ref="C28:D28"/>
    <mergeCell ref="C25:D25"/>
    <mergeCell ref="C24:D24"/>
    <mergeCell ref="C26:D26"/>
    <mergeCell ref="C27:D27"/>
    <mergeCell ref="C17:D17"/>
    <mergeCell ref="I17:I20"/>
    <mergeCell ref="C18:D18"/>
    <mergeCell ref="C20:D20"/>
    <mergeCell ref="C22:D22"/>
    <mergeCell ref="I38:I40"/>
    <mergeCell ref="B42:C42"/>
    <mergeCell ref="D42:H42"/>
    <mergeCell ref="G29:H29"/>
    <mergeCell ref="G31:H31"/>
    <mergeCell ref="C32:D32"/>
    <mergeCell ref="I33:I35"/>
    <mergeCell ref="G36:H36"/>
    <mergeCell ref="C37:D37"/>
  </mergeCell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FAC2-D453-4784-8F37-267B4A74A105}">
  <sheetPr codeName="Hoja105"/>
  <dimension ref="B3:I37"/>
  <sheetViews>
    <sheetView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3.75" customHeight="1">
      <c r="B13" s="17">
        <v>13.11</v>
      </c>
      <c r="C13" s="283" t="s">
        <v>1981</v>
      </c>
      <c r="D13" s="284"/>
      <c r="E13" s="284"/>
      <c r="F13" s="285"/>
      <c r="G13" s="286" t="s">
        <v>2</v>
      </c>
      <c r="H13" s="286"/>
      <c r="I13" s="114">
        <v>2.34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ht="12">
      <c r="B23" s="70" t="s">
        <v>1651</v>
      </c>
      <c r="C23" s="283" t="str">
        <f>VLOOKUP(B23,'INSUMOS '!C1:G1048573,2,FALSE)</f>
        <v xml:space="preserve">Suministro e instalacion de divisiones metalicas para sanitarios </v>
      </c>
      <c r="D23" s="285"/>
      <c r="E23" s="70" t="str">
        <f>VLOOKUP(B23,'INSUMOS '!C1:G1048573,3,FALSE)</f>
        <v xml:space="preserve">und </v>
      </c>
      <c r="F23" s="80">
        <f>VLOOKUP(B23,'INSUMOS '!C1:G1048573,4,FALSE)</f>
        <v>700000</v>
      </c>
      <c r="G23" s="70">
        <v>1</v>
      </c>
      <c r="H23" s="123">
        <f>+G23*F23</f>
        <v>700000</v>
      </c>
      <c r="I23" s="287"/>
    </row>
    <row r="24" spans="2:9" ht="12">
      <c r="B24" s="89"/>
      <c r="C24" s="89"/>
      <c r="D24" s="89"/>
      <c r="E24" s="89"/>
      <c r="F24" s="89"/>
      <c r="G24" s="258" t="s">
        <v>64</v>
      </c>
      <c r="H24" s="258"/>
      <c r="I24" s="85">
        <f>SUM(H23:H23)</f>
        <v>700000</v>
      </c>
    </row>
    <row r="25" spans="2:9" ht="12">
      <c r="B25" s="89"/>
      <c r="C25" s="89"/>
      <c r="D25" s="89"/>
      <c r="E25" s="89"/>
      <c r="F25" s="89"/>
      <c r="G25" s="99" t="s">
        <v>72</v>
      </c>
      <c r="H25" s="100">
        <v>0.05</v>
      </c>
      <c r="I25" s="120">
        <f>I24*H25</f>
        <v>35000</v>
      </c>
    </row>
    <row r="26" spans="2:9" ht="12">
      <c r="B26" s="89"/>
      <c r="C26" s="89"/>
      <c r="D26" s="89"/>
      <c r="E26" s="89"/>
      <c r="F26" s="89"/>
      <c r="G26" s="258" t="s">
        <v>73</v>
      </c>
      <c r="H26" s="258"/>
      <c r="I26" s="90">
        <f>SUM(I24:I25)</f>
        <v>735000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346</v>
      </c>
      <c r="E29" s="70">
        <v>0.02</v>
      </c>
      <c r="F29" s="70">
        <v>19</v>
      </c>
      <c r="G29" s="102">
        <v>1000</v>
      </c>
      <c r="H29" s="103">
        <f>+G29*E29</f>
        <v>20</v>
      </c>
      <c r="I29" s="301"/>
    </row>
    <row r="30" spans="2:9">
      <c r="B30" s="71"/>
      <c r="C30" s="71"/>
      <c r="D30" s="82"/>
      <c r="E30" s="71"/>
      <c r="F30" s="71"/>
      <c r="G30" s="86"/>
      <c r="H30" s="86"/>
      <c r="I30" s="301"/>
    </row>
    <row r="31" spans="2:9" ht="12">
      <c r="B31" s="89"/>
      <c r="C31" s="89"/>
      <c r="D31" s="89"/>
      <c r="E31" s="89"/>
      <c r="F31" s="89"/>
      <c r="G31" s="302" t="s">
        <v>64</v>
      </c>
      <c r="H31" s="302"/>
      <c r="I31" s="104">
        <f>+H29</f>
        <v>20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c r="C34" s="106"/>
      <c r="D34" s="106"/>
      <c r="E34" s="106"/>
      <c r="F34" s="86"/>
      <c r="G34" s="121"/>
      <c r="H34" s="94"/>
      <c r="I34" s="294"/>
    </row>
    <row r="35" spans="2:9">
      <c r="B35" s="106"/>
      <c r="C35" s="106"/>
      <c r="D35" s="106"/>
      <c r="E35" s="106"/>
      <c r="F35" s="86"/>
      <c r="G35" s="121"/>
      <c r="H35" s="94"/>
      <c r="I35" s="294"/>
    </row>
    <row r="36" spans="2:9" ht="12">
      <c r="B36" s="108"/>
      <c r="C36" s="109"/>
      <c r="D36" s="109"/>
      <c r="E36" s="109"/>
      <c r="F36" s="110"/>
      <c r="G36" s="110"/>
      <c r="H36" s="111" t="s">
        <v>64</v>
      </c>
      <c r="I36" s="112">
        <f>SUM(H34:H35)</f>
        <v>0</v>
      </c>
    </row>
    <row r="37" spans="2:9" ht="12">
      <c r="B37" s="295" t="s">
        <v>83</v>
      </c>
      <c r="C37" s="296"/>
      <c r="D37" s="297" t="s">
        <v>77</v>
      </c>
      <c r="E37" s="298"/>
      <c r="F37" s="298"/>
      <c r="G37" s="298"/>
      <c r="H37" s="299"/>
      <c r="I37" s="113">
        <f>SUM(I20+I31+I26+I36)</f>
        <v>737372.8</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28:I30"/>
    <mergeCell ref="C17:D17"/>
    <mergeCell ref="I17:I19"/>
    <mergeCell ref="C18:D18"/>
    <mergeCell ref="C19:D19"/>
    <mergeCell ref="C21:D21"/>
    <mergeCell ref="C22:D22"/>
    <mergeCell ref="I22:I23"/>
    <mergeCell ref="C23:D23"/>
    <mergeCell ref="G24:H24"/>
    <mergeCell ref="G26:H26"/>
    <mergeCell ref="C27:D27"/>
    <mergeCell ref="G31:H31"/>
    <mergeCell ref="C32:D32"/>
    <mergeCell ref="I33:I35"/>
    <mergeCell ref="B37:C37"/>
    <mergeCell ref="D37:H37"/>
  </mergeCell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B8E7-1075-4046-A64F-AB9CCBF85860}">
  <sheetPr codeName="Hoja106"/>
  <dimension ref="B3:I37"/>
  <sheetViews>
    <sheetView topLeftCell="A13" zoomScale="89" zoomScaleNormal="89" workbookViewId="0">
      <selection activeCell="L25" sqref="L2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1.75" customHeight="1">
      <c r="B13" s="17">
        <v>13.12</v>
      </c>
      <c r="C13" s="283" t="s">
        <v>1982</v>
      </c>
      <c r="D13" s="284"/>
      <c r="E13" s="284"/>
      <c r="F13" s="285"/>
      <c r="G13" s="286" t="s">
        <v>2</v>
      </c>
      <c r="H13" s="286"/>
      <c r="I13" s="114">
        <v>0.42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ht="12">
      <c r="B23" s="70" t="s">
        <v>1653</v>
      </c>
      <c r="C23" s="283" t="str">
        <f>VLOOKUP(B23,'INSUMOS '!C1:G1048573,2,FALSE)</f>
        <v>SUMINISTRO E INSTALACION DE DIVISIONES METALICAS PARA ORINALES</v>
      </c>
      <c r="D23" s="285"/>
      <c r="E23" s="70" t="str">
        <f>VLOOKUP(B23,'INSUMOS '!C1:G1048573,3,FALSE)</f>
        <v xml:space="preserve">und </v>
      </c>
      <c r="F23" s="80">
        <f>VLOOKUP(B23,'INSUMOS '!C1:G1048573,4,FALSE)</f>
        <v>800000</v>
      </c>
      <c r="G23" s="70">
        <v>1</v>
      </c>
      <c r="H23" s="123">
        <f>+G23*F23</f>
        <v>800000</v>
      </c>
      <c r="I23" s="287"/>
    </row>
    <row r="24" spans="2:9" ht="12">
      <c r="B24" s="89"/>
      <c r="C24" s="89"/>
      <c r="D24" s="89"/>
      <c r="E24" s="89"/>
      <c r="F24" s="89"/>
      <c r="G24" s="258" t="s">
        <v>64</v>
      </c>
      <c r="H24" s="258"/>
      <c r="I24" s="85">
        <f>SUM(H23:H23)</f>
        <v>800000</v>
      </c>
    </row>
    <row r="25" spans="2:9" ht="12">
      <c r="B25" s="89"/>
      <c r="C25" s="89"/>
      <c r="D25" s="89"/>
      <c r="E25" s="89"/>
      <c r="F25" s="89"/>
      <c r="G25" s="99" t="s">
        <v>72</v>
      </c>
      <c r="H25" s="100">
        <v>0.05</v>
      </c>
      <c r="I25" s="120">
        <f>I24*H25</f>
        <v>40000</v>
      </c>
    </row>
    <row r="26" spans="2:9" ht="12">
      <c r="B26" s="89"/>
      <c r="C26" s="89"/>
      <c r="D26" s="89"/>
      <c r="E26" s="89"/>
      <c r="F26" s="89"/>
      <c r="G26" s="258" t="s">
        <v>73</v>
      </c>
      <c r="H26" s="258"/>
      <c r="I26" s="90">
        <f>SUM(I24:I25)</f>
        <v>840000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346</v>
      </c>
      <c r="E29" s="70">
        <v>0.02</v>
      </c>
      <c r="F29" s="70">
        <v>19</v>
      </c>
      <c r="G29" s="102">
        <v>1000</v>
      </c>
      <c r="H29" s="103">
        <f>+G29*E29</f>
        <v>20</v>
      </c>
      <c r="I29" s="301"/>
    </row>
    <row r="30" spans="2:9">
      <c r="B30" s="71"/>
      <c r="C30" s="71"/>
      <c r="D30" s="82"/>
      <c r="E30" s="71"/>
      <c r="F30" s="71"/>
      <c r="G30" s="86"/>
      <c r="H30" s="86"/>
      <c r="I30" s="301"/>
    </row>
    <row r="31" spans="2:9" ht="12">
      <c r="B31" s="89"/>
      <c r="C31" s="89"/>
      <c r="D31" s="89"/>
      <c r="E31" s="89"/>
      <c r="F31" s="89"/>
      <c r="G31" s="302" t="s">
        <v>64</v>
      </c>
      <c r="H31" s="302"/>
      <c r="I31" s="104">
        <f>+H29</f>
        <v>20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c r="C34" s="106"/>
      <c r="D34" s="106"/>
      <c r="E34" s="106"/>
      <c r="F34" s="86"/>
      <c r="G34" s="121"/>
      <c r="H34" s="94"/>
      <c r="I34" s="294"/>
    </row>
    <row r="35" spans="2:9">
      <c r="B35" s="106"/>
      <c r="C35" s="106"/>
      <c r="D35" s="106"/>
      <c r="E35" s="106"/>
      <c r="F35" s="86"/>
      <c r="G35" s="121"/>
      <c r="H35" s="94"/>
      <c r="I35" s="294"/>
    </row>
    <row r="36" spans="2:9" ht="12">
      <c r="B36" s="108"/>
      <c r="C36" s="109"/>
      <c r="D36" s="109"/>
      <c r="E36" s="109"/>
      <c r="F36" s="110"/>
      <c r="G36" s="110"/>
      <c r="H36" s="111" t="s">
        <v>64</v>
      </c>
      <c r="I36" s="112">
        <f>SUM(H34:H35)</f>
        <v>0</v>
      </c>
    </row>
    <row r="37" spans="2:9" ht="12">
      <c r="B37" s="295" t="s">
        <v>83</v>
      </c>
      <c r="C37" s="296"/>
      <c r="D37" s="297" t="s">
        <v>77</v>
      </c>
      <c r="E37" s="298"/>
      <c r="F37" s="298"/>
      <c r="G37" s="298"/>
      <c r="H37" s="299"/>
      <c r="I37" s="113">
        <f>SUM(I20+I31+I26+I36)</f>
        <v>842372.8</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28:I30"/>
    <mergeCell ref="C17:D17"/>
    <mergeCell ref="I17:I19"/>
    <mergeCell ref="C18:D18"/>
    <mergeCell ref="C19:D19"/>
    <mergeCell ref="C21:D21"/>
    <mergeCell ref="C22:D22"/>
    <mergeCell ref="I22:I23"/>
    <mergeCell ref="C23:D23"/>
    <mergeCell ref="G24:H24"/>
    <mergeCell ref="G26:H26"/>
    <mergeCell ref="C27:D27"/>
    <mergeCell ref="G31:H31"/>
    <mergeCell ref="C32:D32"/>
    <mergeCell ref="I33:I35"/>
    <mergeCell ref="B37:C37"/>
    <mergeCell ref="D37:H37"/>
  </mergeCell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917D-62EF-459E-BC37-4655094FF6F6}">
  <sheetPr codeName="Hoja107"/>
  <dimension ref="B3:I38"/>
  <sheetViews>
    <sheetView zoomScale="89" zoomScaleNormal="89" workbookViewId="0">
      <selection activeCell="M25" sqref="M2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5.75" customHeight="1">
      <c r="B13" s="17">
        <v>13.13</v>
      </c>
      <c r="C13" s="283" t="s">
        <v>1983</v>
      </c>
      <c r="D13" s="284"/>
      <c r="E13" s="284"/>
      <c r="F13" s="285"/>
      <c r="G13" s="286" t="s">
        <v>170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0.4</v>
      </c>
      <c r="H18" s="85">
        <f>F18*G18</f>
        <v>4285.6000000000004</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4495.6000000000004</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ht="12">
      <c r="B23" s="70" t="s">
        <v>1655</v>
      </c>
      <c r="C23" s="283" t="str">
        <f>VLOOKUP(B23,'INSUMOS '!C1:G1048573,2,FALSE)</f>
        <v>SUMINISTRO E INSTALACION DE GRIFERIA DE MESON CUELLO BAJO</v>
      </c>
      <c r="D23" s="285"/>
      <c r="E23" s="70" t="str">
        <f>VLOOKUP(B23,'INSUMOS '!C1:G1048573,3,FALSE)</f>
        <v xml:space="preserve">und </v>
      </c>
      <c r="F23" s="80">
        <f>VLOOKUP(B23,'INSUMOS '!C1:G1048573,4,FALSE)</f>
        <v>580000</v>
      </c>
      <c r="G23" s="70">
        <v>0.3</v>
      </c>
      <c r="H23" s="123">
        <f>+G23*F23</f>
        <v>174000</v>
      </c>
      <c r="I23" s="287"/>
    </row>
    <row r="24" spans="2:9" ht="12">
      <c r="B24" s="70" t="s">
        <v>1614</v>
      </c>
      <c r="C24" s="283" t="str">
        <f>VLOOKUP(B24,'INSUMOS '!C1:G1048573,2,FALSE)</f>
        <v xml:space="preserve">Silicona antihongos </v>
      </c>
      <c r="D24" s="285"/>
      <c r="E24" s="70" t="str">
        <f>VLOOKUP(B24,'INSUMOS '!C1:G1048573,3,FALSE)</f>
        <v xml:space="preserve">UND </v>
      </c>
      <c r="F24" s="80">
        <f>VLOOKUP(B24,'INSUMOS '!C1:G1048573,4,FALSE)</f>
        <v>30000</v>
      </c>
      <c r="G24" s="70">
        <v>0.1</v>
      </c>
      <c r="H24" s="123">
        <f>+G24*F24</f>
        <v>3000</v>
      </c>
      <c r="I24" s="287"/>
    </row>
    <row r="25" spans="2:9" ht="12">
      <c r="B25" s="89"/>
      <c r="C25" s="89"/>
      <c r="D25" s="89"/>
      <c r="E25" s="89"/>
      <c r="F25" s="89"/>
      <c r="G25" s="258" t="s">
        <v>64</v>
      </c>
      <c r="H25" s="258"/>
      <c r="I25" s="85">
        <f>SUM(H23:H24)</f>
        <v>177000</v>
      </c>
    </row>
    <row r="26" spans="2:9" ht="12">
      <c r="B26" s="89"/>
      <c r="C26" s="89"/>
      <c r="D26" s="89"/>
      <c r="E26" s="89"/>
      <c r="F26" s="89"/>
      <c r="G26" s="99" t="s">
        <v>72</v>
      </c>
      <c r="H26" s="100">
        <v>0.05</v>
      </c>
      <c r="I26" s="120">
        <f>I25*H26</f>
        <v>8850</v>
      </c>
    </row>
    <row r="27" spans="2:9" ht="12">
      <c r="B27" s="89"/>
      <c r="C27" s="89"/>
      <c r="D27" s="89"/>
      <c r="E27" s="89"/>
      <c r="F27" s="89"/>
      <c r="G27" s="258" t="s">
        <v>73</v>
      </c>
      <c r="H27" s="258"/>
      <c r="I27" s="90">
        <f>SUM(I25:I26)</f>
        <v>185850</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t="s">
        <v>274</v>
      </c>
      <c r="C30" s="70" t="str">
        <f>VLOOKUP(B30,'MAQUINARIA Y EQUIPOS  '!C12:F100,2,FALSE)</f>
        <v>CAMIONETA D300</v>
      </c>
      <c r="D30" s="75" t="s">
        <v>346</v>
      </c>
      <c r="E30" s="70">
        <v>0.02</v>
      </c>
      <c r="F30" s="70">
        <v>19</v>
      </c>
      <c r="G30" s="102">
        <v>1000</v>
      </c>
      <c r="H30" s="103">
        <f>+G30*E30</f>
        <v>20</v>
      </c>
      <c r="I30" s="301"/>
    </row>
    <row r="31" spans="2:9">
      <c r="B31" s="71"/>
      <c r="C31" s="71"/>
      <c r="D31" s="82"/>
      <c r="E31" s="71"/>
      <c r="F31" s="71"/>
      <c r="G31" s="86"/>
      <c r="H31" s="86"/>
      <c r="I31" s="301"/>
    </row>
    <row r="32" spans="2:9" ht="12">
      <c r="B32" s="89"/>
      <c r="C32" s="89"/>
      <c r="D32" s="89"/>
      <c r="E32" s="89"/>
      <c r="F32" s="89"/>
      <c r="G32" s="302" t="s">
        <v>64</v>
      </c>
      <c r="H32" s="302"/>
      <c r="I32" s="104">
        <f>+H30</f>
        <v>20</v>
      </c>
    </row>
    <row r="33" spans="2:9" ht="12">
      <c r="B33" s="78"/>
      <c r="C33" s="289" t="s">
        <v>75</v>
      </c>
      <c r="D33" s="289"/>
      <c r="E33" s="78"/>
      <c r="F33" s="78"/>
      <c r="G33" s="78"/>
      <c r="H33" s="78"/>
      <c r="I33" s="79"/>
    </row>
    <row r="34" spans="2:9" ht="12">
      <c r="B34" s="105" t="s">
        <v>42</v>
      </c>
      <c r="C34" s="105" t="s">
        <v>76</v>
      </c>
      <c r="D34" s="105" t="s">
        <v>1225</v>
      </c>
      <c r="E34" s="105" t="s">
        <v>1</v>
      </c>
      <c r="F34" s="105" t="s">
        <v>77</v>
      </c>
      <c r="G34" s="105" t="s">
        <v>78</v>
      </c>
      <c r="H34" s="105" t="s">
        <v>79</v>
      </c>
      <c r="I34" s="294"/>
    </row>
    <row r="35" spans="2:9" ht="30" customHeight="1">
      <c r="B35" s="106" t="s">
        <v>371</v>
      </c>
      <c r="C35" s="106" t="str">
        <f>+VLOOKUP(B35,'MANO DE OBRA '!B23:G46,2,FALSE)</f>
        <v>Cuadrilla CC Acabados (1 oficial + 1 ayudante)</v>
      </c>
      <c r="D35" s="106">
        <v>1</v>
      </c>
      <c r="E35" s="106" t="str">
        <f>+VLOOKUP(B35,'MANO DE OBRA '!B23:G46,4,FALSE)</f>
        <v>Hora</v>
      </c>
      <c r="F35" s="86">
        <f>+VLOOKUP(B35,'MANO DE OBRA '!B23:G46,3,FALSE)</f>
        <v>55703.125</v>
      </c>
      <c r="G35" s="121">
        <v>2</v>
      </c>
      <c r="H35" s="94">
        <f>F35*G35*D35</f>
        <v>111406.25</v>
      </c>
      <c r="I35" s="294"/>
    </row>
    <row r="36" spans="2:9">
      <c r="B36" s="106"/>
      <c r="C36" s="106"/>
      <c r="D36" s="106"/>
      <c r="E36" s="106"/>
      <c r="F36" s="86"/>
      <c r="G36" s="121"/>
      <c r="H36" s="94"/>
      <c r="I36" s="294"/>
    </row>
    <row r="37" spans="2:9" ht="12">
      <c r="B37" s="108"/>
      <c r="C37" s="109"/>
      <c r="D37" s="109"/>
      <c r="E37" s="109"/>
      <c r="F37" s="110"/>
      <c r="G37" s="110"/>
      <c r="H37" s="111" t="s">
        <v>64</v>
      </c>
      <c r="I37" s="112">
        <f>SUM(H35:H36)</f>
        <v>111406.25</v>
      </c>
    </row>
    <row r="38" spans="2:9" ht="12">
      <c r="B38" s="295" t="s">
        <v>83</v>
      </c>
      <c r="C38" s="296"/>
      <c r="D38" s="297" t="s">
        <v>77</v>
      </c>
      <c r="E38" s="298"/>
      <c r="F38" s="298"/>
      <c r="G38" s="298"/>
      <c r="H38" s="299"/>
      <c r="I38" s="113">
        <f>SUM(I20+I32+I27+I37)</f>
        <v>301771.84999999998</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29:I31"/>
    <mergeCell ref="C17:D17"/>
    <mergeCell ref="I17:I19"/>
    <mergeCell ref="C18:D18"/>
    <mergeCell ref="C19:D19"/>
    <mergeCell ref="C21:D21"/>
    <mergeCell ref="C22:D22"/>
    <mergeCell ref="I22:I24"/>
    <mergeCell ref="C23:D23"/>
    <mergeCell ref="C24:D24"/>
    <mergeCell ref="G25:H25"/>
    <mergeCell ref="G27:H27"/>
    <mergeCell ref="C28:D28"/>
    <mergeCell ref="G32:H32"/>
    <mergeCell ref="C33:D33"/>
    <mergeCell ref="I34:I36"/>
    <mergeCell ref="B38:C38"/>
    <mergeCell ref="D38:H38"/>
  </mergeCell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B41E-9910-4909-A038-FB71566F90F3}">
  <sheetPr codeName="Hoja108"/>
  <dimension ref="B3:I39"/>
  <sheetViews>
    <sheetView topLeftCell="A13" zoomScale="89" zoomScaleNormal="89" workbookViewId="0">
      <selection activeCell="L14" sqref="L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9.75" customHeight="1">
      <c r="B13" s="17">
        <v>13.14</v>
      </c>
      <c r="C13" s="283" t="s">
        <v>1984</v>
      </c>
      <c r="D13" s="284"/>
      <c r="E13" s="284"/>
      <c r="F13" s="285"/>
      <c r="G13" s="286" t="s">
        <v>170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ht="12">
      <c r="B23" s="70" t="s">
        <v>1658</v>
      </c>
      <c r="C23" s="283" t="str">
        <f>VLOOKUP(B23,'INSUMOS '!C1:G1048573,2,FALSE)</f>
        <v>Desagüe push tipo hongo en acero inoxidable</v>
      </c>
      <c r="D23" s="285"/>
      <c r="E23" s="70" t="str">
        <f>VLOOKUP(B23,'INSUMOS '!C1:G1048573,3,FALSE)</f>
        <v xml:space="preserve">UND </v>
      </c>
      <c r="F23" s="80">
        <f>VLOOKUP(B23,'INSUMOS '!C1:G1048573,4,FALSE)</f>
        <v>60000</v>
      </c>
      <c r="G23" s="70">
        <v>1</v>
      </c>
      <c r="H23" s="123">
        <f>+G23*F23</f>
        <v>60000</v>
      </c>
      <c r="I23" s="287"/>
    </row>
    <row r="24" spans="2:9" ht="12">
      <c r="B24" s="70" t="s">
        <v>1660</v>
      </c>
      <c r="C24" s="283" t="str">
        <f>VLOOKUP(B24,'INSUMOS '!C1:G1048573,2,FALSE)</f>
        <v>Sifón flexible metalizado en PVC para lavamanos</v>
      </c>
      <c r="D24" s="285"/>
      <c r="E24" s="70" t="str">
        <f>VLOOKUP(B24,'INSUMOS '!C1:G1048573,3,FALSE)</f>
        <v xml:space="preserve">UND </v>
      </c>
      <c r="F24" s="80">
        <f>VLOOKUP(B24,'INSUMOS '!C1:G1048573,4,FALSE)</f>
        <v>58000</v>
      </c>
      <c r="G24" s="70">
        <v>1</v>
      </c>
      <c r="H24" s="123">
        <f>+G24*F24</f>
        <v>58000</v>
      </c>
      <c r="I24" s="287"/>
    </row>
    <row r="25" spans="2:9" ht="12">
      <c r="B25" s="70" t="s">
        <v>97</v>
      </c>
      <c r="C25" s="283" t="str">
        <f>VLOOKUP(B25,'INSUMOS '!C2:G1048574,2,FALSE)</f>
        <v>CINTA TEFLON</v>
      </c>
      <c r="D25" s="285"/>
      <c r="E25" s="70" t="str">
        <f>VLOOKUP(B25,'INSUMOS '!C2:G1048574,3,FALSE)</f>
        <v>ROLLO</v>
      </c>
      <c r="F25" s="80">
        <f>VLOOKUP(B25,'INSUMOS '!C2:G1048574,4,FALSE)</f>
        <v>1120</v>
      </c>
      <c r="G25" s="70">
        <v>0.2</v>
      </c>
      <c r="H25" s="123">
        <f>+G25*F25</f>
        <v>224</v>
      </c>
      <c r="I25" s="287"/>
    </row>
    <row r="26" spans="2:9" ht="12">
      <c r="B26" s="89"/>
      <c r="C26" s="89"/>
      <c r="D26" s="89"/>
      <c r="E26" s="89"/>
      <c r="F26" s="89"/>
      <c r="G26" s="258" t="s">
        <v>64</v>
      </c>
      <c r="H26" s="258"/>
      <c r="I26" s="85">
        <f>SUM(H23:H25)</f>
        <v>118224</v>
      </c>
    </row>
    <row r="27" spans="2:9" ht="12">
      <c r="B27" s="89"/>
      <c r="C27" s="89"/>
      <c r="D27" s="89"/>
      <c r="E27" s="89"/>
      <c r="F27" s="89"/>
      <c r="G27" s="99" t="s">
        <v>72</v>
      </c>
      <c r="H27" s="100">
        <v>0.05</v>
      </c>
      <c r="I27" s="120">
        <f>I26*H27</f>
        <v>5911.2000000000007</v>
      </c>
    </row>
    <row r="28" spans="2:9" ht="12">
      <c r="B28" s="89"/>
      <c r="C28" s="89"/>
      <c r="D28" s="89"/>
      <c r="E28" s="89"/>
      <c r="F28" s="89"/>
      <c r="G28" s="258" t="s">
        <v>73</v>
      </c>
      <c r="H28" s="258"/>
      <c r="I28" s="90">
        <f>SUM(I26:I27)</f>
        <v>124135.2</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t="s">
        <v>274</v>
      </c>
      <c r="C31" s="70" t="str">
        <f>VLOOKUP(B31,'MAQUINARIA Y EQUIPOS  '!C12:F100,2,FALSE)</f>
        <v>CAMIONETA D300</v>
      </c>
      <c r="D31" s="75" t="s">
        <v>346</v>
      </c>
      <c r="E31" s="70">
        <v>0.02</v>
      </c>
      <c r="F31" s="70">
        <v>19</v>
      </c>
      <c r="G31" s="102">
        <v>1000</v>
      </c>
      <c r="H31" s="103">
        <f>+G31*E31</f>
        <v>20</v>
      </c>
      <c r="I31" s="301"/>
    </row>
    <row r="32" spans="2:9">
      <c r="B32" s="71"/>
      <c r="C32" s="71"/>
      <c r="D32" s="82"/>
      <c r="E32" s="71"/>
      <c r="F32" s="71"/>
      <c r="G32" s="86"/>
      <c r="H32" s="86"/>
      <c r="I32" s="301"/>
    </row>
    <row r="33" spans="2:9" ht="12">
      <c r="B33" s="89"/>
      <c r="C33" s="89"/>
      <c r="D33" s="89"/>
      <c r="E33" s="89"/>
      <c r="F33" s="89"/>
      <c r="G33" s="302" t="s">
        <v>64</v>
      </c>
      <c r="H33" s="302"/>
      <c r="I33" s="104">
        <f>+H31</f>
        <v>20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'!B23:G46,2,FALSE)</f>
        <v xml:space="preserve"> Cuadrilla de construccion 2 (1 oficial+ 2 ayudante)</v>
      </c>
      <c r="D36" s="106">
        <v>1</v>
      </c>
      <c r="E36" s="106" t="str">
        <f>+VLOOKUP(B36,'MANO DE OBRA '!B23:G46,4,FALSE)</f>
        <v>Hora</v>
      </c>
      <c r="F36" s="86">
        <f>+VLOOKUP(B36,'MANO DE OBRA '!B23:G46,3,FALSE)</f>
        <v>66187.5</v>
      </c>
      <c r="G36" s="121">
        <v>1</v>
      </c>
      <c r="H36" s="94">
        <f>F36*G36*D36</f>
        <v>66187.5</v>
      </c>
      <c r="I36" s="294"/>
    </row>
    <row r="37" spans="2:9">
      <c r="B37" s="106"/>
      <c r="C37" s="106"/>
      <c r="D37" s="106"/>
      <c r="E37" s="106"/>
      <c r="F37" s="86"/>
      <c r="G37" s="121"/>
      <c r="H37" s="94"/>
      <c r="I37" s="294"/>
    </row>
    <row r="38" spans="2:9" ht="12">
      <c r="B38" s="108"/>
      <c r="C38" s="109"/>
      <c r="D38" s="109"/>
      <c r="E38" s="109"/>
      <c r="F38" s="110"/>
      <c r="G38" s="110"/>
      <c r="H38" s="111" t="s">
        <v>64</v>
      </c>
      <c r="I38" s="112">
        <f>SUM(H36:H37)</f>
        <v>66187.5</v>
      </c>
    </row>
    <row r="39" spans="2:9" ht="12">
      <c r="B39" s="295" t="s">
        <v>83</v>
      </c>
      <c r="C39" s="296"/>
      <c r="D39" s="297" t="s">
        <v>77</v>
      </c>
      <c r="E39" s="298"/>
      <c r="F39" s="298"/>
      <c r="G39" s="298"/>
      <c r="H39" s="299"/>
      <c r="I39" s="113">
        <f>SUM(I20+I33+I28+I38)</f>
        <v>192695.5</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30:I32"/>
    <mergeCell ref="C17:D17"/>
    <mergeCell ref="I17:I19"/>
    <mergeCell ref="C18:D18"/>
    <mergeCell ref="C19:D19"/>
    <mergeCell ref="C21:D21"/>
    <mergeCell ref="C22:D22"/>
    <mergeCell ref="I22:I25"/>
    <mergeCell ref="C23:D23"/>
    <mergeCell ref="C24:D24"/>
    <mergeCell ref="C25:D25"/>
    <mergeCell ref="G26:H26"/>
    <mergeCell ref="G28:H28"/>
    <mergeCell ref="C29:D29"/>
    <mergeCell ref="G33:H33"/>
    <mergeCell ref="C34:D34"/>
    <mergeCell ref="I35:I37"/>
    <mergeCell ref="B39:C39"/>
    <mergeCell ref="D39:H39"/>
  </mergeCell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9E20-6538-40D5-B11A-CC6A35BD7C1B}">
  <sheetPr codeName="Hoja109"/>
  <dimension ref="B3:I41"/>
  <sheetViews>
    <sheetView topLeftCell="A19" zoomScale="89" zoomScaleNormal="89" workbookViewId="0">
      <selection activeCell="L5" sqref="L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13.15</v>
      </c>
      <c r="C13" s="283" t="s">
        <v>1985</v>
      </c>
      <c r="D13" s="284"/>
      <c r="E13" s="284"/>
      <c r="F13" s="285"/>
      <c r="G13" s="286" t="s">
        <v>2</v>
      </c>
      <c r="H13" s="286"/>
      <c r="I13" s="234">
        <v>2.2320000000000002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c r="C19" s="81"/>
      <c r="D19" s="82"/>
      <c r="E19" s="71"/>
      <c r="F19" s="83"/>
      <c r="G19" s="84"/>
      <c r="H19" s="85"/>
      <c r="I19" s="287"/>
    </row>
    <row r="20" spans="2:9">
      <c r="B20" s="71" t="s">
        <v>1267</v>
      </c>
      <c r="C20" s="288" t="str">
        <f>VLOOKUP(B20,'MAQUINARIA Y EQUIPOS  '!C7:F95,2,FALSE)</f>
        <v xml:space="preserve">Pluma grua </v>
      </c>
      <c r="D20" s="265"/>
      <c r="E20" s="71" t="str">
        <f>VLOOKUP(B20,'MAQUINARIA Y EQUIPOS  '!C7:F95,3,FALSE)</f>
        <v>HH</v>
      </c>
      <c r="F20" s="83">
        <f>VLOOKUP(B20,'MAQUINARIA Y EQUIPOS  '!C7:F95,4,FALSE)</f>
        <v>10500</v>
      </c>
      <c r="G20" s="122">
        <v>0.02</v>
      </c>
      <c r="H20" s="85">
        <f>F20*G20</f>
        <v>210</v>
      </c>
      <c r="I20" s="287"/>
    </row>
    <row r="21" spans="2:9" ht="12">
      <c r="B21" s="89"/>
      <c r="C21" s="89"/>
      <c r="D21" s="89"/>
      <c r="E21" s="89"/>
      <c r="F21" s="89"/>
      <c r="G21" s="89"/>
      <c r="H21" s="89" t="s">
        <v>64</v>
      </c>
      <c r="I21" s="90">
        <f>SUM(H18:H20)</f>
        <v>2352.8000000000002</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1644</v>
      </c>
      <c r="C24" s="283" t="str">
        <f>VLOOKUP(B24,'INSUMOS '!C1:G1048573,2,FALSE)</f>
        <v>Lamina acero inox AISI 304</v>
      </c>
      <c r="D24" s="285"/>
      <c r="E24" s="70" t="str">
        <f>VLOOKUP(B24,'INSUMOS '!C1:G1048573,3,FALSE)</f>
        <v>UND</v>
      </c>
      <c r="F24" s="80">
        <f>VLOOKUP(B24,'INSUMOS '!C1:G1048573,4,FALSE)</f>
        <v>240000</v>
      </c>
      <c r="G24" s="70">
        <v>0.8</v>
      </c>
      <c r="H24" s="123">
        <f>+G24*F24</f>
        <v>192000</v>
      </c>
      <c r="I24" s="287"/>
    </row>
    <row r="25" spans="2:9" ht="12">
      <c r="B25" s="70" t="s">
        <v>1646</v>
      </c>
      <c r="C25" s="283" t="str">
        <f>VLOOKUP(B25,'INSUMOS '!C1:G1048573,2,FALSE)</f>
        <v>Poliuretano expandido de alta densidad</v>
      </c>
      <c r="D25" s="285"/>
      <c r="E25" s="70" t="str">
        <f>VLOOKUP(B25,'INSUMOS '!C1:G1048573,3,FALSE)</f>
        <v>m2</v>
      </c>
      <c r="F25" s="80">
        <f>VLOOKUP(B25,'INSUMOS '!C1:G1048573,4,FALSE)</f>
        <v>42000</v>
      </c>
      <c r="G25" s="70">
        <v>1</v>
      </c>
      <c r="H25" s="123">
        <f>+G25*F25</f>
        <v>42000</v>
      </c>
      <c r="I25" s="287"/>
    </row>
    <row r="26" spans="2:9" ht="12">
      <c r="B26" s="70" t="s">
        <v>1662</v>
      </c>
      <c r="C26" s="283" t="str">
        <f>VLOOKUP(B26,'INSUMOS '!C2:G1048574,2,FALSE)</f>
        <v>Bisagras de gravedad autocerrantes en acero inox AISI 304</v>
      </c>
      <c r="D26" s="285"/>
      <c r="E26" s="70" t="str">
        <f>VLOOKUP(B26,'INSUMOS '!C2:G1048574,3,FALSE)</f>
        <v xml:space="preserve">UND </v>
      </c>
      <c r="F26" s="80">
        <f>VLOOKUP(B26,'INSUMOS '!C2:G1048574,4,FALSE)</f>
        <v>25000</v>
      </c>
      <c r="G26" s="70">
        <v>2</v>
      </c>
      <c r="H26" s="123">
        <f>+G26*F26</f>
        <v>50000</v>
      </c>
      <c r="I26" s="287"/>
    </row>
    <row r="27" spans="2:9" ht="12">
      <c r="B27" s="70" t="s">
        <v>1666</v>
      </c>
      <c r="C27" s="283" t="str">
        <f>VLOOKUP(B27,'INSUMOS '!C3:G1048575,2,FALSE)</f>
        <v>Kit cerradura/pasador institucional con indicador libre/ocupado</v>
      </c>
      <c r="D27" s="285"/>
      <c r="E27" s="70" t="str">
        <f>VLOOKUP(B27,'INSUMOS '!C3:G1048575,3,FALSE)</f>
        <v>juego</v>
      </c>
      <c r="F27" s="80">
        <f>VLOOKUP(B27,'INSUMOS '!C3:G1048575,4,FALSE)</f>
        <v>50000</v>
      </c>
      <c r="G27" s="70">
        <v>1</v>
      </c>
      <c r="H27" s="123">
        <f>+G27*F27</f>
        <v>50000</v>
      </c>
      <c r="I27" s="287"/>
    </row>
    <row r="28" spans="2:9" ht="12">
      <c r="B28" s="89"/>
      <c r="C28" s="89"/>
      <c r="D28" s="89"/>
      <c r="E28" s="89"/>
      <c r="F28" s="89"/>
      <c r="G28" s="258" t="s">
        <v>64</v>
      </c>
      <c r="H28" s="258"/>
      <c r="I28" s="85">
        <f>SUM(H24:H27)</f>
        <v>334000</v>
      </c>
    </row>
    <row r="29" spans="2:9" ht="12">
      <c r="B29" s="89"/>
      <c r="C29" s="89"/>
      <c r="D29" s="89"/>
      <c r="E29" s="89"/>
      <c r="F29" s="89"/>
      <c r="G29" s="99" t="s">
        <v>72</v>
      </c>
      <c r="H29" s="100">
        <v>0.05</v>
      </c>
      <c r="I29" s="120">
        <f>I28*H29</f>
        <v>16700</v>
      </c>
    </row>
    <row r="30" spans="2:9" ht="12">
      <c r="B30" s="89"/>
      <c r="C30" s="89"/>
      <c r="D30" s="89"/>
      <c r="E30" s="89"/>
      <c r="F30" s="89"/>
      <c r="G30" s="258" t="s">
        <v>73</v>
      </c>
      <c r="H30" s="258"/>
      <c r="I30" s="90">
        <f>SUM(I28:I29)</f>
        <v>350700</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1278</v>
      </c>
      <c r="H32" s="74" t="s">
        <v>61</v>
      </c>
      <c r="I32" s="300"/>
    </row>
    <row r="33" spans="2:9" ht="12">
      <c r="B33" s="70" t="s">
        <v>274</v>
      </c>
      <c r="C33" s="70" t="str">
        <f>VLOOKUP(B33,'MAQUINARIA Y EQUIPOS  '!C12:F100,2,FALSE)</f>
        <v>CAMIONETA D300</v>
      </c>
      <c r="D33" s="75" t="s">
        <v>346</v>
      </c>
      <c r="E33" s="70">
        <v>0.02</v>
      </c>
      <c r="F33" s="70">
        <v>19</v>
      </c>
      <c r="G33" s="102">
        <v>1000</v>
      </c>
      <c r="H33" s="103">
        <f>+G33*E33</f>
        <v>20</v>
      </c>
      <c r="I33" s="301"/>
    </row>
    <row r="34" spans="2:9">
      <c r="B34" s="71"/>
      <c r="C34" s="71"/>
      <c r="D34" s="82"/>
      <c r="E34" s="71"/>
      <c r="F34" s="71"/>
      <c r="G34" s="86"/>
      <c r="H34" s="86"/>
      <c r="I34" s="301"/>
    </row>
    <row r="35" spans="2:9" ht="12">
      <c r="B35" s="89"/>
      <c r="C35" s="89"/>
      <c r="D35" s="89"/>
      <c r="E35" s="89"/>
      <c r="F35" s="89"/>
      <c r="G35" s="302" t="s">
        <v>64</v>
      </c>
      <c r="H35" s="302"/>
      <c r="I35" s="104">
        <f>+H33</f>
        <v>20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371</v>
      </c>
      <c r="C38" s="106" t="str">
        <f>+VLOOKUP(B38,'MANO DE OBRA '!B23:G46,2,FALSE)</f>
        <v>Cuadrilla CC Acabados (1 oficial + 1 ayudante)</v>
      </c>
      <c r="D38" s="106">
        <v>1</v>
      </c>
      <c r="E38" s="106" t="str">
        <f>+VLOOKUP(B38,'MANO DE OBRA '!B23:G46,4,FALSE)</f>
        <v>Hora</v>
      </c>
      <c r="F38" s="86">
        <f>+VLOOKUP(B38,'MANO DE OBRA '!B23:G46,3,FALSE)</f>
        <v>55703.125</v>
      </c>
      <c r="G38" s="121">
        <v>3</v>
      </c>
      <c r="H38" s="94">
        <f>F38*G38*D38</f>
        <v>167109.375</v>
      </c>
      <c r="I38" s="294"/>
    </row>
    <row r="39" spans="2:9">
      <c r="B39" s="106"/>
      <c r="C39" s="106"/>
      <c r="D39" s="106"/>
      <c r="E39" s="106"/>
      <c r="F39" s="86"/>
      <c r="G39" s="121"/>
      <c r="H39" s="94"/>
      <c r="I39" s="294"/>
    </row>
    <row r="40" spans="2:9" ht="12">
      <c r="B40" s="108"/>
      <c r="C40" s="109"/>
      <c r="D40" s="109"/>
      <c r="E40" s="109"/>
      <c r="F40" s="110"/>
      <c r="G40" s="110"/>
      <c r="H40" s="111" t="s">
        <v>64</v>
      </c>
      <c r="I40" s="112">
        <f>SUM(H38:H39)</f>
        <v>167109.375</v>
      </c>
    </row>
    <row r="41" spans="2:9" ht="12">
      <c r="B41" s="295" t="s">
        <v>83</v>
      </c>
      <c r="C41" s="296"/>
      <c r="D41" s="297" t="s">
        <v>77</v>
      </c>
      <c r="E41" s="298"/>
      <c r="F41" s="298"/>
      <c r="G41" s="298"/>
      <c r="H41" s="299"/>
      <c r="I41" s="113">
        <f>SUM(I21+I35+I30+I40)</f>
        <v>520182.17499999999</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32:I34"/>
    <mergeCell ref="C17:D17"/>
    <mergeCell ref="I17:I20"/>
    <mergeCell ref="C18:D18"/>
    <mergeCell ref="C20:D20"/>
    <mergeCell ref="C22:D22"/>
    <mergeCell ref="C23:D23"/>
    <mergeCell ref="I23:I27"/>
    <mergeCell ref="C24:D24"/>
    <mergeCell ref="C25:D25"/>
    <mergeCell ref="C26:D26"/>
    <mergeCell ref="C27:D27"/>
    <mergeCell ref="G28:H28"/>
    <mergeCell ref="G30:H30"/>
    <mergeCell ref="C31:D31"/>
    <mergeCell ref="G35:H35"/>
    <mergeCell ref="C36:D36"/>
    <mergeCell ref="I37:I39"/>
    <mergeCell ref="B41:C41"/>
    <mergeCell ref="D41:H41"/>
  </mergeCells>
  <phoneticPr fontId="1" type="noConversion"/>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8802-2BFB-4DC5-B73D-8B304F4499EF}">
  <sheetPr codeName="Hoja110"/>
  <dimension ref="B3:I41"/>
  <sheetViews>
    <sheetView topLeftCell="A13" zoomScale="89" zoomScaleNormal="89" workbookViewId="0">
      <selection activeCell="N14" sqref="N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14</v>
      </c>
      <c r="E9" s="276" t="s">
        <v>1576</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8.25" customHeight="1">
      <c r="B13" s="17">
        <v>14.1</v>
      </c>
      <c r="C13" s="283" t="s">
        <v>1986</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c r="C19" s="81"/>
      <c r="D19" s="82"/>
      <c r="E19" s="71"/>
      <c r="F19" s="83"/>
      <c r="G19" s="84"/>
      <c r="H19" s="85"/>
      <c r="I19" s="287"/>
    </row>
    <row r="20" spans="2:9">
      <c r="B20" s="71" t="s">
        <v>1267</v>
      </c>
      <c r="C20" s="288" t="str">
        <f>VLOOKUP(B20,'MAQUINARIA Y EQUIPOS  '!C7:F95,2,FALSE)</f>
        <v xml:space="preserve">Pluma grua </v>
      </c>
      <c r="D20" s="265"/>
      <c r="E20" s="71" t="str">
        <f>VLOOKUP(B20,'MAQUINARIA Y EQUIPOS  '!C7:F95,3,FALSE)</f>
        <v>HH</v>
      </c>
      <c r="F20" s="83">
        <f>VLOOKUP(B20,'MAQUINARIA Y EQUIPOS  '!C7:F95,4,FALSE)</f>
        <v>10500</v>
      </c>
      <c r="G20" s="122">
        <v>0.02</v>
      </c>
      <c r="H20" s="85">
        <f>F20*G20</f>
        <v>210</v>
      </c>
      <c r="I20" s="287"/>
    </row>
    <row r="21" spans="2:9" ht="12">
      <c r="B21" s="89"/>
      <c r="C21" s="89"/>
      <c r="D21" s="89"/>
      <c r="E21" s="89"/>
      <c r="F21" s="89"/>
      <c r="G21" s="89"/>
      <c r="H21" s="89" t="s">
        <v>64</v>
      </c>
      <c r="I21" s="90">
        <f>SUM(H18:H20)</f>
        <v>2352.8000000000002</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1669</v>
      </c>
      <c r="C24" s="283" t="str">
        <f>VLOOKUP(B24,'INSUMOS '!C1:G1048573,2,FALSE)</f>
        <v>CABLE N. 2/0 AWG</v>
      </c>
      <c r="D24" s="285"/>
      <c r="E24" s="70" t="str">
        <f>VLOOKUP(B24,'INSUMOS '!C1:G1048573,3,FALSE)</f>
        <v xml:space="preserve">ML </v>
      </c>
      <c r="F24" s="80">
        <f>VLOOKUP(B24,'INSUMOS '!C1:G1048573,4,FALSE)</f>
        <v>70800</v>
      </c>
      <c r="G24" s="70">
        <v>50</v>
      </c>
      <c r="H24" s="123">
        <f>+G24*F24</f>
        <v>3540000</v>
      </c>
      <c r="I24" s="287"/>
    </row>
    <row r="25" spans="2:9" ht="12">
      <c r="B25" s="70" t="s">
        <v>1671</v>
      </c>
      <c r="C25" s="283" t="str">
        <f>VLOOKUP(B25,'INSUMOS '!C1:G1048573,2,FALSE)</f>
        <v>ELECTRODO DE 5/8" x 2,4m</v>
      </c>
      <c r="D25" s="285"/>
      <c r="E25" s="70" t="str">
        <f>VLOOKUP(B25,'INSUMOS '!C1:G1048573,3,FALSE)</f>
        <v xml:space="preserve">UND </v>
      </c>
      <c r="F25" s="80">
        <f>VLOOKUP(B25,'INSUMOS '!C1:G1048573,4,FALSE)</f>
        <v>190000</v>
      </c>
      <c r="G25" s="70">
        <v>6</v>
      </c>
      <c r="H25" s="123">
        <f>+G25*F25</f>
        <v>1140000</v>
      </c>
      <c r="I25" s="287"/>
    </row>
    <row r="26" spans="2:9" ht="12">
      <c r="B26" s="70" t="s">
        <v>866</v>
      </c>
      <c r="C26" s="283" t="str">
        <f>VLOOKUP(B26,'INSUMOS '!C2:G1048574,2,FALSE)</f>
        <v>SOLDADURA EXOTÉRMICA</v>
      </c>
      <c r="D26" s="285"/>
      <c r="E26" s="70" t="str">
        <f>VLOOKUP(B26,'INSUMOS '!C2:G1048574,3,FALSE)</f>
        <v>UN</v>
      </c>
      <c r="F26" s="80">
        <f>VLOOKUP(B26,'INSUMOS '!C2:G1048574,4,FALSE)</f>
        <v>35000</v>
      </c>
      <c r="G26" s="70">
        <v>6</v>
      </c>
      <c r="H26" s="123">
        <f>+G26*F26</f>
        <v>210000</v>
      </c>
      <c r="I26" s="287"/>
    </row>
    <row r="27" spans="2:9" ht="12">
      <c r="B27" s="70" t="s">
        <v>1673</v>
      </c>
      <c r="C27" s="283" t="str">
        <f>VLOOKUP(B27,'INSUMOS '!C3:G1048575,2,FALSE)</f>
        <v>REGISTRO DE INSPECCION</v>
      </c>
      <c r="D27" s="285"/>
      <c r="E27" s="70" t="str">
        <f>VLOOKUP(B27,'INSUMOS '!C3:G1048575,3,FALSE)</f>
        <v xml:space="preserve">UND </v>
      </c>
      <c r="F27" s="80">
        <f>VLOOKUP(B27,'INSUMOS '!C3:G1048575,4,FALSE)</f>
        <v>280000</v>
      </c>
      <c r="G27" s="70">
        <v>1</v>
      </c>
      <c r="H27" s="123">
        <f>+G27*F27</f>
        <v>280000</v>
      </c>
      <c r="I27" s="287"/>
    </row>
    <row r="28" spans="2:9" ht="12">
      <c r="B28" s="89"/>
      <c r="C28" s="89"/>
      <c r="D28" s="89"/>
      <c r="E28" s="89"/>
      <c r="F28" s="89"/>
      <c r="G28" s="258" t="s">
        <v>64</v>
      </c>
      <c r="H28" s="258"/>
      <c r="I28" s="85">
        <f>SUM(H24:H27)</f>
        <v>5170000</v>
      </c>
    </row>
    <row r="29" spans="2:9" ht="12">
      <c r="B29" s="89"/>
      <c r="C29" s="89"/>
      <c r="D29" s="89"/>
      <c r="E29" s="89"/>
      <c r="F29" s="89"/>
      <c r="G29" s="99" t="s">
        <v>72</v>
      </c>
      <c r="H29" s="100">
        <v>0.05</v>
      </c>
      <c r="I29" s="120">
        <f>I28*H29</f>
        <v>258500</v>
      </c>
    </row>
    <row r="30" spans="2:9" ht="12">
      <c r="B30" s="89"/>
      <c r="C30" s="89"/>
      <c r="D30" s="89"/>
      <c r="E30" s="89"/>
      <c r="F30" s="89"/>
      <c r="G30" s="258" t="s">
        <v>73</v>
      </c>
      <c r="H30" s="258"/>
      <c r="I30" s="90">
        <f>SUM(I28:I29)</f>
        <v>5428500</v>
      </c>
    </row>
    <row r="31" spans="2:9" ht="12">
      <c r="B31" s="78"/>
      <c r="C31" s="289" t="s">
        <v>74</v>
      </c>
      <c r="D31" s="289"/>
      <c r="E31" s="78"/>
      <c r="F31" s="78"/>
      <c r="G31" s="78"/>
      <c r="H31" s="78"/>
      <c r="I31" s="79"/>
    </row>
    <row r="32" spans="2:9" ht="12">
      <c r="B32" s="70" t="s">
        <v>42</v>
      </c>
      <c r="C32" s="70" t="s">
        <v>58</v>
      </c>
      <c r="D32" s="70" t="s">
        <v>342</v>
      </c>
      <c r="E32" s="70" t="s">
        <v>1675</v>
      </c>
      <c r="F32" s="70" t="s">
        <v>1333</v>
      </c>
      <c r="G32" s="70" t="s">
        <v>1278</v>
      </c>
      <c r="H32" s="74" t="s">
        <v>61</v>
      </c>
      <c r="I32" s="300"/>
    </row>
    <row r="33" spans="2:9" ht="12">
      <c r="B33" s="70" t="s">
        <v>274</v>
      </c>
      <c r="C33" s="70" t="str">
        <f>VLOOKUP(B33,'MAQUINARIA Y EQUIPOS  '!C12:F100,2,FALSE)</f>
        <v>CAMIONETA D300</v>
      </c>
      <c r="D33" s="75" t="s">
        <v>350</v>
      </c>
      <c r="E33" s="70">
        <v>30</v>
      </c>
      <c r="F33" s="70">
        <v>1</v>
      </c>
      <c r="G33" s="102">
        <v>1000</v>
      </c>
      <c r="H33" s="103">
        <f>+G33*E33</f>
        <v>30000</v>
      </c>
      <c r="I33" s="301"/>
    </row>
    <row r="34" spans="2:9">
      <c r="B34" s="71"/>
      <c r="C34" s="71"/>
      <c r="D34" s="82"/>
      <c r="E34" s="71"/>
      <c r="F34" s="71"/>
      <c r="G34" s="86"/>
      <c r="H34" s="86"/>
      <c r="I34" s="301"/>
    </row>
    <row r="35" spans="2:9" ht="12">
      <c r="B35" s="89"/>
      <c r="C35" s="89"/>
      <c r="D35" s="89"/>
      <c r="E35" s="89"/>
      <c r="F35" s="89"/>
      <c r="G35" s="302" t="s">
        <v>64</v>
      </c>
      <c r="H35" s="302"/>
      <c r="I35" s="104">
        <f>+H33</f>
        <v>30000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371</v>
      </c>
      <c r="C38" s="106" t="str">
        <f>+VLOOKUP(B38,'MANO DE OBRA '!B23:G46,2,FALSE)</f>
        <v>Cuadrilla CC Acabados (1 oficial + 1 ayudante)</v>
      </c>
      <c r="D38" s="106">
        <v>1</v>
      </c>
      <c r="E38" s="106" t="str">
        <f>+VLOOKUP(B38,'MANO DE OBRA '!B23:G46,4,FALSE)</f>
        <v>Hora</v>
      </c>
      <c r="F38" s="86">
        <f>+VLOOKUP(B38,'MANO DE OBRA '!B23:G46,3,FALSE)</f>
        <v>55703.125</v>
      </c>
      <c r="G38" s="121">
        <v>5</v>
      </c>
      <c r="H38" s="94">
        <f>F38*G38*D38</f>
        <v>278515.625</v>
      </c>
      <c r="I38" s="294"/>
    </row>
    <row r="39" spans="2:9">
      <c r="B39" s="106"/>
      <c r="C39" s="106"/>
      <c r="D39" s="106"/>
      <c r="E39" s="106"/>
      <c r="F39" s="86"/>
      <c r="G39" s="121"/>
      <c r="H39" s="94"/>
      <c r="I39" s="294"/>
    </row>
    <row r="40" spans="2:9" ht="12">
      <c r="B40" s="108"/>
      <c r="C40" s="109"/>
      <c r="D40" s="109"/>
      <c r="E40" s="109"/>
      <c r="F40" s="110"/>
      <c r="G40" s="110"/>
      <c r="H40" s="111" t="s">
        <v>64</v>
      </c>
      <c r="I40" s="112">
        <f>SUM(H38:H39)</f>
        <v>278515.625</v>
      </c>
    </row>
    <row r="41" spans="2:9" ht="12">
      <c r="B41" s="295" t="s">
        <v>83</v>
      </c>
      <c r="C41" s="296"/>
      <c r="D41" s="297" t="s">
        <v>77</v>
      </c>
      <c r="E41" s="298"/>
      <c r="F41" s="298"/>
      <c r="G41" s="298"/>
      <c r="H41" s="299"/>
      <c r="I41" s="113">
        <f>SUM(I21+I35+I30+I40)</f>
        <v>5739368.4249999998</v>
      </c>
    </row>
  </sheetData>
  <mergeCells count="39">
    <mergeCell ref="C36:D36"/>
    <mergeCell ref="I37:I39"/>
    <mergeCell ref="B41:C41"/>
    <mergeCell ref="D41:H41"/>
    <mergeCell ref="C27:D27"/>
    <mergeCell ref="G28:H28"/>
    <mergeCell ref="G30:H30"/>
    <mergeCell ref="C31:D31"/>
    <mergeCell ref="I32:I34"/>
    <mergeCell ref="G35:H35"/>
    <mergeCell ref="C17:D17"/>
    <mergeCell ref="I17:I20"/>
    <mergeCell ref="C18:D18"/>
    <mergeCell ref="C20:D20"/>
    <mergeCell ref="C22:D22"/>
    <mergeCell ref="C23:D23"/>
    <mergeCell ref="I23:I27"/>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6EB6-6555-4180-A7E5-13EEA0D37FA0}">
  <sheetPr codeName="Hoja111"/>
  <dimension ref="B3:I40"/>
  <sheetViews>
    <sheetView topLeftCell="A7" zoomScale="89" zoomScaleNormal="89" workbookViewId="0">
      <selection activeCell="E9" sqref="E9:I1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14</v>
      </c>
      <c r="E9" s="276" t="s">
        <v>1576</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6.25" customHeight="1">
      <c r="B13" s="17">
        <v>14.2</v>
      </c>
      <c r="C13" s="283" t="s">
        <v>1987</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c r="C19" s="81"/>
      <c r="D19" s="82"/>
      <c r="E19" s="71"/>
      <c r="F19" s="83"/>
      <c r="G19" s="84"/>
      <c r="H19" s="85"/>
      <c r="I19" s="287"/>
    </row>
    <row r="20" spans="2:9">
      <c r="B20" s="71" t="s">
        <v>1267</v>
      </c>
      <c r="C20" s="288" t="str">
        <f>VLOOKUP(B20,'MAQUINARIA Y EQUIPOS  '!C7:F95,2,FALSE)</f>
        <v xml:space="preserve">Pluma grua </v>
      </c>
      <c r="D20" s="265"/>
      <c r="E20" s="71" t="str">
        <f>VLOOKUP(B20,'MAQUINARIA Y EQUIPOS  '!C7:F95,3,FALSE)</f>
        <v>HH</v>
      </c>
      <c r="F20" s="83">
        <f>VLOOKUP(B20,'MAQUINARIA Y EQUIPOS  '!C7:F95,4,FALSE)</f>
        <v>10500</v>
      </c>
      <c r="G20" s="122">
        <v>0.02</v>
      </c>
      <c r="H20" s="85">
        <f>F20*G20</f>
        <v>210</v>
      </c>
      <c r="I20" s="287"/>
    </row>
    <row r="21" spans="2:9" ht="12">
      <c r="B21" s="89"/>
      <c r="C21" s="89"/>
      <c r="D21" s="89"/>
      <c r="E21" s="89"/>
      <c r="F21" s="89"/>
      <c r="G21" s="89"/>
      <c r="H21" s="89" t="s">
        <v>64</v>
      </c>
      <c r="I21" s="90">
        <f>SUM(H18:H20)</f>
        <v>2352.8000000000002</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1669</v>
      </c>
      <c r="C24" s="283" t="str">
        <f>VLOOKUP(B24,'INSUMOS '!C1:G1048573,2,FALSE)</f>
        <v>CABLE N. 2/0 AWG</v>
      </c>
      <c r="D24" s="285"/>
      <c r="E24" s="70" t="str">
        <f>VLOOKUP(B24,'INSUMOS '!C1:G1048573,3,FALSE)</f>
        <v xml:space="preserve">ML </v>
      </c>
      <c r="F24" s="80">
        <f>VLOOKUP(B24,'INSUMOS '!C1:G1048573,4,FALSE)</f>
        <v>70800</v>
      </c>
      <c r="G24" s="70">
        <v>10</v>
      </c>
      <c r="H24" s="123">
        <f>+G24*F24</f>
        <v>708000</v>
      </c>
      <c r="I24" s="287"/>
    </row>
    <row r="25" spans="2:9" ht="12">
      <c r="B25" s="70" t="s">
        <v>1676</v>
      </c>
      <c r="C25" s="283" t="str">
        <f>VLOOKUP(B25,'INSUMOS '!C1:G1048573,2,FALSE)</f>
        <v>BARRAJE EQUIPOTENCIAL</v>
      </c>
      <c r="D25" s="285"/>
      <c r="E25" s="70" t="str">
        <f>VLOOKUP(B25,'INSUMOS '!C1:G1048573,3,FALSE)</f>
        <v xml:space="preserve">UND </v>
      </c>
      <c r="F25" s="80">
        <f>VLOOKUP(B25,'INSUMOS '!C1:G1048573,4,FALSE)</f>
        <v>500000</v>
      </c>
      <c r="G25" s="70">
        <v>1</v>
      </c>
      <c r="H25" s="123">
        <f>+G25*F25</f>
        <v>500000</v>
      </c>
      <c r="I25" s="287"/>
    </row>
    <row r="26" spans="2:9" ht="12">
      <c r="B26" s="70" t="s">
        <v>866</v>
      </c>
      <c r="C26" s="283" t="str">
        <f>VLOOKUP(B26,'INSUMOS '!C2:G1048574,2,FALSE)</f>
        <v>SOLDADURA EXOTÉRMICA</v>
      </c>
      <c r="D26" s="285"/>
      <c r="E26" s="70" t="str">
        <f>VLOOKUP(B26,'INSUMOS '!C2:G1048574,3,FALSE)</f>
        <v>UN</v>
      </c>
      <c r="F26" s="80">
        <f>VLOOKUP(B26,'INSUMOS '!C2:G1048574,4,FALSE)</f>
        <v>35000</v>
      </c>
      <c r="G26" s="70">
        <v>1</v>
      </c>
      <c r="H26" s="123">
        <f>+G26*F26</f>
        <v>35000</v>
      </c>
      <c r="I26" s="287"/>
    </row>
    <row r="27" spans="2:9" ht="12">
      <c r="B27" s="89"/>
      <c r="C27" s="89"/>
      <c r="D27" s="89"/>
      <c r="E27" s="89"/>
      <c r="F27" s="89"/>
      <c r="G27" s="258" t="s">
        <v>64</v>
      </c>
      <c r="H27" s="258"/>
      <c r="I27" s="85">
        <f>SUM(H24:H26)</f>
        <v>1243000</v>
      </c>
    </row>
    <row r="28" spans="2:9" ht="12">
      <c r="B28" s="89"/>
      <c r="C28" s="89"/>
      <c r="D28" s="89"/>
      <c r="E28" s="89"/>
      <c r="F28" s="89"/>
      <c r="G28" s="99" t="s">
        <v>72</v>
      </c>
      <c r="H28" s="100">
        <v>0.05</v>
      </c>
      <c r="I28" s="120">
        <f>I27*H28</f>
        <v>62150</v>
      </c>
    </row>
    <row r="29" spans="2:9" ht="12">
      <c r="B29" s="89"/>
      <c r="C29" s="89"/>
      <c r="D29" s="89"/>
      <c r="E29" s="89"/>
      <c r="F29" s="89"/>
      <c r="G29" s="258" t="s">
        <v>73</v>
      </c>
      <c r="H29" s="258"/>
      <c r="I29" s="90">
        <f>SUM(I27:I28)</f>
        <v>1305150</v>
      </c>
    </row>
    <row r="30" spans="2:9" ht="12">
      <c r="B30" s="78"/>
      <c r="C30" s="289" t="s">
        <v>74</v>
      </c>
      <c r="D30" s="289"/>
      <c r="E30" s="78"/>
      <c r="F30" s="78"/>
      <c r="G30" s="78"/>
      <c r="H30" s="78"/>
      <c r="I30" s="79"/>
    </row>
    <row r="31" spans="2:9" ht="12">
      <c r="B31" s="70" t="s">
        <v>42</v>
      </c>
      <c r="C31" s="70" t="s">
        <v>58</v>
      </c>
      <c r="D31" s="70" t="s">
        <v>342</v>
      </c>
      <c r="E31" s="70" t="s">
        <v>1675</v>
      </c>
      <c r="F31" s="70" t="s">
        <v>1333</v>
      </c>
      <c r="G31" s="70" t="s">
        <v>1278</v>
      </c>
      <c r="H31" s="74" t="s">
        <v>61</v>
      </c>
      <c r="I31" s="300"/>
    </row>
    <row r="32" spans="2:9" ht="12">
      <c r="B32" s="70" t="s">
        <v>274</v>
      </c>
      <c r="C32" s="70" t="str">
        <f>VLOOKUP(B32,'MAQUINARIA Y EQUIPOS  '!C12:F100,2,FALSE)</f>
        <v>CAMIONETA D300</v>
      </c>
      <c r="D32" s="75" t="s">
        <v>346</v>
      </c>
      <c r="E32" s="70">
        <v>0.5</v>
      </c>
      <c r="F32" s="70">
        <v>1</v>
      </c>
      <c r="G32" s="102">
        <v>1000</v>
      </c>
      <c r="H32" s="103">
        <f>+G32*E32</f>
        <v>500</v>
      </c>
      <c r="I32" s="301"/>
    </row>
    <row r="33" spans="2:9">
      <c r="B33" s="71"/>
      <c r="C33" s="71"/>
      <c r="D33" s="82"/>
      <c r="E33" s="71"/>
      <c r="F33" s="71"/>
      <c r="G33" s="86"/>
      <c r="H33" s="86"/>
      <c r="I33" s="301"/>
    </row>
    <row r="34" spans="2:9" ht="12">
      <c r="B34" s="89"/>
      <c r="C34" s="89"/>
      <c r="D34" s="89"/>
      <c r="E34" s="89"/>
      <c r="F34" s="89"/>
      <c r="G34" s="302" t="s">
        <v>64</v>
      </c>
      <c r="H34" s="302"/>
      <c r="I34" s="104">
        <f>+H32</f>
        <v>500</v>
      </c>
    </row>
    <row r="35" spans="2:9" ht="12">
      <c r="B35" s="78"/>
      <c r="C35" s="289" t="s">
        <v>75</v>
      </c>
      <c r="D35" s="289"/>
      <c r="E35" s="78"/>
      <c r="F35" s="78"/>
      <c r="G35" s="78"/>
      <c r="H35" s="78"/>
      <c r="I35" s="79"/>
    </row>
    <row r="36" spans="2:9" ht="12">
      <c r="B36" s="105" t="s">
        <v>42</v>
      </c>
      <c r="C36" s="105" t="s">
        <v>76</v>
      </c>
      <c r="D36" s="105" t="s">
        <v>1225</v>
      </c>
      <c r="E36" s="105" t="s">
        <v>1</v>
      </c>
      <c r="F36" s="105" t="s">
        <v>77</v>
      </c>
      <c r="G36" s="105" t="s">
        <v>78</v>
      </c>
      <c r="H36" s="105" t="s">
        <v>79</v>
      </c>
      <c r="I36" s="294"/>
    </row>
    <row r="37" spans="2:9" ht="30" customHeight="1">
      <c r="B37" s="106" t="s">
        <v>371</v>
      </c>
      <c r="C37" s="106" t="str">
        <f>+VLOOKUP(B37,'MANO DE OBRA '!B23:G46,2,FALSE)</f>
        <v>Cuadrilla CC Acabados (1 oficial + 1 ayudante)</v>
      </c>
      <c r="D37" s="106">
        <v>1</v>
      </c>
      <c r="E37" s="106" t="str">
        <f>+VLOOKUP(B37,'MANO DE OBRA '!B23:G46,4,FALSE)</f>
        <v>Hora</v>
      </c>
      <c r="F37" s="86">
        <f>+VLOOKUP(B37,'MANO DE OBRA '!B23:G46,3,FALSE)</f>
        <v>55703.125</v>
      </c>
      <c r="G37" s="121">
        <v>0.9</v>
      </c>
      <c r="H37" s="94">
        <f>F37*G37*D37</f>
        <v>50132.8125</v>
      </c>
      <c r="I37" s="294"/>
    </row>
    <row r="38" spans="2:9">
      <c r="B38" s="106"/>
      <c r="C38" s="106"/>
      <c r="D38" s="106"/>
      <c r="E38" s="106"/>
      <c r="F38" s="86"/>
      <c r="G38" s="121"/>
      <c r="H38" s="94"/>
      <c r="I38" s="294"/>
    </row>
    <row r="39" spans="2:9" ht="12">
      <c r="B39" s="108"/>
      <c r="C39" s="109"/>
      <c r="D39" s="109"/>
      <c r="E39" s="109"/>
      <c r="F39" s="110"/>
      <c r="G39" s="110"/>
      <c r="H39" s="111" t="s">
        <v>64</v>
      </c>
      <c r="I39" s="112">
        <f>SUM(H37:H38)</f>
        <v>50132.8125</v>
      </c>
    </row>
    <row r="40" spans="2:9" ht="12">
      <c r="B40" s="295" t="s">
        <v>83</v>
      </c>
      <c r="C40" s="296"/>
      <c r="D40" s="297" t="s">
        <v>77</v>
      </c>
      <c r="E40" s="298"/>
      <c r="F40" s="298"/>
      <c r="G40" s="298"/>
      <c r="H40" s="299"/>
      <c r="I40" s="113">
        <f>SUM(I21+I34+I29+I39)</f>
        <v>1358135.6125</v>
      </c>
    </row>
  </sheetData>
  <mergeCells count="38">
    <mergeCell ref="C35:D35"/>
    <mergeCell ref="I36:I38"/>
    <mergeCell ref="B40:C40"/>
    <mergeCell ref="D40:H40"/>
    <mergeCell ref="G27:H27"/>
    <mergeCell ref="G29:H29"/>
    <mergeCell ref="C30:D30"/>
    <mergeCell ref="I31:I33"/>
    <mergeCell ref="G34:H34"/>
    <mergeCell ref="C17:D17"/>
    <mergeCell ref="I17:I20"/>
    <mergeCell ref="C18:D18"/>
    <mergeCell ref="C20:D20"/>
    <mergeCell ref="C22:D22"/>
    <mergeCell ref="C23:D23"/>
    <mergeCell ref="I23:I26"/>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AD05-2EAE-4DE6-ADF6-277525A50EBC}">
  <sheetPr codeName="Hoja10"/>
  <dimension ref="B3:I42"/>
  <sheetViews>
    <sheetView workbookViewId="0">
      <selection activeCell="I42" sqref="I42"/>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3" t="s">
        <v>33</v>
      </c>
      <c r="C13" s="283" t="s">
        <v>1892</v>
      </c>
      <c r="D13" s="284"/>
      <c r="E13" s="284"/>
      <c r="F13" s="285"/>
      <c r="G13" s="286" t="s">
        <v>2</v>
      </c>
      <c r="H13" s="286"/>
      <c r="I13" s="17">
        <v>60.139800000000001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71">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0.1</v>
      </c>
      <c r="H19" s="130">
        <f>F19*G19</f>
        <v>1050</v>
      </c>
      <c r="I19" s="287"/>
    </row>
    <row r="20" spans="2:9">
      <c r="B20" s="71" t="s">
        <v>347</v>
      </c>
      <c r="C20" s="258" t="str">
        <f>VLOOKUP(B20,'MAQUINARIA Y EQUIPOS  '!C6:F94,2,FALSE)</f>
        <v>Andamio (2cuerpo)</v>
      </c>
      <c r="D20" s="258"/>
      <c r="E20" s="88" t="str">
        <f>VLOOKUP(B20,'MAQUINARIA Y EQUIPOS  '!C6:F94,3,FALSE)</f>
        <v>DIA</v>
      </c>
      <c r="F20" s="86">
        <f>VLOOKUP(B20,'MAQUINARIA Y EQUIPOS  '!C6:F94,4,FALSE)</f>
        <v>10000</v>
      </c>
      <c r="G20" s="71">
        <v>0.08</v>
      </c>
      <c r="H20" s="130">
        <f>F20*G20</f>
        <v>800</v>
      </c>
      <c r="I20" s="287"/>
    </row>
    <row r="21" spans="2:9">
      <c r="B21" s="71" t="s">
        <v>1263</v>
      </c>
      <c r="C21" s="258" t="str">
        <f>VLOOKUP(B21,'MAQUINARIA Y EQUIPOS  '!C7:F95,2,FALSE)</f>
        <v xml:space="preserve">MARTILLO DEMOLEDOR </v>
      </c>
      <c r="D21" s="258"/>
      <c r="E21" s="88" t="str">
        <f>VLOOKUP(B21,'MAQUINARIA Y EQUIPOS  '!C7:F95,3,FALSE)</f>
        <v>HH</v>
      </c>
      <c r="F21" s="86">
        <f>VLOOKUP(B21,'MAQUINARIA Y EQUIPOS  '!C7:F95,4,FALSE)</f>
        <v>12000</v>
      </c>
      <c r="G21" s="71">
        <v>0.02</v>
      </c>
      <c r="H21" s="130">
        <f>F21*G21</f>
        <v>240</v>
      </c>
      <c r="I21" s="287"/>
    </row>
    <row r="22" spans="2:9" ht="12">
      <c r="B22" s="89"/>
      <c r="C22" s="89"/>
      <c r="D22" s="89"/>
      <c r="E22" s="89"/>
      <c r="F22" s="89"/>
      <c r="G22" s="89"/>
      <c r="H22" s="89" t="s">
        <v>64</v>
      </c>
      <c r="I22" s="90">
        <f>SUM(H18:H21)</f>
        <v>3161.4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c r="C25" s="292"/>
      <c r="D25" s="293"/>
      <c r="E25" s="91"/>
      <c r="F25" s="94"/>
      <c r="G25" s="92"/>
      <c r="H25" s="83"/>
      <c r="I25" s="287"/>
    </row>
    <row r="26" spans="2:9">
      <c r="B26" s="71"/>
      <c r="C26" s="292"/>
      <c r="D26" s="293"/>
      <c r="E26" s="91"/>
      <c r="F26" s="94"/>
      <c r="G26" s="92"/>
      <c r="H26" s="83"/>
      <c r="I26" s="287"/>
    </row>
    <row r="27" spans="2:9">
      <c r="B27" s="71"/>
      <c r="C27" s="292"/>
      <c r="D27" s="293"/>
      <c r="E27" s="91"/>
      <c r="F27" s="94"/>
      <c r="G27" s="92"/>
      <c r="H27" s="83"/>
      <c r="I27" s="287"/>
    </row>
    <row r="28" spans="2:9">
      <c r="B28" s="71"/>
      <c r="C28" s="292"/>
      <c r="D28" s="293"/>
      <c r="E28" s="91"/>
      <c r="F28" s="94"/>
      <c r="G28" s="92"/>
      <c r="H28" s="83"/>
      <c r="I28" s="287"/>
    </row>
    <row r="29" spans="2:9" ht="12">
      <c r="B29" s="89"/>
      <c r="C29" s="89"/>
      <c r="D29" s="89"/>
      <c r="E29" s="89"/>
      <c r="F29" s="89"/>
      <c r="G29" s="258" t="s">
        <v>64</v>
      </c>
      <c r="H29" s="258"/>
      <c r="I29" s="85">
        <f>SUM(H25:H28)</f>
        <v>0</v>
      </c>
    </row>
    <row r="30" spans="2:9" ht="12">
      <c r="B30" s="89"/>
      <c r="C30" s="89"/>
      <c r="D30" s="89"/>
      <c r="E30" s="89"/>
      <c r="F30" s="89"/>
      <c r="G30" s="99" t="s">
        <v>72</v>
      </c>
      <c r="H30" s="100">
        <v>0.05</v>
      </c>
      <c r="I30" s="101">
        <f>I29*H30</f>
        <v>0</v>
      </c>
    </row>
    <row r="31" spans="2:9" ht="12">
      <c r="B31" s="89"/>
      <c r="C31" s="89"/>
      <c r="D31" s="89"/>
      <c r="E31" s="89"/>
      <c r="F31" s="89"/>
      <c r="G31" s="258" t="s">
        <v>73</v>
      </c>
      <c r="H31" s="258"/>
      <c r="I31" s="90">
        <f>SUM(I29:I30)</f>
        <v>0</v>
      </c>
    </row>
    <row r="32" spans="2:9" ht="12">
      <c r="B32" s="78"/>
      <c r="C32" s="289" t="s">
        <v>74</v>
      </c>
      <c r="D32" s="289"/>
      <c r="E32" s="78"/>
      <c r="F32" s="78"/>
      <c r="G32" s="78"/>
      <c r="H32" s="78"/>
      <c r="I32" s="79"/>
    </row>
    <row r="33" spans="2:9" ht="12">
      <c r="B33" s="70" t="s">
        <v>42</v>
      </c>
      <c r="C33" s="70" t="s">
        <v>58</v>
      </c>
      <c r="D33" s="70" t="s">
        <v>342</v>
      </c>
      <c r="E33" s="70" t="s">
        <v>343</v>
      </c>
      <c r="F33" s="70" t="s">
        <v>344</v>
      </c>
      <c r="G33" s="70" t="s">
        <v>1278</v>
      </c>
      <c r="H33" s="74" t="s">
        <v>61</v>
      </c>
      <c r="I33" s="300"/>
    </row>
    <row r="34" spans="2:9" ht="12">
      <c r="B34" s="70" t="s">
        <v>192</v>
      </c>
      <c r="C34" s="70" t="str">
        <f>VLOOKUP(B34,'MAQUINARIA Y EQUIPOS  '!C7:F95,2,FALSE)</f>
        <v>Volqueta de 8 m3</v>
      </c>
      <c r="D34" s="75" t="str">
        <f>VLOOKUP(B34,'MAQUINARIA Y EQUIPOS  '!C7:F95,3,FALSE)</f>
        <v>m3/km</v>
      </c>
      <c r="E34" s="70">
        <f>0.08*1.3</f>
        <v>0.10400000000000001</v>
      </c>
      <c r="F34" s="70">
        <v>19</v>
      </c>
      <c r="G34" s="136">
        <f>VLOOKUP(B34,'MAQUINARIA Y EQUIPOS  '!C7:F95,4,FALSE)</f>
        <v>1500</v>
      </c>
      <c r="H34" s="103">
        <f>+F34*G34*E34</f>
        <v>2964.0000000000005</v>
      </c>
      <c r="I34" s="301"/>
    </row>
    <row r="35" spans="2:9">
      <c r="B35" s="71"/>
      <c r="C35" s="71"/>
      <c r="D35" s="82"/>
      <c r="E35" s="71"/>
      <c r="F35" s="71"/>
      <c r="G35" s="86"/>
      <c r="H35" s="86"/>
      <c r="I35" s="301"/>
    </row>
    <row r="36" spans="2:9" ht="12">
      <c r="B36" s="89"/>
      <c r="C36" s="89"/>
      <c r="D36" s="89"/>
      <c r="E36" s="89"/>
      <c r="F36" s="89"/>
      <c r="G36" s="302" t="s">
        <v>64</v>
      </c>
      <c r="H36" s="302"/>
      <c r="I36" s="104">
        <f>+H34</f>
        <v>2964.0000000000005</v>
      </c>
    </row>
    <row r="37" spans="2:9" ht="12">
      <c r="B37" s="78"/>
      <c r="C37" s="289" t="s">
        <v>75</v>
      </c>
      <c r="D37" s="289"/>
      <c r="E37" s="78"/>
      <c r="F37" s="78"/>
      <c r="G37" s="78"/>
      <c r="H37" s="78"/>
      <c r="I37" s="79"/>
    </row>
    <row r="38" spans="2:9" ht="12">
      <c r="B38" s="105" t="s">
        <v>42</v>
      </c>
      <c r="C38" s="305" t="s">
        <v>76</v>
      </c>
      <c r="D38" s="306"/>
      <c r="E38" s="105" t="s">
        <v>1</v>
      </c>
      <c r="F38" s="105" t="s">
        <v>77</v>
      </c>
      <c r="G38" s="105" t="s">
        <v>78</v>
      </c>
      <c r="H38" s="105" t="s">
        <v>79</v>
      </c>
      <c r="I38" s="294"/>
    </row>
    <row r="39" spans="2:9" ht="33" customHeight="1">
      <c r="B39" s="106" t="s">
        <v>359</v>
      </c>
      <c r="C39" s="303" t="str">
        <f>+VLOOKUP(B39,'MANO DE OBRA '!B23:G46,2,FALSE)</f>
        <v xml:space="preserve"> Cuadrilla de construccion 2 (1 oficial+ 2 ayudante)</v>
      </c>
      <c r="D39" s="304"/>
      <c r="E39" s="106" t="s">
        <v>81</v>
      </c>
      <c r="F39" s="86">
        <f>+VLOOKUP(B39,'MANO DE OBRA '!B23:G46,3,FALSE)</f>
        <v>66187.5</v>
      </c>
      <c r="G39" s="121">
        <v>0.65</v>
      </c>
      <c r="H39" s="94">
        <f>F39*G39</f>
        <v>43021.875</v>
      </c>
      <c r="I39" s="294"/>
    </row>
    <row r="40" spans="2:9" ht="33" customHeight="1">
      <c r="B40" s="106" t="s">
        <v>359</v>
      </c>
      <c r="C40" s="303" t="str">
        <f>+VLOOKUP(B40,'MANO DE OBRA '!B24:G47,2,FALSE)</f>
        <v xml:space="preserve"> Cuadrilla de construccion 2 (1 oficial+ 2 ayudante)</v>
      </c>
      <c r="D40" s="304"/>
      <c r="E40" s="106" t="s">
        <v>81</v>
      </c>
      <c r="F40" s="86">
        <f>+VLOOKUP(B40,'MANO DE OBRA '!B24:G47,3,FALSE)</f>
        <v>66187.5</v>
      </c>
      <c r="G40" s="121">
        <v>0.65</v>
      </c>
      <c r="H40" s="94">
        <f>F40*G40</f>
        <v>43021.875</v>
      </c>
      <c r="I40" s="294"/>
    </row>
    <row r="41" spans="2:9" ht="12">
      <c r="B41" s="108"/>
      <c r="C41" s="109"/>
      <c r="D41" s="109"/>
      <c r="E41" s="109"/>
      <c r="F41" s="110"/>
      <c r="G41" s="110"/>
      <c r="H41" s="111" t="s">
        <v>64</v>
      </c>
      <c r="I41" s="112">
        <f>SUM(H39:H40)</f>
        <v>86043.75</v>
      </c>
    </row>
    <row r="42" spans="2:9" ht="12">
      <c r="B42" s="295" t="s">
        <v>83</v>
      </c>
      <c r="C42" s="296"/>
      <c r="D42" s="297" t="s">
        <v>77</v>
      </c>
      <c r="E42" s="298"/>
      <c r="F42" s="298"/>
      <c r="G42" s="298"/>
      <c r="H42" s="299"/>
      <c r="I42" s="113">
        <f>SUM(I22+I36+I31+I41)</f>
        <v>92169.15</v>
      </c>
    </row>
  </sheetData>
  <mergeCells count="44">
    <mergeCell ref="C37:D37"/>
    <mergeCell ref="I38:I40"/>
    <mergeCell ref="C39:D39"/>
    <mergeCell ref="C40:D40"/>
    <mergeCell ref="B42:C42"/>
    <mergeCell ref="D42:H42"/>
    <mergeCell ref="C38:D38"/>
    <mergeCell ref="I33:I35"/>
    <mergeCell ref="G36:H36"/>
    <mergeCell ref="C17:D17"/>
    <mergeCell ref="I17:I21"/>
    <mergeCell ref="C18:D18"/>
    <mergeCell ref="C21:D21"/>
    <mergeCell ref="C23:D23"/>
    <mergeCell ref="C24:D24"/>
    <mergeCell ref="I24:I28"/>
    <mergeCell ref="C25:D25"/>
    <mergeCell ref="C26:D26"/>
    <mergeCell ref="C27:D27"/>
    <mergeCell ref="C28:D28"/>
    <mergeCell ref="G29:H29"/>
    <mergeCell ref="G31:H31"/>
    <mergeCell ref="C32:D32"/>
    <mergeCell ref="G13:H13"/>
    <mergeCell ref="C14:E14"/>
    <mergeCell ref="F14:H14"/>
    <mergeCell ref="C15:E15"/>
    <mergeCell ref="F15:H15"/>
    <mergeCell ref="C20:D20"/>
    <mergeCell ref="C19:D19"/>
    <mergeCell ref="B3:C7"/>
    <mergeCell ref="D3:E5"/>
    <mergeCell ref="G3:I3"/>
    <mergeCell ref="H4:I4"/>
    <mergeCell ref="G5:I5"/>
    <mergeCell ref="D6:E7"/>
    <mergeCell ref="F6:I7"/>
    <mergeCell ref="B9:C10"/>
    <mergeCell ref="D9:D10"/>
    <mergeCell ref="E9:I10"/>
    <mergeCell ref="B11:I11"/>
    <mergeCell ref="C12:F12"/>
    <mergeCell ref="G12:H12"/>
    <mergeCell ref="C13:F13"/>
  </mergeCell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4DBF2-1143-4D26-9B7C-580BF59980DE}">
  <sheetPr codeName="Hoja112"/>
  <dimension ref="B3:I37"/>
  <sheetViews>
    <sheetView topLeftCell="A10"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14</v>
      </c>
      <c r="E9" s="276" t="s">
        <v>1576</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14.3</v>
      </c>
      <c r="C13" s="283" t="s">
        <v>1988</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ht="12">
      <c r="B23" s="70" t="s">
        <v>1673</v>
      </c>
      <c r="C23" s="283" t="str">
        <f>VLOOKUP(B23,'INSUMOS '!C1:G1048573,2,FALSE)</f>
        <v>REGISTRO DE INSPECCION</v>
      </c>
      <c r="D23" s="285"/>
      <c r="E23" s="70" t="str">
        <f>VLOOKUP(B23,'INSUMOS '!C1:G1048573,3,FALSE)</f>
        <v xml:space="preserve">UND </v>
      </c>
      <c r="F23" s="80">
        <f>VLOOKUP(B23,'INSUMOS '!C1:G1048573,4,FALSE)</f>
        <v>280000</v>
      </c>
      <c r="G23" s="70">
        <v>1</v>
      </c>
      <c r="H23" s="123">
        <f>+G23*F23</f>
        <v>280000</v>
      </c>
      <c r="I23" s="287"/>
    </row>
    <row r="24" spans="2:9" ht="12">
      <c r="B24" s="89"/>
      <c r="C24" s="89"/>
      <c r="D24" s="89"/>
      <c r="E24" s="89"/>
      <c r="F24" s="89"/>
      <c r="G24" s="258" t="s">
        <v>64</v>
      </c>
      <c r="H24" s="258"/>
      <c r="I24" s="85">
        <f>SUM(H23:H23)</f>
        <v>280000</v>
      </c>
    </row>
    <row r="25" spans="2:9" ht="12">
      <c r="B25" s="89"/>
      <c r="C25" s="89"/>
      <c r="D25" s="89"/>
      <c r="E25" s="89"/>
      <c r="F25" s="89"/>
      <c r="G25" s="99" t="s">
        <v>72</v>
      </c>
      <c r="H25" s="100">
        <v>0.05</v>
      </c>
      <c r="I25" s="120">
        <f>I24*H25</f>
        <v>14000</v>
      </c>
    </row>
    <row r="26" spans="2:9" ht="12">
      <c r="B26" s="89"/>
      <c r="C26" s="89"/>
      <c r="D26" s="89"/>
      <c r="E26" s="89"/>
      <c r="F26" s="89"/>
      <c r="G26" s="258" t="s">
        <v>73</v>
      </c>
      <c r="H26" s="258"/>
      <c r="I26" s="90">
        <f>SUM(I24:I25)</f>
        <v>294000</v>
      </c>
    </row>
    <row r="27" spans="2:9" ht="12">
      <c r="B27" s="78"/>
      <c r="C27" s="289" t="s">
        <v>74</v>
      </c>
      <c r="D27" s="289"/>
      <c r="E27" s="78"/>
      <c r="F27" s="78"/>
      <c r="G27" s="78"/>
      <c r="H27" s="78"/>
      <c r="I27" s="79"/>
    </row>
    <row r="28" spans="2:9" ht="12">
      <c r="B28" s="70" t="s">
        <v>42</v>
      </c>
      <c r="C28" s="70" t="s">
        <v>58</v>
      </c>
      <c r="D28" s="70" t="s">
        <v>342</v>
      </c>
      <c r="E28" s="70" t="s">
        <v>1675</v>
      </c>
      <c r="F28" s="70" t="s">
        <v>1333</v>
      </c>
      <c r="G28" s="70" t="s">
        <v>1278</v>
      </c>
      <c r="H28" s="74" t="s">
        <v>61</v>
      </c>
      <c r="I28" s="300"/>
    </row>
    <row r="29" spans="2:9" ht="12">
      <c r="B29" s="70" t="s">
        <v>274</v>
      </c>
      <c r="C29" s="70" t="str">
        <f>VLOOKUP(B29,'MAQUINARIA Y EQUIPOS  '!C12:F100,2,FALSE)</f>
        <v>CAMIONETA D300</v>
      </c>
      <c r="D29" s="75" t="s">
        <v>346</v>
      </c>
      <c r="E29" s="70">
        <v>1</v>
      </c>
      <c r="F29" s="70">
        <v>1</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371</v>
      </c>
      <c r="C34" s="106" t="str">
        <f>+VLOOKUP(B34,'MANO DE OBRA '!B23:G46,2,FALSE)</f>
        <v>Cuadrilla CC Acabados (1 oficial + 1 ayudante)</v>
      </c>
      <c r="D34" s="106">
        <v>1</v>
      </c>
      <c r="E34" s="106" t="str">
        <f>+VLOOKUP(B34,'MANO DE OBRA '!B23:G46,4,FALSE)</f>
        <v>Hora</v>
      </c>
      <c r="F34" s="86">
        <f>+VLOOKUP(B34,'MANO DE OBRA '!B23:G46,3,FALSE)</f>
        <v>55703.125</v>
      </c>
      <c r="G34" s="121">
        <v>2.8</v>
      </c>
      <c r="H34" s="94">
        <f>F34*G34*D34</f>
        <v>155968.75</v>
      </c>
      <c r="I34" s="294"/>
    </row>
    <row r="35" spans="2:9">
      <c r="B35" s="106"/>
      <c r="C35" s="106"/>
      <c r="D35" s="106"/>
      <c r="E35" s="106"/>
      <c r="F35" s="86"/>
      <c r="G35" s="121"/>
      <c r="H35" s="94"/>
      <c r="I35" s="294"/>
    </row>
    <row r="36" spans="2:9" ht="12">
      <c r="B36" s="108"/>
      <c r="C36" s="109"/>
      <c r="D36" s="109"/>
      <c r="E36" s="109"/>
      <c r="F36" s="110"/>
      <c r="G36" s="110"/>
      <c r="H36" s="111" t="s">
        <v>64</v>
      </c>
      <c r="I36" s="112">
        <f>SUM(H34:H35)</f>
        <v>155968.75</v>
      </c>
    </row>
    <row r="37" spans="2:9" ht="12">
      <c r="B37" s="295" t="s">
        <v>83</v>
      </c>
      <c r="C37" s="296"/>
      <c r="D37" s="297" t="s">
        <v>77</v>
      </c>
      <c r="E37" s="298"/>
      <c r="F37" s="298"/>
      <c r="G37" s="298"/>
      <c r="H37" s="299"/>
      <c r="I37" s="113">
        <f>SUM(I20+I31+I26+I36)</f>
        <v>453321.55</v>
      </c>
    </row>
  </sheetData>
  <mergeCells count="36">
    <mergeCell ref="C32:D32"/>
    <mergeCell ref="I33:I35"/>
    <mergeCell ref="B37:C37"/>
    <mergeCell ref="D37:H37"/>
    <mergeCell ref="G24:H24"/>
    <mergeCell ref="G26:H26"/>
    <mergeCell ref="C27:D27"/>
    <mergeCell ref="I28:I30"/>
    <mergeCell ref="G31:H31"/>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96B20-2555-4629-9092-8C03252BB49F}">
  <sheetPr codeName="Hoja113"/>
  <dimension ref="B3:I42"/>
  <sheetViews>
    <sheetView zoomScale="89" zoomScaleNormal="89" workbookViewId="0">
      <selection activeCell="L20" sqref="L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3.8">
      <c r="B13" s="17" t="e">
        <f>+#REF!</f>
        <v>#REF!</v>
      </c>
      <c r="C13" s="345" t="s">
        <v>2006</v>
      </c>
      <c r="D13" s="345"/>
      <c r="E13" s="345"/>
      <c r="F13" s="345"/>
      <c r="G13" s="286" t="s">
        <v>1339</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5">
      <c r="B16" s="342" t="s">
        <v>57</v>
      </c>
      <c r="C16" s="342"/>
      <c r="D16" s="342"/>
      <c r="E16" s="342"/>
      <c r="F16" s="342"/>
      <c r="G16" s="342"/>
      <c r="H16" s="342"/>
      <c r="I16" s="342"/>
    </row>
    <row r="17" spans="2:9" ht="15">
      <c r="B17" s="175" t="s">
        <v>42</v>
      </c>
      <c r="C17" s="342" t="s">
        <v>58</v>
      </c>
      <c r="D17" s="342"/>
      <c r="E17" s="175" t="s">
        <v>1</v>
      </c>
      <c r="F17" s="175" t="s">
        <v>60</v>
      </c>
      <c r="G17" s="175"/>
      <c r="H17" s="175" t="s">
        <v>61</v>
      </c>
      <c r="I17" s="175" t="s">
        <v>79</v>
      </c>
    </row>
    <row r="18" spans="2:9" ht="14.25">
      <c r="B18" s="176" t="s">
        <v>2007</v>
      </c>
      <c r="C18" s="343" t="s">
        <v>2008</v>
      </c>
      <c r="D18" s="343"/>
      <c r="E18" s="176" t="s">
        <v>390</v>
      </c>
      <c r="F18" s="176">
        <v>1</v>
      </c>
      <c r="G18" s="176"/>
      <c r="H18" s="178">
        <v>17400</v>
      </c>
      <c r="I18" s="178">
        <f>H18/F18</f>
        <v>17400</v>
      </c>
    </row>
    <row r="19" spans="2:9" ht="15">
      <c r="B19" s="341" t="s">
        <v>2001</v>
      </c>
      <c r="C19" s="341"/>
      <c r="D19" s="341"/>
      <c r="E19" s="341"/>
      <c r="F19" s="341"/>
      <c r="G19" s="341"/>
      <c r="H19" s="341"/>
      <c r="I19" s="179">
        <f>SUM(I18:I18)</f>
        <v>17400</v>
      </c>
    </row>
    <row r="20" spans="2:9" ht="15">
      <c r="B20" s="342" t="s">
        <v>2009</v>
      </c>
      <c r="C20" s="342"/>
      <c r="D20" s="342"/>
      <c r="E20" s="342"/>
      <c r="F20" s="342"/>
      <c r="G20" s="342"/>
      <c r="H20" s="342"/>
      <c r="I20" s="342"/>
    </row>
    <row r="21" spans="2:9" ht="15">
      <c r="B21" s="175" t="s">
        <v>42</v>
      </c>
      <c r="C21" s="342" t="s">
        <v>58</v>
      </c>
      <c r="D21" s="342"/>
      <c r="E21" s="175" t="s">
        <v>1</v>
      </c>
      <c r="F21" s="175" t="s">
        <v>67</v>
      </c>
      <c r="G21" s="175"/>
      <c r="H21" s="175" t="s">
        <v>61</v>
      </c>
      <c r="I21" s="175" t="s">
        <v>79</v>
      </c>
    </row>
    <row r="22" spans="2:9" ht="14.25">
      <c r="B22" s="176" t="s">
        <v>540</v>
      </c>
      <c r="C22" s="343" t="s">
        <v>2010</v>
      </c>
      <c r="D22" s="343"/>
      <c r="E22" s="176" t="s">
        <v>780</v>
      </c>
      <c r="F22" s="176">
        <v>1</v>
      </c>
      <c r="G22" s="176"/>
      <c r="H22" s="178">
        <v>417600</v>
      </c>
      <c r="I22" s="178">
        <f t="shared" ref="I22:I27" si="0">F22*H22</f>
        <v>417600</v>
      </c>
    </row>
    <row r="23" spans="2:9" ht="14.25">
      <c r="B23" s="176" t="s">
        <v>542</v>
      </c>
      <c r="C23" s="343" t="s">
        <v>2011</v>
      </c>
      <c r="D23" s="343"/>
      <c r="E23" s="176" t="s">
        <v>159</v>
      </c>
      <c r="F23" s="176">
        <v>6</v>
      </c>
      <c r="G23" s="176"/>
      <c r="H23" s="178">
        <v>26514.29</v>
      </c>
      <c r="I23" s="178">
        <f t="shared" si="0"/>
        <v>159085.74</v>
      </c>
    </row>
    <row r="24" spans="2:9" ht="13.8">
      <c r="B24" s="176" t="s">
        <v>544</v>
      </c>
      <c r="C24" s="343" t="s">
        <v>2012</v>
      </c>
      <c r="D24" s="343"/>
      <c r="E24" s="176" t="s">
        <v>780</v>
      </c>
      <c r="F24" s="176">
        <v>2</v>
      </c>
      <c r="G24" s="176"/>
      <c r="H24" s="178">
        <v>59657.14</v>
      </c>
      <c r="I24" s="178">
        <f t="shared" si="0"/>
        <v>119314.28</v>
      </c>
    </row>
    <row r="25" spans="2:9" ht="14.25">
      <c r="B25" s="176" t="s">
        <v>546</v>
      </c>
      <c r="C25" s="343" t="s">
        <v>2013</v>
      </c>
      <c r="D25" s="343"/>
      <c r="E25" s="176" t="s">
        <v>390</v>
      </c>
      <c r="F25" s="176">
        <v>1</v>
      </c>
      <c r="G25" s="176"/>
      <c r="H25" s="178">
        <v>99428.57</v>
      </c>
      <c r="I25" s="178">
        <f t="shared" si="0"/>
        <v>99428.57</v>
      </c>
    </row>
    <row r="26" spans="2:9" ht="14.25">
      <c r="B26" s="176" t="s">
        <v>548</v>
      </c>
      <c r="C26" s="343" t="s">
        <v>2014</v>
      </c>
      <c r="D26" s="343"/>
      <c r="E26" s="176" t="s">
        <v>780</v>
      </c>
      <c r="F26" s="176">
        <v>1</v>
      </c>
      <c r="G26" s="176"/>
      <c r="H26" s="178">
        <v>139200</v>
      </c>
      <c r="I26" s="178">
        <f t="shared" si="0"/>
        <v>139200</v>
      </c>
    </row>
    <row r="27" spans="2:9" ht="14.25">
      <c r="B27" s="176" t="s">
        <v>550</v>
      </c>
      <c r="C27" s="343" t="s">
        <v>2015</v>
      </c>
      <c r="D27" s="343"/>
      <c r="E27" s="176" t="s">
        <v>346</v>
      </c>
      <c r="F27" s="176">
        <v>0.12</v>
      </c>
      <c r="G27" s="176"/>
      <c r="H27" s="178">
        <v>497142.86</v>
      </c>
      <c r="I27" s="178">
        <f t="shared" si="0"/>
        <v>59657.143199999999</v>
      </c>
    </row>
    <row r="28" spans="2:9" ht="15">
      <c r="B28" s="341" t="s">
        <v>2001</v>
      </c>
      <c r="C28" s="341"/>
      <c r="D28" s="341"/>
      <c r="E28" s="341"/>
      <c r="F28" s="341"/>
      <c r="G28" s="341"/>
      <c r="H28" s="341"/>
      <c r="I28" s="179">
        <f>SUM(I22:I27)</f>
        <v>994285.73320000013</v>
      </c>
    </row>
    <row r="29" spans="2:9" ht="15">
      <c r="B29" s="341" t="s">
        <v>1062</v>
      </c>
      <c r="C29" s="341"/>
      <c r="D29" s="341"/>
      <c r="E29" s="341"/>
      <c r="F29" s="341"/>
      <c r="G29" s="341"/>
      <c r="H29" s="181">
        <v>0.05</v>
      </c>
      <c r="I29" s="178">
        <f>I28*H29</f>
        <v>49714.286660000012</v>
      </c>
    </row>
    <row r="30" spans="2:9" ht="15">
      <c r="B30" s="341" t="s">
        <v>73</v>
      </c>
      <c r="C30" s="341"/>
      <c r="D30" s="341"/>
      <c r="E30" s="341"/>
      <c r="F30" s="341"/>
      <c r="G30" s="341"/>
      <c r="H30" s="341"/>
      <c r="I30" s="179">
        <f>I28+I29</f>
        <v>1044000.0198600001</v>
      </c>
    </row>
    <row r="31" spans="2:9" s="340" customFormat="1" ht="15" customHeight="1"/>
    <row r="32" spans="2:9" ht="15">
      <c r="B32" s="342" t="s">
        <v>2016</v>
      </c>
      <c r="C32" s="342"/>
      <c r="D32" s="342"/>
      <c r="E32" s="342"/>
      <c r="F32" s="342"/>
      <c r="G32" s="342"/>
      <c r="H32" s="342"/>
      <c r="I32" s="342"/>
    </row>
    <row r="33" spans="2:9" ht="15">
      <c r="B33" s="175" t="s">
        <v>42</v>
      </c>
      <c r="C33" s="175" t="s">
        <v>58</v>
      </c>
      <c r="D33" s="175" t="s">
        <v>136</v>
      </c>
      <c r="E33" s="175" t="s">
        <v>0</v>
      </c>
      <c r="F33" s="175" t="s">
        <v>2017</v>
      </c>
      <c r="G33" s="175" t="s">
        <v>345</v>
      </c>
      <c r="H33" s="175" t="s">
        <v>61</v>
      </c>
      <c r="I33" s="175" t="s">
        <v>79</v>
      </c>
    </row>
    <row r="34" spans="2:9" ht="28.5">
      <c r="B34" s="176" t="s">
        <v>2018</v>
      </c>
      <c r="C34" s="177" t="s">
        <v>2019</v>
      </c>
      <c r="D34" s="176" t="s">
        <v>390</v>
      </c>
      <c r="E34" s="176">
        <v>1</v>
      </c>
      <c r="F34" s="176">
        <v>1</v>
      </c>
      <c r="G34" s="178">
        <v>34800</v>
      </c>
      <c r="H34" s="178">
        <f>E34*F34*G34</f>
        <v>34800</v>
      </c>
      <c r="I34" s="178">
        <f>H34</f>
        <v>34800</v>
      </c>
    </row>
    <row r="35" spans="2:9" ht="30" customHeight="1">
      <c r="B35" s="341" t="s">
        <v>2001</v>
      </c>
      <c r="C35" s="341"/>
      <c r="D35" s="341"/>
      <c r="E35" s="341"/>
      <c r="F35" s="341"/>
      <c r="G35" s="341"/>
      <c r="H35" s="341"/>
      <c r="I35" s="179">
        <f>SUM(I34:I34)</f>
        <v>34800</v>
      </c>
    </row>
    <row r="36" spans="2:9" ht="13.8">
      <c r="B36" s="342" t="s">
        <v>2020</v>
      </c>
      <c r="C36" s="342"/>
      <c r="D36" s="342"/>
      <c r="E36" s="342"/>
      <c r="F36" s="342"/>
      <c r="G36" s="342"/>
      <c r="H36" s="342"/>
      <c r="I36" s="342"/>
    </row>
    <row r="37" spans="2:9" ht="13.8">
      <c r="B37" s="175" t="s">
        <v>42</v>
      </c>
      <c r="C37" s="342" t="s">
        <v>84</v>
      </c>
      <c r="D37" s="342"/>
      <c r="E37" s="175" t="s">
        <v>2021</v>
      </c>
      <c r="F37" s="175" t="s">
        <v>1</v>
      </c>
      <c r="G37" s="175" t="s">
        <v>77</v>
      </c>
      <c r="H37" s="175" t="s">
        <v>78</v>
      </c>
      <c r="I37" s="175" t="s">
        <v>79</v>
      </c>
    </row>
    <row r="38" spans="2:9" ht="13.8">
      <c r="B38" s="176" t="s">
        <v>2022</v>
      </c>
      <c r="C38" s="343" t="s">
        <v>2023</v>
      </c>
      <c r="D38" s="343"/>
      <c r="E38" s="176">
        <v>2</v>
      </c>
      <c r="F38" s="176" t="s">
        <v>213</v>
      </c>
      <c r="G38" s="178">
        <v>13500</v>
      </c>
      <c r="H38" s="176">
        <v>1</v>
      </c>
      <c r="I38" s="178">
        <f>E38*G38/H38</f>
        <v>27000</v>
      </c>
    </row>
    <row r="39" spans="2:9" ht="13.8">
      <c r="B39" s="176" t="s">
        <v>2024</v>
      </c>
      <c r="C39" s="343" t="s">
        <v>2025</v>
      </c>
      <c r="D39" s="343"/>
      <c r="E39" s="176">
        <v>6</v>
      </c>
      <c r="F39" s="176" t="s">
        <v>213</v>
      </c>
      <c r="G39" s="178">
        <v>21500</v>
      </c>
      <c r="H39" s="182">
        <f>E39*G39/I39</f>
        <v>0.20914397560570586</v>
      </c>
      <c r="I39" s="178">
        <f>1740000-I19-I30-I35-SUM(I38:I38)</f>
        <v>616799.98013999988</v>
      </c>
    </row>
    <row r="40" spans="2:9" ht="13.8">
      <c r="B40" s="344" t="s">
        <v>2001</v>
      </c>
      <c r="C40" s="344"/>
      <c r="D40" s="344"/>
      <c r="E40" s="344"/>
      <c r="F40" s="344"/>
      <c r="G40" s="344"/>
      <c r="H40" s="344"/>
      <c r="I40" s="180">
        <f>SUM(I38:I39)</f>
        <v>643799.98013999988</v>
      </c>
    </row>
    <row r="41" spans="2:9" ht="13.8">
      <c r="B41" s="183"/>
      <c r="C41" s="183"/>
      <c r="D41" s="183"/>
      <c r="E41" s="183"/>
      <c r="F41" s="183"/>
      <c r="G41" s="183"/>
      <c r="H41" s="183"/>
      <c r="I41" s="183"/>
    </row>
    <row r="42" spans="2:9" ht="15.6">
      <c r="B42" s="339" t="s">
        <v>2026</v>
      </c>
      <c r="C42" s="339"/>
      <c r="D42" s="339"/>
      <c r="E42" s="339"/>
      <c r="F42" s="339"/>
      <c r="G42" s="339"/>
      <c r="H42" s="339"/>
      <c r="I42" s="184">
        <f>I19+I30+I35+I40</f>
        <v>1740000</v>
      </c>
    </row>
  </sheetData>
  <mergeCells count="43">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6:D26"/>
    <mergeCell ref="B28:H28"/>
    <mergeCell ref="C27:D27"/>
    <mergeCell ref="B29:G29"/>
    <mergeCell ref="B30:H30"/>
    <mergeCell ref="B16:I16"/>
    <mergeCell ref="B19:H19"/>
    <mergeCell ref="B20:I20"/>
    <mergeCell ref="C24:D24"/>
    <mergeCell ref="C25:D25"/>
    <mergeCell ref="C17:D17"/>
    <mergeCell ref="C18:D18"/>
    <mergeCell ref="C21:D21"/>
    <mergeCell ref="C22:D22"/>
    <mergeCell ref="C23:D23"/>
    <mergeCell ref="B42:H42"/>
    <mergeCell ref="A31:XFD31"/>
    <mergeCell ref="B35:H35"/>
    <mergeCell ref="B36:I36"/>
    <mergeCell ref="C37:D37"/>
    <mergeCell ref="C38:D38"/>
    <mergeCell ref="C39:D39"/>
    <mergeCell ref="B40:H40"/>
    <mergeCell ref="B32:I32"/>
  </mergeCell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1D86C-68B7-42CD-9258-B9C6098817D8}">
  <sheetPr codeName="Hoja114"/>
  <dimension ref="B3:I36"/>
  <sheetViews>
    <sheetView topLeftCell="A10" zoomScale="89" zoomScaleNormal="89" workbookViewId="0">
      <selection activeCell="L22" sqref="L2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 t="s">
        <v>1685</v>
      </c>
      <c r="C13" s="355" t="s">
        <v>1687</v>
      </c>
      <c r="D13" s="355"/>
      <c r="E13" s="355"/>
      <c r="F13" s="355"/>
      <c r="G13" s="286" t="s">
        <v>1299</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customFormat="1" ht="15" customHeight="1">
      <c r="B16" s="356" t="s">
        <v>57</v>
      </c>
      <c r="C16" s="357"/>
      <c r="D16" s="357"/>
      <c r="E16" s="357"/>
      <c r="F16" s="357"/>
      <c r="G16" s="357"/>
      <c r="H16" s="357"/>
      <c r="I16" s="358"/>
    </row>
    <row r="17" spans="2:9" customFormat="1" ht="15" customHeight="1">
      <c r="B17" s="185" t="s">
        <v>42</v>
      </c>
      <c r="C17" s="356" t="s">
        <v>58</v>
      </c>
      <c r="D17" s="358"/>
      <c r="E17" s="185" t="s">
        <v>1</v>
      </c>
      <c r="F17" s="185" t="s">
        <v>60</v>
      </c>
      <c r="G17" s="185"/>
      <c r="H17" s="185" t="s">
        <v>61</v>
      </c>
      <c r="I17" s="185" t="s">
        <v>79</v>
      </c>
    </row>
    <row r="18" spans="2:9" customFormat="1" ht="28.35" customHeight="1">
      <c r="B18" s="17" t="s">
        <v>2007</v>
      </c>
      <c r="C18" s="346" t="s">
        <v>2008</v>
      </c>
      <c r="D18" s="347"/>
      <c r="E18" s="17" t="s">
        <v>390</v>
      </c>
      <c r="F18" s="17">
        <v>1</v>
      </c>
      <c r="G18" s="17"/>
      <c r="H18" s="189">
        <v>1350</v>
      </c>
      <c r="I18" s="189">
        <f>H18/F18</f>
        <v>1350</v>
      </c>
    </row>
    <row r="19" spans="2:9" customFormat="1" ht="15">
      <c r="B19" s="348" t="s">
        <v>2001</v>
      </c>
      <c r="C19" s="349"/>
      <c r="D19" s="349"/>
      <c r="E19" s="349"/>
      <c r="F19" s="349"/>
      <c r="G19" s="349"/>
      <c r="H19" s="350"/>
      <c r="I19" s="190">
        <f>SUM(I18:I18)</f>
        <v>1350</v>
      </c>
    </row>
    <row r="20" spans="2:9" customFormat="1" ht="15">
      <c r="B20" s="305" t="s">
        <v>2009</v>
      </c>
      <c r="C20" s="354"/>
      <c r="D20" s="354"/>
      <c r="E20" s="354"/>
      <c r="F20" s="354"/>
      <c r="G20" s="354"/>
      <c r="H20" s="354"/>
      <c r="I20" s="306"/>
    </row>
    <row r="21" spans="2:9" customFormat="1" ht="15" customHeight="1">
      <c r="B21" s="105" t="s">
        <v>42</v>
      </c>
      <c r="C21" s="305" t="s">
        <v>58</v>
      </c>
      <c r="D21" s="306"/>
      <c r="E21" s="105" t="s">
        <v>1</v>
      </c>
      <c r="F21" s="105" t="s">
        <v>67</v>
      </c>
      <c r="G21" s="105"/>
      <c r="H21" s="105" t="s">
        <v>61</v>
      </c>
      <c r="I21" s="105" t="s">
        <v>79</v>
      </c>
    </row>
    <row r="22" spans="2:9" customFormat="1" ht="28.35" customHeight="1">
      <c r="B22" s="17" t="s">
        <v>730</v>
      </c>
      <c r="C22" s="346" t="s">
        <v>1687</v>
      </c>
      <c r="D22" s="347"/>
      <c r="E22" s="17" t="s">
        <v>780</v>
      </c>
      <c r="F22" s="17">
        <v>1</v>
      </c>
      <c r="G22" s="17"/>
      <c r="H22" s="189">
        <v>49542.86</v>
      </c>
      <c r="I22" s="189">
        <f>F22*H22</f>
        <v>49542.86</v>
      </c>
    </row>
    <row r="23" spans="2:9" customFormat="1" ht="15" customHeight="1">
      <c r="B23" s="17" t="s">
        <v>732</v>
      </c>
      <c r="C23" s="346" t="s">
        <v>2027</v>
      </c>
      <c r="D23" s="347"/>
      <c r="E23" s="17" t="s">
        <v>390</v>
      </c>
      <c r="F23" s="17">
        <v>1</v>
      </c>
      <c r="G23" s="17"/>
      <c r="H23" s="189">
        <v>8742.86</v>
      </c>
      <c r="I23" s="189">
        <f>F23*H23</f>
        <v>8742.86</v>
      </c>
    </row>
    <row r="24" spans="2:9" customFormat="1" ht="15">
      <c r="B24" s="348" t="s">
        <v>2001</v>
      </c>
      <c r="C24" s="349"/>
      <c r="D24" s="349"/>
      <c r="E24" s="349"/>
      <c r="F24" s="349"/>
      <c r="G24" s="349"/>
      <c r="H24" s="350"/>
      <c r="I24" s="190">
        <f>SUM(I22:I23)</f>
        <v>58285.72</v>
      </c>
    </row>
    <row r="25" spans="2:9" customFormat="1" ht="15">
      <c r="B25" s="348" t="s">
        <v>1062</v>
      </c>
      <c r="C25" s="349"/>
      <c r="D25" s="349"/>
      <c r="E25" s="349"/>
      <c r="F25" s="349"/>
      <c r="G25" s="350"/>
      <c r="H25" s="191">
        <v>0.05</v>
      </c>
      <c r="I25" s="189">
        <f>I24*H25</f>
        <v>2914.2860000000001</v>
      </c>
    </row>
    <row r="26" spans="2:9" customFormat="1" ht="15">
      <c r="B26" s="348" t="s">
        <v>73</v>
      </c>
      <c r="C26" s="349"/>
      <c r="D26" s="349"/>
      <c r="E26" s="349"/>
      <c r="F26" s="349"/>
      <c r="G26" s="349"/>
      <c r="H26" s="350"/>
      <c r="I26" s="190">
        <f>I24+I25</f>
        <v>61200.006000000001</v>
      </c>
    </row>
    <row r="27" spans="2:9" customFormat="1" ht="15">
      <c r="B27" s="305" t="s">
        <v>2016</v>
      </c>
      <c r="C27" s="354"/>
      <c r="D27" s="354"/>
      <c r="E27" s="354"/>
      <c r="F27" s="354"/>
      <c r="G27" s="354"/>
      <c r="H27" s="354"/>
      <c r="I27" s="306"/>
    </row>
    <row r="28" spans="2:9" customFormat="1" ht="15">
      <c r="B28" s="105" t="s">
        <v>42</v>
      </c>
      <c r="C28" s="105" t="s">
        <v>58</v>
      </c>
      <c r="D28" s="105" t="s">
        <v>136</v>
      </c>
      <c r="E28" s="105" t="s">
        <v>0</v>
      </c>
      <c r="F28" s="105" t="s">
        <v>2017</v>
      </c>
      <c r="G28" s="105" t="s">
        <v>345</v>
      </c>
      <c r="H28" s="105" t="s">
        <v>61</v>
      </c>
      <c r="I28" s="105" t="s">
        <v>79</v>
      </c>
    </row>
    <row r="29" spans="2:9" customFormat="1" ht="13.8">
      <c r="B29" s="17" t="s">
        <v>2018</v>
      </c>
      <c r="C29" s="188" t="s">
        <v>2028</v>
      </c>
      <c r="D29" s="17" t="s">
        <v>390</v>
      </c>
      <c r="E29" s="17">
        <v>1</v>
      </c>
      <c r="F29" s="17">
        <v>1</v>
      </c>
      <c r="G29" s="189">
        <v>1350</v>
      </c>
      <c r="H29" s="189">
        <f>E29*F29*G29</f>
        <v>1350</v>
      </c>
      <c r="I29" s="189">
        <f>H29</f>
        <v>1350</v>
      </c>
    </row>
    <row r="30" spans="2:9" customFormat="1" ht="15">
      <c r="B30" s="348" t="s">
        <v>2001</v>
      </c>
      <c r="C30" s="349"/>
      <c r="D30" s="349"/>
      <c r="E30" s="349"/>
      <c r="F30" s="349"/>
      <c r="G30" s="349"/>
      <c r="H30" s="350"/>
      <c r="I30" s="190">
        <f>SUM(I29:I29)</f>
        <v>1350</v>
      </c>
    </row>
    <row r="31" spans="2:9" customFormat="1" ht="15">
      <c r="B31" s="305" t="s">
        <v>2020</v>
      </c>
      <c r="C31" s="354"/>
      <c r="D31" s="354"/>
      <c r="E31" s="354"/>
      <c r="F31" s="354"/>
      <c r="G31" s="354"/>
      <c r="H31" s="354"/>
      <c r="I31" s="306"/>
    </row>
    <row r="32" spans="2:9" customFormat="1" ht="28.35" customHeight="1">
      <c r="B32" s="105" t="s">
        <v>42</v>
      </c>
      <c r="C32" s="305" t="s">
        <v>84</v>
      </c>
      <c r="D32" s="306"/>
      <c r="E32" s="105" t="s">
        <v>2021</v>
      </c>
      <c r="F32" s="105" t="s">
        <v>1</v>
      </c>
      <c r="G32" s="105" t="s">
        <v>77</v>
      </c>
      <c r="H32" s="105" t="s">
        <v>78</v>
      </c>
      <c r="I32" s="105" t="s">
        <v>79</v>
      </c>
    </row>
    <row r="33" spans="2:9" customFormat="1" ht="15" customHeight="1">
      <c r="B33" s="17" t="s">
        <v>2022</v>
      </c>
      <c r="C33" s="346" t="s">
        <v>2029</v>
      </c>
      <c r="D33" s="347"/>
      <c r="E33" s="17">
        <v>1.5</v>
      </c>
      <c r="F33" s="17" t="s">
        <v>213</v>
      </c>
      <c r="G33" s="189">
        <v>21500</v>
      </c>
      <c r="H33" s="192">
        <f>E33*G33/I33</f>
        <v>1.235632467961487</v>
      </c>
      <c r="I33" s="189">
        <f>90000-I19-I26-I30-0</f>
        <v>26099.993999999999</v>
      </c>
    </row>
    <row r="34" spans="2:9" customFormat="1" ht="15">
      <c r="B34" s="348" t="s">
        <v>2001</v>
      </c>
      <c r="C34" s="349"/>
      <c r="D34" s="349"/>
      <c r="E34" s="349"/>
      <c r="F34" s="349"/>
      <c r="G34" s="349"/>
      <c r="H34" s="350"/>
      <c r="I34" s="190">
        <f>SUM(I33:I33)</f>
        <v>26099.993999999999</v>
      </c>
    </row>
    <row r="35" spans="2:9" customFormat="1" ht="15">
      <c r="B35" s="193"/>
      <c r="C35" s="193"/>
      <c r="D35" s="193"/>
      <c r="E35" s="193"/>
      <c r="F35" s="193"/>
      <c r="G35" s="193"/>
      <c r="H35" s="193"/>
      <c r="I35" s="193"/>
    </row>
    <row r="36" spans="2:9" customFormat="1" ht="15">
      <c r="B36" s="351" t="s">
        <v>2026</v>
      </c>
      <c r="C36" s="352"/>
      <c r="D36" s="352"/>
      <c r="E36" s="352"/>
      <c r="F36" s="352"/>
      <c r="G36" s="352"/>
      <c r="H36" s="353"/>
      <c r="I36" s="194">
        <f>I19+I26+I30+I34</f>
        <v>90000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C32:D32"/>
    <mergeCell ref="C33:D33"/>
    <mergeCell ref="B34:H34"/>
    <mergeCell ref="B36:H36"/>
    <mergeCell ref="C22:D22"/>
    <mergeCell ref="C23:D23"/>
    <mergeCell ref="B24:H24"/>
    <mergeCell ref="B25:G25"/>
    <mergeCell ref="B26:H26"/>
    <mergeCell ref="B27:I27"/>
    <mergeCell ref="B31:I31"/>
    <mergeCell ref="B30:H30"/>
  </mergeCell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4E48-78C1-448A-B445-29ACA3BF158D}">
  <sheetPr codeName="Hoja115"/>
  <dimension ref="B3:I36"/>
  <sheetViews>
    <sheetView topLeftCell="A7" zoomScale="89" zoomScaleNormal="89" workbookViewId="0">
      <selection activeCell="K18" sqref="K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1686</v>
      </c>
      <c r="C13" s="355" t="s">
        <v>1688</v>
      </c>
      <c r="D13" s="355"/>
      <c r="E13" s="355"/>
      <c r="F13" s="35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customFormat="1" ht="15" customHeight="1">
      <c r="B16" s="342" t="s">
        <v>57</v>
      </c>
      <c r="C16" s="342"/>
      <c r="D16" s="342"/>
      <c r="E16" s="342"/>
      <c r="F16" s="342"/>
      <c r="G16" s="342"/>
      <c r="H16" s="342"/>
      <c r="I16" s="342"/>
    </row>
    <row r="17" spans="2:9" customFormat="1" ht="15" customHeight="1">
      <c r="B17" s="105" t="s">
        <v>42</v>
      </c>
      <c r="C17" s="360" t="s">
        <v>58</v>
      </c>
      <c r="D17" s="360"/>
      <c r="E17" s="105" t="s">
        <v>1</v>
      </c>
      <c r="F17" s="105" t="s">
        <v>60</v>
      </c>
      <c r="G17" s="105"/>
      <c r="H17" s="105" t="s">
        <v>61</v>
      </c>
      <c r="I17" s="105" t="s">
        <v>79</v>
      </c>
    </row>
    <row r="18" spans="2:9" customFormat="1" ht="28.35" customHeight="1">
      <c r="B18" s="17" t="s">
        <v>2007</v>
      </c>
      <c r="C18" s="361" t="s">
        <v>2008</v>
      </c>
      <c r="D18" s="361"/>
      <c r="E18" s="17" t="s">
        <v>390</v>
      </c>
      <c r="F18" s="17">
        <v>1</v>
      </c>
      <c r="G18" s="17"/>
      <c r="H18" s="189">
        <v>3564</v>
      </c>
      <c r="I18" s="189">
        <f>H18/F18</f>
        <v>3564</v>
      </c>
    </row>
    <row r="19" spans="2:9" customFormat="1" ht="15">
      <c r="B19" s="362" t="s">
        <v>2001</v>
      </c>
      <c r="C19" s="362"/>
      <c r="D19" s="362"/>
      <c r="E19" s="362"/>
      <c r="F19" s="362"/>
      <c r="G19" s="362"/>
      <c r="H19" s="362"/>
      <c r="I19" s="190">
        <f>SUM(I18:I18)</f>
        <v>3564</v>
      </c>
    </row>
    <row r="20" spans="2:9" customFormat="1" ht="15" customHeight="1">
      <c r="B20" s="360" t="s">
        <v>2009</v>
      </c>
      <c r="C20" s="360"/>
      <c r="D20" s="360"/>
      <c r="E20" s="360"/>
      <c r="F20" s="360"/>
      <c r="G20" s="360"/>
      <c r="H20" s="360"/>
      <c r="I20" s="360"/>
    </row>
    <row r="21" spans="2:9" customFormat="1" ht="15">
      <c r="B21" s="105" t="s">
        <v>42</v>
      </c>
      <c r="C21" s="305" t="s">
        <v>58</v>
      </c>
      <c r="D21" s="306"/>
      <c r="E21" s="105" t="s">
        <v>1</v>
      </c>
      <c r="F21" s="105" t="s">
        <v>67</v>
      </c>
      <c r="G21" s="105"/>
      <c r="H21" s="105" t="s">
        <v>61</v>
      </c>
      <c r="I21" s="105" t="s">
        <v>79</v>
      </c>
    </row>
    <row r="22" spans="2:9" customFormat="1" ht="15" customHeight="1">
      <c r="B22" s="17" t="s">
        <v>730</v>
      </c>
      <c r="C22" s="361" t="s">
        <v>1688</v>
      </c>
      <c r="D22" s="361"/>
      <c r="E22" s="17" t="s">
        <v>780</v>
      </c>
      <c r="F22" s="17">
        <v>1</v>
      </c>
      <c r="G22" s="17"/>
      <c r="H22" s="189">
        <v>130793.14</v>
      </c>
      <c r="I22" s="189">
        <f>F22*H22</f>
        <v>130793.14</v>
      </c>
    </row>
    <row r="23" spans="2:9" customFormat="1" ht="15" customHeight="1">
      <c r="B23" s="17" t="s">
        <v>732</v>
      </c>
      <c r="C23" s="361" t="s">
        <v>2027</v>
      </c>
      <c r="D23" s="361"/>
      <c r="E23" s="17" t="s">
        <v>390</v>
      </c>
      <c r="F23" s="17">
        <v>1</v>
      </c>
      <c r="G23" s="17"/>
      <c r="H23" s="189">
        <v>23081.14</v>
      </c>
      <c r="I23" s="189">
        <f>F23*H23</f>
        <v>23081.14</v>
      </c>
    </row>
    <row r="24" spans="2:9" customFormat="1" ht="15">
      <c r="B24" s="362" t="s">
        <v>2001</v>
      </c>
      <c r="C24" s="362"/>
      <c r="D24" s="362"/>
      <c r="E24" s="362"/>
      <c r="F24" s="362"/>
      <c r="G24" s="362"/>
      <c r="H24" s="362"/>
      <c r="I24" s="190">
        <f>SUM(I22:I23)</f>
        <v>153874.28</v>
      </c>
    </row>
    <row r="25" spans="2:9" customFormat="1" ht="15">
      <c r="B25" s="362" t="s">
        <v>1062</v>
      </c>
      <c r="C25" s="362"/>
      <c r="D25" s="362"/>
      <c r="E25" s="362"/>
      <c r="F25" s="362"/>
      <c r="G25" s="362"/>
      <c r="H25" s="191">
        <v>0.05</v>
      </c>
      <c r="I25" s="189">
        <f>I24*H25</f>
        <v>7693.7139999999999</v>
      </c>
    </row>
    <row r="26" spans="2:9" customFormat="1" ht="15">
      <c r="B26" s="362" t="s">
        <v>73</v>
      </c>
      <c r="C26" s="362"/>
      <c r="D26" s="362"/>
      <c r="E26" s="362"/>
      <c r="F26" s="362"/>
      <c r="G26" s="362"/>
      <c r="H26" s="362"/>
      <c r="I26" s="190">
        <f>I24+I25</f>
        <v>161567.99400000001</v>
      </c>
    </row>
    <row r="27" spans="2:9" customFormat="1" ht="15" customHeight="1">
      <c r="B27" s="360" t="s">
        <v>2016</v>
      </c>
      <c r="C27" s="360"/>
      <c r="D27" s="360"/>
      <c r="E27" s="360"/>
      <c r="F27" s="360"/>
      <c r="G27" s="360"/>
      <c r="H27" s="360"/>
      <c r="I27" s="360"/>
    </row>
    <row r="28" spans="2:9" customFormat="1" ht="15">
      <c r="B28" s="105" t="s">
        <v>42</v>
      </c>
      <c r="C28" s="105" t="s">
        <v>58</v>
      </c>
      <c r="D28" s="105" t="s">
        <v>136</v>
      </c>
      <c r="E28" s="105" t="s">
        <v>0</v>
      </c>
      <c r="F28" s="105" t="s">
        <v>2017</v>
      </c>
      <c r="G28" s="105" t="s">
        <v>345</v>
      </c>
      <c r="H28" s="105" t="s">
        <v>61</v>
      </c>
      <c r="I28" s="105" t="s">
        <v>79</v>
      </c>
    </row>
    <row r="29" spans="2:9" customFormat="1" ht="13.8">
      <c r="B29" s="17" t="s">
        <v>2018</v>
      </c>
      <c r="C29" s="188" t="s">
        <v>2028</v>
      </c>
      <c r="D29" s="17" t="s">
        <v>390</v>
      </c>
      <c r="E29" s="17">
        <v>1</v>
      </c>
      <c r="F29" s="17">
        <v>1</v>
      </c>
      <c r="G29" s="189">
        <v>3564</v>
      </c>
      <c r="H29" s="189">
        <f>E29*F29*G29</f>
        <v>3564</v>
      </c>
      <c r="I29" s="189">
        <f>H29</f>
        <v>3564</v>
      </c>
    </row>
    <row r="30" spans="2:9" customFormat="1" ht="15">
      <c r="B30" s="362" t="s">
        <v>2001</v>
      </c>
      <c r="C30" s="362"/>
      <c r="D30" s="362"/>
      <c r="E30" s="362"/>
      <c r="F30" s="362"/>
      <c r="G30" s="362"/>
      <c r="H30" s="362"/>
      <c r="I30" s="190">
        <f>SUM(I29:I29)</f>
        <v>3564</v>
      </c>
    </row>
    <row r="31" spans="2:9" customFormat="1" ht="15" customHeight="1">
      <c r="B31" s="360" t="s">
        <v>2020</v>
      </c>
      <c r="C31" s="360"/>
      <c r="D31" s="360"/>
      <c r="E31" s="360"/>
      <c r="F31" s="360"/>
      <c r="G31" s="360"/>
      <c r="H31" s="360"/>
      <c r="I31" s="360"/>
    </row>
    <row r="32" spans="2:9" customFormat="1" ht="28.35" customHeight="1">
      <c r="B32" s="105" t="s">
        <v>42</v>
      </c>
      <c r="C32" s="360" t="s">
        <v>84</v>
      </c>
      <c r="D32" s="360"/>
      <c r="E32" s="105" t="s">
        <v>2021</v>
      </c>
      <c r="F32" s="105" t="s">
        <v>1</v>
      </c>
      <c r="G32" s="105" t="s">
        <v>77</v>
      </c>
      <c r="H32" s="105" t="s">
        <v>78</v>
      </c>
      <c r="I32" s="105" t="s">
        <v>79</v>
      </c>
    </row>
    <row r="33" spans="2:9" customFormat="1" ht="15" customHeight="1">
      <c r="B33" s="17" t="s">
        <v>2022</v>
      </c>
      <c r="C33" s="361" t="s">
        <v>2029</v>
      </c>
      <c r="D33" s="361"/>
      <c r="E33" s="17">
        <v>1.5</v>
      </c>
      <c r="F33" s="17" t="s">
        <v>213</v>
      </c>
      <c r="G33" s="189">
        <v>21500</v>
      </c>
      <c r="H33" s="192">
        <f>E33*G33/I33</f>
        <v>0.46804245314851511</v>
      </c>
      <c r="I33" s="189">
        <f>237600-I19-I26-I30-0</f>
        <v>68904.005999999994</v>
      </c>
    </row>
    <row r="34" spans="2:9" customFormat="1" ht="15">
      <c r="B34" s="362" t="s">
        <v>2001</v>
      </c>
      <c r="C34" s="362"/>
      <c r="D34" s="362"/>
      <c r="E34" s="362"/>
      <c r="F34" s="362"/>
      <c r="G34" s="362"/>
      <c r="H34" s="362"/>
      <c r="I34" s="190">
        <f>SUM(I33:I33)</f>
        <v>68904.005999999994</v>
      </c>
    </row>
    <row r="35" spans="2:9" customFormat="1" ht="15">
      <c r="B35" s="193"/>
      <c r="C35" s="193"/>
      <c r="D35" s="193"/>
      <c r="E35" s="193"/>
      <c r="F35" s="193"/>
      <c r="G35" s="193"/>
      <c r="H35" s="193"/>
      <c r="I35" s="193"/>
    </row>
    <row r="36" spans="2:9" customFormat="1" ht="15">
      <c r="B36" s="359" t="s">
        <v>2026</v>
      </c>
      <c r="C36" s="359"/>
      <c r="D36" s="359"/>
      <c r="E36" s="359"/>
      <c r="F36" s="359"/>
      <c r="G36" s="359"/>
      <c r="H36" s="359"/>
      <c r="I36" s="195">
        <f>I19+I26+I30+I34</f>
        <v>237600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17:D17"/>
    <mergeCell ref="B16:I16"/>
    <mergeCell ref="C18:D18"/>
    <mergeCell ref="B19:H19"/>
    <mergeCell ref="B20:I20"/>
    <mergeCell ref="B36:H36"/>
    <mergeCell ref="C32:D32"/>
    <mergeCell ref="C21:D21"/>
    <mergeCell ref="C22:D22"/>
    <mergeCell ref="C23:D23"/>
    <mergeCell ref="B24:H24"/>
    <mergeCell ref="B25:G25"/>
    <mergeCell ref="B26:H26"/>
    <mergeCell ref="B27:I27"/>
    <mergeCell ref="B30:H30"/>
    <mergeCell ref="B31:I31"/>
    <mergeCell ref="C33:D33"/>
    <mergeCell ref="B34:H34"/>
  </mergeCell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4313-11DA-4F14-9C87-343C04CF925B}">
  <sheetPr codeName="Hoja116"/>
  <dimension ref="B3:I38"/>
  <sheetViews>
    <sheetView topLeftCell="A7" zoomScale="89" zoomScaleNormal="89" workbookViewId="0">
      <selection activeCell="L16" sqref="L16"/>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1689</v>
      </c>
      <c r="C13" s="355" t="s">
        <v>1696</v>
      </c>
      <c r="D13" s="355"/>
      <c r="E13" s="355"/>
      <c r="F13" s="355"/>
      <c r="G13" s="286" t="s">
        <v>136</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531</v>
      </c>
      <c r="I18" s="189">
        <f>H18/F18</f>
        <v>531</v>
      </c>
    </row>
    <row r="19" spans="2:9" s="193" customFormat="1" ht="12">
      <c r="B19" s="362" t="s">
        <v>2001</v>
      </c>
      <c r="C19" s="362"/>
      <c r="D19" s="362"/>
      <c r="E19" s="362"/>
      <c r="F19" s="362"/>
      <c r="G19" s="362"/>
      <c r="H19" s="362"/>
      <c r="I19" s="190">
        <f>SUM(I18:I18)</f>
        <v>531</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920</v>
      </c>
      <c r="C22" s="361" t="s">
        <v>2030</v>
      </c>
      <c r="D22" s="361"/>
      <c r="E22" s="17" t="s">
        <v>159</v>
      </c>
      <c r="F22" s="17">
        <v>2</v>
      </c>
      <c r="G22" s="17"/>
      <c r="H22" s="189">
        <v>3719.52</v>
      </c>
      <c r="I22" s="189">
        <f>F22*H22</f>
        <v>7439.04</v>
      </c>
    </row>
    <row r="23" spans="2:9" s="193" customFormat="1" ht="15" customHeight="1">
      <c r="B23" s="17" t="s">
        <v>922</v>
      </c>
      <c r="C23" s="361" t="s">
        <v>2031</v>
      </c>
      <c r="D23" s="361"/>
      <c r="E23" s="17" t="s">
        <v>780</v>
      </c>
      <c r="F23" s="17">
        <v>4</v>
      </c>
      <c r="G23" s="17"/>
      <c r="H23" s="189">
        <v>1594.08</v>
      </c>
      <c r="I23" s="189">
        <f>F23*H23</f>
        <v>6376.32</v>
      </c>
    </row>
    <row r="24" spans="2:9" s="193" customFormat="1" ht="15" customHeight="1">
      <c r="B24" s="17" t="s">
        <v>923</v>
      </c>
      <c r="C24" s="361" t="s">
        <v>2032</v>
      </c>
      <c r="D24" s="361"/>
      <c r="E24" s="17" t="s">
        <v>390</v>
      </c>
      <c r="F24" s="17">
        <v>1</v>
      </c>
      <c r="G24" s="17"/>
      <c r="H24" s="189">
        <v>3188.16</v>
      </c>
      <c r="I24" s="189">
        <f>F24*H24</f>
        <v>3188.16</v>
      </c>
    </row>
    <row r="25" spans="2:9" s="193" customFormat="1" ht="15" customHeight="1">
      <c r="B25" s="17" t="s">
        <v>925</v>
      </c>
      <c r="C25" s="361" t="s">
        <v>2033</v>
      </c>
      <c r="D25" s="361"/>
      <c r="E25" s="17" t="s">
        <v>390</v>
      </c>
      <c r="F25" s="17">
        <v>1</v>
      </c>
      <c r="G25" s="17"/>
      <c r="H25" s="189">
        <v>4250.88</v>
      </c>
      <c r="I25" s="189">
        <f>F25*H25</f>
        <v>4250.88</v>
      </c>
    </row>
    <row r="26" spans="2:9" s="193" customFormat="1" ht="12">
      <c r="B26" s="362" t="s">
        <v>2001</v>
      </c>
      <c r="C26" s="362"/>
      <c r="D26" s="362"/>
      <c r="E26" s="362"/>
      <c r="F26" s="362"/>
      <c r="G26" s="362"/>
      <c r="H26" s="362"/>
      <c r="I26" s="190">
        <f>SUM(I22:I25)</f>
        <v>21254.400000000001</v>
      </c>
    </row>
    <row r="27" spans="2:9" s="193" customFormat="1" ht="12">
      <c r="B27" s="362" t="s">
        <v>1062</v>
      </c>
      <c r="C27" s="362"/>
      <c r="D27" s="362"/>
      <c r="E27" s="362"/>
      <c r="F27" s="362"/>
      <c r="G27" s="362"/>
      <c r="H27" s="191">
        <v>0.05</v>
      </c>
      <c r="I27" s="189">
        <f>I26*H27</f>
        <v>1062.72</v>
      </c>
    </row>
    <row r="28" spans="2:9" s="193" customFormat="1" ht="12">
      <c r="B28" s="362" t="s">
        <v>73</v>
      </c>
      <c r="C28" s="362"/>
      <c r="D28" s="362"/>
      <c r="E28" s="362"/>
      <c r="F28" s="362"/>
      <c r="G28" s="362"/>
      <c r="H28" s="362"/>
      <c r="I28" s="190">
        <f>I26+I27</f>
        <v>22317.120000000003</v>
      </c>
    </row>
    <row r="29" spans="2:9" s="193" customFormat="1" ht="15" customHeight="1">
      <c r="B29" s="360" t="s">
        <v>2016</v>
      </c>
      <c r="C29" s="360"/>
      <c r="D29" s="360"/>
      <c r="E29" s="360"/>
      <c r="F29" s="360"/>
      <c r="G29" s="360"/>
      <c r="H29" s="360"/>
      <c r="I29" s="360"/>
    </row>
    <row r="30" spans="2:9" s="193" customFormat="1" ht="12">
      <c r="B30" s="105" t="s">
        <v>42</v>
      </c>
      <c r="C30" s="105" t="s">
        <v>58</v>
      </c>
      <c r="D30" s="105" t="s">
        <v>136</v>
      </c>
      <c r="E30" s="105" t="s">
        <v>0</v>
      </c>
      <c r="F30" s="105" t="s">
        <v>2017</v>
      </c>
      <c r="G30" s="105" t="s">
        <v>345</v>
      </c>
      <c r="H30" s="105" t="s">
        <v>61</v>
      </c>
      <c r="I30" s="105" t="s">
        <v>79</v>
      </c>
    </row>
    <row r="31" spans="2:9" s="193" customFormat="1" ht="12">
      <c r="B31" s="17" t="s">
        <v>2018</v>
      </c>
      <c r="C31" s="188" t="s">
        <v>2034</v>
      </c>
      <c r="D31" s="17" t="s">
        <v>390</v>
      </c>
      <c r="E31" s="17">
        <v>1</v>
      </c>
      <c r="F31" s="17">
        <v>1</v>
      </c>
      <c r="G31" s="189">
        <v>531.36</v>
      </c>
      <c r="H31" s="189">
        <f>E31*F31*G31</f>
        <v>531.36</v>
      </c>
      <c r="I31" s="189">
        <f>H31</f>
        <v>531.36</v>
      </c>
    </row>
    <row r="32" spans="2:9" s="193" customFormat="1" ht="12">
      <c r="B32" s="362" t="s">
        <v>2001</v>
      </c>
      <c r="C32" s="362"/>
      <c r="D32" s="362"/>
      <c r="E32" s="362"/>
      <c r="F32" s="362"/>
      <c r="G32" s="362"/>
      <c r="H32" s="362"/>
      <c r="I32" s="190">
        <f>SUM(I31:I31)</f>
        <v>531.36</v>
      </c>
    </row>
    <row r="33" spans="2:9" s="193" customFormat="1" ht="15" customHeight="1">
      <c r="B33" s="360" t="s">
        <v>2020</v>
      </c>
      <c r="C33" s="360"/>
      <c r="D33" s="360"/>
      <c r="E33" s="360"/>
      <c r="F33" s="360"/>
      <c r="G33" s="360"/>
      <c r="H33" s="360"/>
      <c r="I33" s="360"/>
    </row>
    <row r="34" spans="2:9" s="193" customFormat="1" ht="28.35" customHeight="1">
      <c r="B34" s="105" t="s">
        <v>42</v>
      </c>
      <c r="C34" s="360" t="s">
        <v>84</v>
      </c>
      <c r="D34" s="360"/>
      <c r="E34" s="105" t="s">
        <v>2021</v>
      </c>
      <c r="F34" s="105" t="s">
        <v>1</v>
      </c>
      <c r="G34" s="105" t="s">
        <v>77</v>
      </c>
      <c r="H34" s="105" t="s">
        <v>78</v>
      </c>
      <c r="I34" s="105" t="s">
        <v>79</v>
      </c>
    </row>
    <row r="35" spans="2:9" s="193" customFormat="1" ht="15" customHeight="1">
      <c r="B35" s="17" t="s">
        <v>2022</v>
      </c>
      <c r="C35" s="361" t="s">
        <v>2035</v>
      </c>
      <c r="D35" s="361"/>
      <c r="E35" s="17">
        <v>2.5</v>
      </c>
      <c r="F35" s="17" t="s">
        <v>213</v>
      </c>
      <c r="G35" s="189">
        <v>19000</v>
      </c>
      <c r="H35" s="192">
        <f>E35*G35/I35</f>
        <v>1.5962888133424207</v>
      </c>
      <c r="I35" s="189">
        <f>53136-I19-I28-I32-0</f>
        <v>29756.519999999997</v>
      </c>
    </row>
    <row r="36" spans="2:9" s="193" customFormat="1" ht="12">
      <c r="B36" s="362" t="s">
        <v>2001</v>
      </c>
      <c r="C36" s="362"/>
      <c r="D36" s="362"/>
      <c r="E36" s="362"/>
      <c r="F36" s="362"/>
      <c r="G36" s="362"/>
      <c r="H36" s="362"/>
      <c r="I36" s="190">
        <f>SUM(I35:I35)</f>
        <v>29756.519999999997</v>
      </c>
    </row>
    <row r="37" spans="2:9" s="193" customFormat="1" ht="12"/>
    <row r="38" spans="2:9" s="193" customFormat="1" ht="12">
      <c r="B38" s="359" t="s">
        <v>2026</v>
      </c>
      <c r="C38" s="359"/>
      <c r="D38" s="359"/>
      <c r="E38" s="359"/>
      <c r="F38" s="359"/>
      <c r="G38" s="359"/>
      <c r="H38" s="359"/>
      <c r="I38" s="195">
        <f>I19+I28+I32+I36</f>
        <v>53136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B26:H26"/>
    <mergeCell ref="C24:D24"/>
    <mergeCell ref="C25:D25"/>
    <mergeCell ref="B38:H38"/>
    <mergeCell ref="B28:H28"/>
    <mergeCell ref="B29:I29"/>
    <mergeCell ref="B32:H32"/>
    <mergeCell ref="B33:I33"/>
    <mergeCell ref="C34:D34"/>
    <mergeCell ref="C35:D35"/>
    <mergeCell ref="B36:H36"/>
  </mergeCell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28A1C-381F-4D98-B33B-CAEC0A47EF0B}">
  <sheetPr codeName="Hoja117"/>
  <dimension ref="B3:I38"/>
  <sheetViews>
    <sheetView topLeftCell="A4"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1690</v>
      </c>
      <c r="C13" s="355" t="s">
        <v>1697</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531</v>
      </c>
      <c r="I18" s="196">
        <f>H18/F18</f>
        <v>531</v>
      </c>
    </row>
    <row r="19" spans="2:9" s="193" customFormat="1" ht="12">
      <c r="B19" s="362" t="s">
        <v>2001</v>
      </c>
      <c r="C19" s="362"/>
      <c r="D19" s="362"/>
      <c r="E19" s="362"/>
      <c r="F19" s="362"/>
      <c r="G19" s="362"/>
      <c r="H19" s="362"/>
      <c r="I19" s="198">
        <f>SUM(I18:I18)</f>
        <v>531</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920</v>
      </c>
      <c r="C22" s="361" t="s">
        <v>2030</v>
      </c>
      <c r="D22" s="361"/>
      <c r="E22" s="17" t="s">
        <v>159</v>
      </c>
      <c r="F22" s="17">
        <v>2</v>
      </c>
      <c r="G22" s="17"/>
      <c r="H22" s="189">
        <v>3719.52</v>
      </c>
      <c r="I22" s="189">
        <f>F22*H22</f>
        <v>7439.04</v>
      </c>
    </row>
    <row r="23" spans="2:9" s="193" customFormat="1" ht="15" customHeight="1">
      <c r="B23" s="17" t="s">
        <v>922</v>
      </c>
      <c r="C23" s="361" t="s">
        <v>2031</v>
      </c>
      <c r="D23" s="361"/>
      <c r="E23" s="17" t="s">
        <v>780</v>
      </c>
      <c r="F23" s="17">
        <v>4</v>
      </c>
      <c r="G23" s="17"/>
      <c r="H23" s="189">
        <v>1594.08</v>
      </c>
      <c r="I23" s="189">
        <f>F23*H23</f>
        <v>6376.32</v>
      </c>
    </row>
    <row r="24" spans="2:9" s="193" customFormat="1" ht="15" customHeight="1">
      <c r="B24" s="17" t="s">
        <v>923</v>
      </c>
      <c r="C24" s="361" t="s">
        <v>2032</v>
      </c>
      <c r="D24" s="361"/>
      <c r="E24" s="17" t="s">
        <v>390</v>
      </c>
      <c r="F24" s="17">
        <v>1</v>
      </c>
      <c r="G24" s="17"/>
      <c r="H24" s="189">
        <v>3188.16</v>
      </c>
      <c r="I24" s="189">
        <f>F24*H24</f>
        <v>3188.16</v>
      </c>
    </row>
    <row r="25" spans="2:9" s="193" customFormat="1" ht="15" customHeight="1">
      <c r="B25" s="17" t="s">
        <v>925</v>
      </c>
      <c r="C25" s="361" t="s">
        <v>2033</v>
      </c>
      <c r="D25" s="361"/>
      <c r="E25" s="17" t="s">
        <v>390</v>
      </c>
      <c r="F25" s="17">
        <v>1</v>
      </c>
      <c r="G25" s="17"/>
      <c r="H25" s="189">
        <v>4250.88</v>
      </c>
      <c r="I25" s="189">
        <f>F25*H25</f>
        <v>4250.88</v>
      </c>
    </row>
    <row r="26" spans="2:9" s="193" customFormat="1" ht="12">
      <c r="B26" s="362" t="s">
        <v>2001</v>
      </c>
      <c r="C26" s="362"/>
      <c r="D26" s="362"/>
      <c r="E26" s="362"/>
      <c r="F26" s="362"/>
      <c r="G26" s="362"/>
      <c r="H26" s="362"/>
      <c r="I26" s="198">
        <f>SUM(I22:I25)</f>
        <v>21254.400000000001</v>
      </c>
    </row>
    <row r="27" spans="2:9" s="193" customFormat="1" ht="12">
      <c r="B27" s="362" t="s">
        <v>1062</v>
      </c>
      <c r="C27" s="362"/>
      <c r="D27" s="362"/>
      <c r="E27" s="362"/>
      <c r="F27" s="362"/>
      <c r="G27" s="362"/>
      <c r="H27" s="191">
        <v>0.05</v>
      </c>
      <c r="I27" s="189">
        <f>I26*H27</f>
        <v>1062.72</v>
      </c>
    </row>
    <row r="28" spans="2:9" s="193" customFormat="1" ht="12">
      <c r="B28" s="362" t="s">
        <v>73</v>
      </c>
      <c r="C28" s="362"/>
      <c r="D28" s="362"/>
      <c r="E28" s="362"/>
      <c r="F28" s="362"/>
      <c r="G28" s="362"/>
      <c r="H28" s="362"/>
      <c r="I28" s="197">
        <f>I26+I27</f>
        <v>22317.120000000003</v>
      </c>
    </row>
    <row r="29" spans="2:9" s="193" customFormat="1" ht="15" customHeight="1">
      <c r="B29" s="360" t="s">
        <v>2016</v>
      </c>
      <c r="C29" s="360"/>
      <c r="D29" s="360"/>
      <c r="E29" s="360"/>
      <c r="F29" s="360"/>
      <c r="G29" s="360"/>
      <c r="H29" s="360"/>
      <c r="I29" s="360"/>
    </row>
    <row r="30" spans="2:9" s="193" customFormat="1" ht="12">
      <c r="B30" s="105" t="s">
        <v>42</v>
      </c>
      <c r="C30" s="105" t="s">
        <v>58</v>
      </c>
      <c r="D30" s="105" t="s">
        <v>136</v>
      </c>
      <c r="E30" s="105" t="s">
        <v>0</v>
      </c>
      <c r="F30" s="105" t="s">
        <v>2017</v>
      </c>
      <c r="G30" s="105" t="s">
        <v>345</v>
      </c>
      <c r="H30" s="105" t="s">
        <v>61</v>
      </c>
      <c r="I30" s="105" t="s">
        <v>79</v>
      </c>
    </row>
    <row r="31" spans="2:9" s="193" customFormat="1" ht="12">
      <c r="B31" s="17" t="s">
        <v>2018</v>
      </c>
      <c r="C31" s="188" t="s">
        <v>2034</v>
      </c>
      <c r="D31" s="17" t="s">
        <v>390</v>
      </c>
      <c r="E31" s="17">
        <v>1</v>
      </c>
      <c r="F31" s="17">
        <v>1</v>
      </c>
      <c r="G31" s="189">
        <v>531.36</v>
      </c>
      <c r="H31" s="189">
        <f>E31*F31*G31</f>
        <v>531.36</v>
      </c>
      <c r="I31" s="189">
        <f>H31</f>
        <v>531.36</v>
      </c>
    </row>
    <row r="32" spans="2:9" s="193" customFormat="1" ht="12">
      <c r="B32" s="362" t="s">
        <v>2001</v>
      </c>
      <c r="C32" s="362"/>
      <c r="D32" s="362"/>
      <c r="E32" s="362"/>
      <c r="F32" s="362"/>
      <c r="G32" s="362"/>
      <c r="H32" s="362"/>
      <c r="I32" s="190">
        <f>SUM(I31:I31)</f>
        <v>531.36</v>
      </c>
    </row>
    <row r="33" spans="2:9" s="193" customFormat="1" ht="15" customHeight="1">
      <c r="B33" s="360" t="s">
        <v>2020</v>
      </c>
      <c r="C33" s="360"/>
      <c r="D33" s="360"/>
      <c r="E33" s="360"/>
      <c r="F33" s="360"/>
      <c r="G33" s="360"/>
      <c r="H33" s="360"/>
      <c r="I33" s="360"/>
    </row>
    <row r="34" spans="2:9" s="193" customFormat="1" ht="28.35" customHeight="1">
      <c r="B34" s="105" t="s">
        <v>42</v>
      </c>
      <c r="C34" s="360" t="s">
        <v>84</v>
      </c>
      <c r="D34" s="360"/>
      <c r="E34" s="105" t="s">
        <v>2021</v>
      </c>
      <c r="F34" s="105" t="s">
        <v>1</v>
      </c>
      <c r="G34" s="105" t="s">
        <v>77</v>
      </c>
      <c r="H34" s="105" t="s">
        <v>78</v>
      </c>
      <c r="I34" s="105" t="s">
        <v>79</v>
      </c>
    </row>
    <row r="35" spans="2:9" s="193" customFormat="1" ht="15" customHeight="1">
      <c r="B35" s="17" t="s">
        <v>2022</v>
      </c>
      <c r="C35" s="361" t="s">
        <v>2035</v>
      </c>
      <c r="D35" s="361"/>
      <c r="E35" s="17">
        <v>2.5</v>
      </c>
      <c r="F35" s="17" t="s">
        <v>213</v>
      </c>
      <c r="G35" s="189">
        <v>19000</v>
      </c>
      <c r="H35" s="192">
        <f>E35*G35/I35</f>
        <v>1.5962888133424207</v>
      </c>
      <c r="I35" s="189">
        <f>53136-I19-I28-I32-0</f>
        <v>29756.519999999997</v>
      </c>
    </row>
    <row r="36" spans="2:9" s="193" customFormat="1" ht="12">
      <c r="B36" s="362" t="s">
        <v>2001</v>
      </c>
      <c r="C36" s="362"/>
      <c r="D36" s="362"/>
      <c r="E36" s="362"/>
      <c r="F36" s="362"/>
      <c r="G36" s="362"/>
      <c r="H36" s="362"/>
      <c r="I36" s="190">
        <f>SUM(I35:I35)</f>
        <v>29756.519999999997</v>
      </c>
    </row>
    <row r="37" spans="2:9" s="193" customFormat="1" ht="12"/>
    <row r="38" spans="2:9" s="193" customFormat="1" ht="12">
      <c r="B38" s="363" t="s">
        <v>2026</v>
      </c>
      <c r="C38" s="363"/>
      <c r="D38" s="363"/>
      <c r="E38" s="363"/>
      <c r="F38" s="363"/>
      <c r="G38" s="363"/>
      <c r="H38" s="363"/>
      <c r="I38" s="194">
        <f>I19+I28+I32+I36</f>
        <v>53136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88950-2BB7-402B-AD8D-F960F89F78DC}">
  <sheetPr codeName="Hoja118"/>
  <dimension ref="B3:I38"/>
  <sheetViews>
    <sheetView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1691</v>
      </c>
      <c r="C13" s="355" t="s">
        <v>1698</v>
      </c>
      <c r="D13" s="355"/>
      <c r="E13" s="355"/>
      <c r="F13" s="355"/>
      <c r="G13" s="286" t="s">
        <v>136</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96">
        <v>531</v>
      </c>
      <c r="I18" s="196">
        <f>H18/F18</f>
        <v>531</v>
      </c>
    </row>
    <row r="19" spans="2:9" s="193" customFormat="1" ht="12">
      <c r="B19" s="362" t="s">
        <v>2001</v>
      </c>
      <c r="C19" s="362"/>
      <c r="D19" s="362"/>
      <c r="E19" s="362"/>
      <c r="F19" s="362"/>
      <c r="G19" s="362"/>
      <c r="H19" s="362"/>
      <c r="I19" s="190">
        <f>SUM(I18:I18)</f>
        <v>531</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920</v>
      </c>
      <c r="C22" s="361" t="s">
        <v>2030</v>
      </c>
      <c r="D22" s="361"/>
      <c r="E22" s="17" t="s">
        <v>159</v>
      </c>
      <c r="F22" s="17">
        <v>2</v>
      </c>
      <c r="G22" s="17"/>
      <c r="H22" s="189">
        <v>3719.52</v>
      </c>
      <c r="I22" s="189">
        <f>F22*H22</f>
        <v>7439.04</v>
      </c>
    </row>
    <row r="23" spans="2:9" s="193" customFormat="1" ht="15" customHeight="1">
      <c r="B23" s="17" t="s">
        <v>922</v>
      </c>
      <c r="C23" s="361" t="s">
        <v>2031</v>
      </c>
      <c r="D23" s="361"/>
      <c r="E23" s="17" t="s">
        <v>780</v>
      </c>
      <c r="F23" s="17">
        <v>4</v>
      </c>
      <c r="G23" s="17"/>
      <c r="H23" s="189">
        <v>1594.08</v>
      </c>
      <c r="I23" s="189">
        <f>F23*H23</f>
        <v>6376.32</v>
      </c>
    </row>
    <row r="24" spans="2:9" s="193" customFormat="1" ht="15" customHeight="1">
      <c r="B24" s="17" t="s">
        <v>923</v>
      </c>
      <c r="C24" s="361" t="s">
        <v>2032</v>
      </c>
      <c r="D24" s="361"/>
      <c r="E24" s="17" t="s">
        <v>390</v>
      </c>
      <c r="F24" s="17">
        <v>1</v>
      </c>
      <c r="G24" s="17"/>
      <c r="H24" s="189">
        <v>3188.16</v>
      </c>
      <c r="I24" s="189">
        <f>F24*H24</f>
        <v>3188.16</v>
      </c>
    </row>
    <row r="25" spans="2:9" s="193" customFormat="1" ht="15" customHeight="1">
      <c r="B25" s="17" t="s">
        <v>925</v>
      </c>
      <c r="C25" s="361" t="s">
        <v>2033</v>
      </c>
      <c r="D25" s="361"/>
      <c r="E25" s="17" t="s">
        <v>390</v>
      </c>
      <c r="F25" s="17">
        <v>1</v>
      </c>
      <c r="G25" s="17"/>
      <c r="H25" s="189">
        <v>4250.88</v>
      </c>
      <c r="I25" s="189">
        <f>F25*H25</f>
        <v>4250.88</v>
      </c>
    </row>
    <row r="26" spans="2:9" s="193" customFormat="1" ht="12">
      <c r="B26" s="362" t="s">
        <v>2001</v>
      </c>
      <c r="C26" s="362"/>
      <c r="D26" s="362"/>
      <c r="E26" s="362"/>
      <c r="F26" s="362"/>
      <c r="G26" s="362"/>
      <c r="H26" s="362"/>
      <c r="I26" s="190">
        <f>SUM(I22:I25)</f>
        <v>21254.400000000001</v>
      </c>
    </row>
    <row r="27" spans="2:9" s="193" customFormat="1" ht="12">
      <c r="B27" s="362" t="s">
        <v>1062</v>
      </c>
      <c r="C27" s="362"/>
      <c r="D27" s="362"/>
      <c r="E27" s="362"/>
      <c r="F27" s="362"/>
      <c r="G27" s="362"/>
      <c r="H27" s="191">
        <v>0.05</v>
      </c>
      <c r="I27" s="189">
        <f>I26*H27</f>
        <v>1062.72</v>
      </c>
    </row>
    <row r="28" spans="2:9" s="193" customFormat="1" ht="12">
      <c r="B28" s="362" t="s">
        <v>73</v>
      </c>
      <c r="C28" s="362"/>
      <c r="D28" s="362"/>
      <c r="E28" s="362"/>
      <c r="F28" s="362"/>
      <c r="G28" s="362"/>
      <c r="H28" s="362"/>
      <c r="I28" s="197">
        <f>I26+I27</f>
        <v>22317.120000000003</v>
      </c>
    </row>
    <row r="29" spans="2:9" s="193" customFormat="1" ht="15" customHeight="1">
      <c r="B29" s="360" t="s">
        <v>2016</v>
      </c>
      <c r="C29" s="360"/>
      <c r="D29" s="360"/>
      <c r="E29" s="360"/>
      <c r="F29" s="360"/>
      <c r="G29" s="360"/>
      <c r="H29" s="360"/>
      <c r="I29" s="360"/>
    </row>
    <row r="30" spans="2:9" s="193" customFormat="1" ht="12">
      <c r="B30" s="105" t="s">
        <v>42</v>
      </c>
      <c r="C30" s="105" t="s">
        <v>58</v>
      </c>
      <c r="D30" s="105" t="s">
        <v>136</v>
      </c>
      <c r="E30" s="105" t="s">
        <v>0</v>
      </c>
      <c r="F30" s="105" t="s">
        <v>2017</v>
      </c>
      <c r="G30" s="105" t="s">
        <v>345</v>
      </c>
      <c r="H30" s="105" t="s">
        <v>61</v>
      </c>
      <c r="I30" s="105" t="s">
        <v>79</v>
      </c>
    </row>
    <row r="31" spans="2:9" s="193" customFormat="1" ht="12">
      <c r="B31" s="17" t="s">
        <v>2018</v>
      </c>
      <c r="C31" s="188" t="s">
        <v>2034</v>
      </c>
      <c r="D31" s="17" t="s">
        <v>390</v>
      </c>
      <c r="E31" s="17">
        <v>1</v>
      </c>
      <c r="F31" s="17">
        <v>1</v>
      </c>
      <c r="G31" s="189">
        <v>531.36</v>
      </c>
      <c r="H31" s="189">
        <f>E31*F31*G31</f>
        <v>531.36</v>
      </c>
      <c r="I31" s="189">
        <f>H31</f>
        <v>531.36</v>
      </c>
    </row>
    <row r="32" spans="2:9" s="193" customFormat="1" ht="12">
      <c r="B32" s="362" t="s">
        <v>2001</v>
      </c>
      <c r="C32" s="362"/>
      <c r="D32" s="362"/>
      <c r="E32" s="362"/>
      <c r="F32" s="362"/>
      <c r="G32" s="362"/>
      <c r="H32" s="362"/>
      <c r="I32" s="190">
        <f>SUM(I31:I31)</f>
        <v>531.36</v>
      </c>
    </row>
    <row r="33" spans="2:9" s="193" customFormat="1" ht="15" customHeight="1">
      <c r="B33" s="360" t="s">
        <v>2020</v>
      </c>
      <c r="C33" s="360"/>
      <c r="D33" s="360"/>
      <c r="E33" s="360"/>
      <c r="F33" s="360"/>
      <c r="G33" s="360"/>
      <c r="H33" s="360"/>
      <c r="I33" s="360"/>
    </row>
    <row r="34" spans="2:9" s="193" customFormat="1" ht="28.35" customHeight="1">
      <c r="B34" s="105" t="s">
        <v>42</v>
      </c>
      <c r="C34" s="360" t="s">
        <v>84</v>
      </c>
      <c r="D34" s="360"/>
      <c r="E34" s="105" t="s">
        <v>2021</v>
      </c>
      <c r="F34" s="105" t="s">
        <v>1</v>
      </c>
      <c r="G34" s="105" t="s">
        <v>77</v>
      </c>
      <c r="H34" s="105" t="s">
        <v>78</v>
      </c>
      <c r="I34" s="105" t="s">
        <v>79</v>
      </c>
    </row>
    <row r="35" spans="2:9" s="193" customFormat="1" ht="15" customHeight="1">
      <c r="B35" s="17" t="s">
        <v>2022</v>
      </c>
      <c r="C35" s="361" t="s">
        <v>2035</v>
      </c>
      <c r="D35" s="361"/>
      <c r="E35" s="17">
        <v>2.5</v>
      </c>
      <c r="F35" s="17" t="s">
        <v>213</v>
      </c>
      <c r="G35" s="189">
        <v>19000</v>
      </c>
      <c r="H35" s="192">
        <f>E35*G35/I35</f>
        <v>1.5962888133424207</v>
      </c>
      <c r="I35" s="189">
        <f>53136-I19-I28-I32-0</f>
        <v>29756.519999999997</v>
      </c>
    </row>
    <row r="36" spans="2:9" s="193" customFormat="1" ht="12">
      <c r="B36" s="362" t="s">
        <v>2001</v>
      </c>
      <c r="C36" s="362"/>
      <c r="D36" s="362"/>
      <c r="E36" s="362"/>
      <c r="F36" s="362"/>
      <c r="G36" s="362"/>
      <c r="H36" s="362"/>
      <c r="I36" s="190">
        <f>SUM(I35:I35)</f>
        <v>29756.519999999997</v>
      </c>
    </row>
    <row r="37" spans="2:9" s="193" customFormat="1"/>
    <row r="38" spans="2:9" s="193" customFormat="1" ht="12">
      <c r="B38" s="363" t="s">
        <v>2026</v>
      </c>
      <c r="C38" s="363"/>
      <c r="D38" s="363"/>
      <c r="E38" s="363"/>
      <c r="F38" s="363"/>
      <c r="G38" s="363"/>
      <c r="H38" s="363"/>
      <c r="I38" s="199">
        <f>I19+I28+I32+I36</f>
        <v>53136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0407-D561-46B3-B8A1-D51724643BB5}">
  <sheetPr codeName="Hoja119"/>
  <dimension ref="B3:I38"/>
  <sheetViews>
    <sheetView topLeftCell="A4"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200" t="s">
        <v>1692</v>
      </c>
      <c r="C13" s="364" t="s">
        <v>1699</v>
      </c>
      <c r="D13" s="364"/>
      <c r="E13" s="364"/>
      <c r="F13" s="364"/>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96">
        <v>531</v>
      </c>
      <c r="I18" s="196">
        <f>H18/F18</f>
        <v>531</v>
      </c>
    </row>
    <row r="19" spans="2:9" s="193" customFormat="1" ht="12">
      <c r="B19" s="362" t="s">
        <v>2001</v>
      </c>
      <c r="C19" s="362"/>
      <c r="D19" s="362"/>
      <c r="E19" s="362"/>
      <c r="F19" s="362"/>
      <c r="G19" s="362"/>
      <c r="H19" s="362"/>
      <c r="I19" s="190">
        <f>SUM(I18:I18)</f>
        <v>531</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920</v>
      </c>
      <c r="C22" s="361" t="s">
        <v>2030</v>
      </c>
      <c r="D22" s="361"/>
      <c r="E22" s="17" t="s">
        <v>159</v>
      </c>
      <c r="F22" s="17">
        <v>2</v>
      </c>
      <c r="G22" s="17"/>
      <c r="H22" s="189">
        <v>3719.52</v>
      </c>
      <c r="I22" s="189">
        <f>F22*H22</f>
        <v>7439.04</v>
      </c>
    </row>
    <row r="23" spans="2:9" s="193" customFormat="1" ht="15" customHeight="1">
      <c r="B23" s="17" t="s">
        <v>922</v>
      </c>
      <c r="C23" s="361" t="s">
        <v>2031</v>
      </c>
      <c r="D23" s="361"/>
      <c r="E23" s="17" t="s">
        <v>780</v>
      </c>
      <c r="F23" s="17">
        <v>4</v>
      </c>
      <c r="G23" s="17"/>
      <c r="H23" s="189">
        <v>1594.08</v>
      </c>
      <c r="I23" s="189">
        <f>F23*H23</f>
        <v>6376.32</v>
      </c>
    </row>
    <row r="24" spans="2:9" s="193" customFormat="1" ht="15" customHeight="1">
      <c r="B24" s="17" t="s">
        <v>923</v>
      </c>
      <c r="C24" s="361" t="s">
        <v>2032</v>
      </c>
      <c r="D24" s="361"/>
      <c r="E24" s="17" t="s">
        <v>390</v>
      </c>
      <c r="F24" s="17">
        <v>1</v>
      </c>
      <c r="G24" s="17"/>
      <c r="H24" s="189">
        <v>3188.16</v>
      </c>
      <c r="I24" s="189">
        <f>F24*H24</f>
        <v>3188.16</v>
      </c>
    </row>
    <row r="25" spans="2:9" s="193" customFormat="1" ht="15" customHeight="1">
      <c r="B25" s="17" t="s">
        <v>925</v>
      </c>
      <c r="C25" s="361" t="s">
        <v>2033</v>
      </c>
      <c r="D25" s="361"/>
      <c r="E25" s="17" t="s">
        <v>390</v>
      </c>
      <c r="F25" s="17">
        <v>1</v>
      </c>
      <c r="G25" s="17"/>
      <c r="H25" s="189">
        <v>4250.88</v>
      </c>
      <c r="I25" s="189">
        <f>F25*H25</f>
        <v>4250.88</v>
      </c>
    </row>
    <row r="26" spans="2:9" s="193" customFormat="1" ht="12">
      <c r="B26" s="362" t="s">
        <v>2001</v>
      </c>
      <c r="C26" s="362"/>
      <c r="D26" s="362"/>
      <c r="E26" s="362"/>
      <c r="F26" s="362"/>
      <c r="G26" s="362"/>
      <c r="H26" s="362"/>
      <c r="I26" s="190">
        <f>SUM(I22:I25)</f>
        <v>21254.400000000001</v>
      </c>
    </row>
    <row r="27" spans="2:9" s="193" customFormat="1" ht="12">
      <c r="B27" s="362" t="s">
        <v>1062</v>
      </c>
      <c r="C27" s="362"/>
      <c r="D27" s="362"/>
      <c r="E27" s="362"/>
      <c r="F27" s="362"/>
      <c r="G27" s="362"/>
      <c r="H27" s="191">
        <v>0.05</v>
      </c>
      <c r="I27" s="189">
        <f>I26*H27</f>
        <v>1062.72</v>
      </c>
    </row>
    <row r="28" spans="2:9" s="193" customFormat="1" ht="12">
      <c r="B28" s="362" t="s">
        <v>73</v>
      </c>
      <c r="C28" s="362"/>
      <c r="D28" s="362"/>
      <c r="E28" s="362"/>
      <c r="F28" s="362"/>
      <c r="G28" s="362"/>
      <c r="H28" s="362"/>
      <c r="I28" s="190">
        <f>I26+I27</f>
        <v>22317.120000000003</v>
      </c>
    </row>
    <row r="29" spans="2:9" s="193" customFormat="1" ht="15" customHeight="1">
      <c r="B29" s="360" t="s">
        <v>2016</v>
      </c>
      <c r="C29" s="360"/>
      <c r="D29" s="360"/>
      <c r="E29" s="360"/>
      <c r="F29" s="360"/>
      <c r="G29" s="360"/>
      <c r="H29" s="360"/>
      <c r="I29" s="360"/>
    </row>
    <row r="30" spans="2:9" s="193" customFormat="1" ht="12">
      <c r="B30" s="105" t="s">
        <v>42</v>
      </c>
      <c r="C30" s="105" t="s">
        <v>58</v>
      </c>
      <c r="D30" s="105" t="s">
        <v>136</v>
      </c>
      <c r="E30" s="105" t="s">
        <v>0</v>
      </c>
      <c r="F30" s="105" t="s">
        <v>2017</v>
      </c>
      <c r="G30" s="105" t="s">
        <v>345</v>
      </c>
      <c r="H30" s="105" t="s">
        <v>61</v>
      </c>
      <c r="I30" s="105" t="s">
        <v>79</v>
      </c>
    </row>
    <row r="31" spans="2:9" s="193" customFormat="1" ht="12">
      <c r="B31" s="17" t="s">
        <v>2018</v>
      </c>
      <c r="C31" s="188" t="s">
        <v>2034</v>
      </c>
      <c r="D31" s="17" t="s">
        <v>390</v>
      </c>
      <c r="E31" s="17">
        <v>1</v>
      </c>
      <c r="F31" s="17">
        <v>1</v>
      </c>
      <c r="G31" s="189">
        <v>531.36</v>
      </c>
      <c r="H31" s="189">
        <f>E31*F31*G31</f>
        <v>531.36</v>
      </c>
      <c r="I31" s="189">
        <f>H31</f>
        <v>531.36</v>
      </c>
    </row>
    <row r="32" spans="2:9" s="193" customFormat="1" ht="12">
      <c r="B32" s="362" t="s">
        <v>2001</v>
      </c>
      <c r="C32" s="362"/>
      <c r="D32" s="362"/>
      <c r="E32" s="362"/>
      <c r="F32" s="362"/>
      <c r="G32" s="362"/>
      <c r="H32" s="362"/>
      <c r="I32" s="190">
        <f>SUM(I31:I31)</f>
        <v>531.36</v>
      </c>
    </row>
    <row r="33" spans="2:9" s="193" customFormat="1" ht="15" customHeight="1">
      <c r="B33" s="360" t="s">
        <v>2020</v>
      </c>
      <c r="C33" s="360"/>
      <c r="D33" s="360"/>
      <c r="E33" s="360"/>
      <c r="F33" s="360"/>
      <c r="G33" s="360"/>
      <c r="H33" s="360"/>
      <c r="I33" s="360"/>
    </row>
    <row r="34" spans="2:9" s="193" customFormat="1" ht="28.35" customHeight="1">
      <c r="B34" s="105" t="s">
        <v>42</v>
      </c>
      <c r="C34" s="360" t="s">
        <v>84</v>
      </c>
      <c r="D34" s="360"/>
      <c r="E34" s="105" t="s">
        <v>2021</v>
      </c>
      <c r="F34" s="105" t="s">
        <v>1</v>
      </c>
      <c r="G34" s="105" t="s">
        <v>77</v>
      </c>
      <c r="H34" s="105" t="s">
        <v>78</v>
      </c>
      <c r="I34" s="105" t="s">
        <v>79</v>
      </c>
    </row>
    <row r="35" spans="2:9" s="193" customFormat="1" ht="15" customHeight="1">
      <c r="B35" s="17" t="s">
        <v>2022</v>
      </c>
      <c r="C35" s="361" t="s">
        <v>2035</v>
      </c>
      <c r="D35" s="361"/>
      <c r="E35" s="17">
        <v>2.5</v>
      </c>
      <c r="F35" s="17" t="s">
        <v>213</v>
      </c>
      <c r="G35" s="189">
        <v>19000</v>
      </c>
      <c r="H35" s="192">
        <f>E35*G35/I35</f>
        <v>1.5962888133424207</v>
      </c>
      <c r="I35" s="189">
        <f>53136-I19-I28-I32-0</f>
        <v>29756.519999999997</v>
      </c>
    </row>
    <row r="36" spans="2:9" s="193" customFormat="1" ht="12">
      <c r="B36" s="362" t="s">
        <v>2001</v>
      </c>
      <c r="C36" s="362"/>
      <c r="D36" s="362"/>
      <c r="E36" s="362"/>
      <c r="F36" s="362"/>
      <c r="G36" s="362"/>
      <c r="H36" s="362"/>
      <c r="I36" s="190">
        <f>SUM(I35:I35)</f>
        <v>29756.519999999997</v>
      </c>
    </row>
    <row r="37" spans="2:9" s="193" customFormat="1" ht="12"/>
    <row r="38" spans="2:9" s="193" customFormat="1" ht="12">
      <c r="B38" s="363" t="s">
        <v>2026</v>
      </c>
      <c r="C38" s="363"/>
      <c r="D38" s="363"/>
      <c r="E38" s="363"/>
      <c r="F38" s="363"/>
      <c r="G38" s="363"/>
      <c r="H38" s="363"/>
      <c r="I38" s="190">
        <f>I19+I28+I32+I36</f>
        <v>53136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73C0-6858-478A-817E-8B93DB0F5AFE}">
  <sheetPr codeName="Hoja120"/>
  <dimension ref="B3:I38"/>
  <sheetViews>
    <sheetView topLeftCell="A4" zoomScale="89" zoomScaleNormal="89" workbookViewId="0">
      <selection activeCell="M18" sqref="M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 t="s">
        <v>1693</v>
      </c>
      <c r="C13" s="361" t="s">
        <v>1700</v>
      </c>
      <c r="D13" s="361"/>
      <c r="E13" s="361"/>
      <c r="F13" s="361"/>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714</v>
      </c>
      <c r="I18" s="24">
        <f>H18/F18</f>
        <v>714</v>
      </c>
    </row>
    <row r="19" spans="2:9" s="201" customFormat="1" ht="12">
      <c r="B19" s="365" t="s">
        <v>2001</v>
      </c>
      <c r="C19" s="365"/>
      <c r="D19" s="365"/>
      <c r="E19" s="365"/>
      <c r="F19" s="365"/>
      <c r="G19" s="365"/>
      <c r="H19" s="365"/>
      <c r="I19" s="202">
        <f>SUM(I18:I18)</f>
        <v>714</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920</v>
      </c>
      <c r="C22" s="368" t="s">
        <v>2030</v>
      </c>
      <c r="D22" s="368"/>
      <c r="E22" s="24" t="s">
        <v>159</v>
      </c>
      <c r="F22" s="204">
        <v>2</v>
      </c>
      <c r="G22" s="24"/>
      <c r="H22" s="24">
        <v>4999.68</v>
      </c>
      <c r="I22" s="24">
        <f>F22*H22</f>
        <v>9999.36</v>
      </c>
    </row>
    <row r="23" spans="2:9" s="201" customFormat="1" ht="15" customHeight="1">
      <c r="B23" s="24" t="s">
        <v>922</v>
      </c>
      <c r="C23" s="368" t="s">
        <v>2031</v>
      </c>
      <c r="D23" s="368"/>
      <c r="E23" s="24" t="s">
        <v>780</v>
      </c>
      <c r="F23" s="204">
        <v>4</v>
      </c>
      <c r="G23" s="24"/>
      <c r="H23" s="24">
        <v>2142.7199999999998</v>
      </c>
      <c r="I23" s="24">
        <f>F23*H23</f>
        <v>8570.8799999999992</v>
      </c>
    </row>
    <row r="24" spans="2:9" s="201" customFormat="1" ht="15" customHeight="1">
      <c r="B24" s="24" t="s">
        <v>923</v>
      </c>
      <c r="C24" s="368" t="s">
        <v>2032</v>
      </c>
      <c r="D24" s="368"/>
      <c r="E24" s="24" t="s">
        <v>390</v>
      </c>
      <c r="F24" s="204">
        <v>1</v>
      </c>
      <c r="G24" s="24"/>
      <c r="H24" s="24">
        <v>4285.4399999999996</v>
      </c>
      <c r="I24" s="24">
        <f>F24*H24</f>
        <v>4285.4399999999996</v>
      </c>
    </row>
    <row r="25" spans="2:9" s="201" customFormat="1" ht="15" customHeight="1">
      <c r="B25" s="24" t="s">
        <v>925</v>
      </c>
      <c r="C25" s="368" t="s">
        <v>2033</v>
      </c>
      <c r="D25" s="368"/>
      <c r="E25" s="24" t="s">
        <v>390</v>
      </c>
      <c r="F25" s="204">
        <v>1</v>
      </c>
      <c r="G25" s="24"/>
      <c r="H25" s="24">
        <v>5713.92</v>
      </c>
      <c r="I25" s="24">
        <f>F25*H25</f>
        <v>5713.92</v>
      </c>
    </row>
    <row r="26" spans="2:9" s="201" customFormat="1" ht="12">
      <c r="B26" s="365" t="s">
        <v>2001</v>
      </c>
      <c r="C26" s="365"/>
      <c r="D26" s="365"/>
      <c r="E26" s="365"/>
      <c r="F26" s="365"/>
      <c r="G26" s="365"/>
      <c r="H26" s="365"/>
      <c r="I26" s="202">
        <f>SUM(I22:I25)</f>
        <v>28569.599999999999</v>
      </c>
    </row>
    <row r="27" spans="2:9" s="201" customFormat="1" ht="12">
      <c r="B27" s="365" t="s">
        <v>1062</v>
      </c>
      <c r="C27" s="365"/>
      <c r="D27" s="365"/>
      <c r="E27" s="365"/>
      <c r="F27" s="365"/>
      <c r="G27" s="365"/>
      <c r="H27" s="24">
        <v>0.05</v>
      </c>
      <c r="I27" s="24">
        <f>I26*H27</f>
        <v>1428.48</v>
      </c>
    </row>
    <row r="28" spans="2:9" s="201" customFormat="1" ht="12">
      <c r="B28" s="365" t="s">
        <v>73</v>
      </c>
      <c r="C28" s="365"/>
      <c r="D28" s="365"/>
      <c r="E28" s="365"/>
      <c r="F28" s="365"/>
      <c r="G28" s="365"/>
      <c r="H28" s="365"/>
      <c r="I28" s="202">
        <f>I26+I27</f>
        <v>29998.079999999998</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714.24</v>
      </c>
      <c r="H31" s="24">
        <f>E31*F31*G31</f>
        <v>714.24</v>
      </c>
      <c r="I31" s="24">
        <f>H31</f>
        <v>714.24</v>
      </c>
    </row>
    <row r="32" spans="2:9" s="201" customFormat="1" ht="12">
      <c r="B32" s="365" t="s">
        <v>2001</v>
      </c>
      <c r="C32" s="365"/>
      <c r="D32" s="365"/>
      <c r="E32" s="365"/>
      <c r="F32" s="365"/>
      <c r="G32" s="365"/>
      <c r="H32" s="365"/>
      <c r="I32" s="202">
        <f>SUM(I31:I31)</f>
        <v>714.24</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2035</v>
      </c>
      <c r="D35" s="368"/>
      <c r="E35" s="204">
        <v>2.5</v>
      </c>
      <c r="F35" s="24" t="s">
        <v>213</v>
      </c>
      <c r="G35" s="24">
        <v>19000</v>
      </c>
      <c r="H35" s="24">
        <f>E35*G35/I35</f>
        <v>1.1875688789949816</v>
      </c>
      <c r="I35" s="24">
        <f>71424-I19-I28-I32-0</f>
        <v>39997.68</v>
      </c>
    </row>
    <row r="36" spans="2:9" s="201" customFormat="1" ht="12">
      <c r="B36" s="365" t="s">
        <v>2001</v>
      </c>
      <c r="C36" s="365"/>
      <c r="D36" s="365"/>
      <c r="E36" s="365"/>
      <c r="F36" s="365"/>
      <c r="G36" s="365"/>
      <c r="H36" s="365"/>
      <c r="I36" s="202">
        <f>SUM(I35:I35)</f>
        <v>39997.68</v>
      </c>
    </row>
    <row r="37" spans="2:9" s="201" customFormat="1" ht="12"/>
    <row r="38" spans="2:9" s="201" customFormat="1" ht="12">
      <c r="B38" s="366" t="s">
        <v>2026</v>
      </c>
      <c r="C38" s="366"/>
      <c r="D38" s="366"/>
      <c r="E38" s="366"/>
      <c r="F38" s="366"/>
      <c r="G38" s="366"/>
      <c r="H38" s="366"/>
      <c r="I38" s="202">
        <f>I19+I28+I32+I36</f>
        <v>71424</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DC01-3A56-4D7D-8996-D796EA33A338}">
  <sheetPr codeName="Hoja121"/>
  <dimension ref="B3:I38"/>
  <sheetViews>
    <sheetView topLeftCell="A7" zoomScale="89" zoomScaleNormal="89"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1694</v>
      </c>
      <c r="C13" s="355" t="s">
        <v>1701</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531</v>
      </c>
      <c r="I18" s="24">
        <f>H18/F18</f>
        <v>531</v>
      </c>
    </row>
    <row r="19" spans="2:9" s="201" customFormat="1" ht="12">
      <c r="B19" s="365" t="s">
        <v>2001</v>
      </c>
      <c r="C19" s="365"/>
      <c r="D19" s="365"/>
      <c r="E19" s="365"/>
      <c r="F19" s="365"/>
      <c r="G19" s="365"/>
      <c r="H19" s="365"/>
      <c r="I19" s="202">
        <f>SUM(I18:I18)</f>
        <v>531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920</v>
      </c>
      <c r="C22" s="368" t="s">
        <v>2030</v>
      </c>
      <c r="D22" s="368"/>
      <c r="E22" s="24" t="s">
        <v>159</v>
      </c>
      <c r="F22" s="204">
        <v>2</v>
      </c>
      <c r="G22" s="24"/>
      <c r="H22" s="24">
        <v>3719.52</v>
      </c>
      <c r="I22" s="24">
        <f>F22*H22</f>
        <v>7439.04</v>
      </c>
    </row>
    <row r="23" spans="2:9" s="201" customFormat="1" ht="15" customHeight="1">
      <c r="B23" s="24" t="s">
        <v>922</v>
      </c>
      <c r="C23" s="368" t="s">
        <v>2031</v>
      </c>
      <c r="D23" s="368"/>
      <c r="E23" s="24" t="s">
        <v>780</v>
      </c>
      <c r="F23" s="204">
        <v>4</v>
      </c>
      <c r="G23" s="24"/>
      <c r="H23" s="24">
        <v>1594.08</v>
      </c>
      <c r="I23" s="24">
        <f>F23*H23</f>
        <v>6376.32</v>
      </c>
    </row>
    <row r="24" spans="2:9" s="201" customFormat="1" ht="15" customHeight="1">
      <c r="B24" s="24" t="s">
        <v>923</v>
      </c>
      <c r="C24" s="368" t="s">
        <v>2032</v>
      </c>
      <c r="D24" s="368"/>
      <c r="E24" s="24" t="s">
        <v>390</v>
      </c>
      <c r="F24" s="204">
        <v>1</v>
      </c>
      <c r="G24" s="24"/>
      <c r="H24" s="24">
        <v>3188.16</v>
      </c>
      <c r="I24" s="24">
        <f>F24*H24</f>
        <v>3188.16</v>
      </c>
    </row>
    <row r="25" spans="2:9" s="201" customFormat="1" ht="15" customHeight="1">
      <c r="B25" s="24" t="s">
        <v>925</v>
      </c>
      <c r="C25" s="368" t="s">
        <v>2033</v>
      </c>
      <c r="D25" s="368"/>
      <c r="E25" s="24" t="s">
        <v>390</v>
      </c>
      <c r="F25" s="204">
        <v>1</v>
      </c>
      <c r="G25" s="24"/>
      <c r="H25" s="24">
        <v>4250.88</v>
      </c>
      <c r="I25" s="24">
        <f>F25*H25</f>
        <v>4250.88</v>
      </c>
    </row>
    <row r="26" spans="2:9" s="201" customFormat="1" ht="12">
      <c r="B26" s="365" t="s">
        <v>2001</v>
      </c>
      <c r="C26" s="365"/>
      <c r="D26" s="365"/>
      <c r="E26" s="365"/>
      <c r="F26" s="365"/>
      <c r="G26" s="365"/>
      <c r="H26" s="365"/>
      <c r="I26" s="202">
        <f>SUM(I22:I25)</f>
        <v>21254.400000000001</v>
      </c>
    </row>
    <row r="27" spans="2:9" s="201" customFormat="1" ht="12">
      <c r="B27" s="365" t="s">
        <v>1062</v>
      </c>
      <c r="C27" s="365"/>
      <c r="D27" s="365"/>
      <c r="E27" s="365"/>
      <c r="F27" s="365"/>
      <c r="G27" s="365"/>
      <c r="H27" s="24">
        <v>0.05</v>
      </c>
      <c r="I27" s="24">
        <f>I26*H27</f>
        <v>1062.72</v>
      </c>
    </row>
    <row r="28" spans="2:9" s="201" customFormat="1" ht="12">
      <c r="B28" s="365" t="s">
        <v>73</v>
      </c>
      <c r="C28" s="365"/>
      <c r="D28" s="365"/>
      <c r="E28" s="365"/>
      <c r="F28" s="365"/>
      <c r="G28" s="365"/>
      <c r="H28" s="365"/>
      <c r="I28" s="202">
        <f>I26+I27</f>
        <v>22317.120000000003</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4">
        <v>1</v>
      </c>
      <c r="F31" s="24">
        <v>19</v>
      </c>
      <c r="G31" s="24">
        <v>1</v>
      </c>
      <c r="H31" s="24">
        <f>E31*F31*G31</f>
        <v>19</v>
      </c>
      <c r="I31" s="24">
        <f>H31</f>
        <v>19</v>
      </c>
    </row>
    <row r="32" spans="2:9" s="201" customFormat="1" ht="12">
      <c r="B32" s="365" t="s">
        <v>2001</v>
      </c>
      <c r="C32" s="365"/>
      <c r="D32" s="365"/>
      <c r="E32" s="365"/>
      <c r="F32" s="365"/>
      <c r="G32" s="365"/>
      <c r="H32" s="365"/>
      <c r="I32" s="202">
        <f>SUM(I31:I31)</f>
        <v>19</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2035</v>
      </c>
      <c r="D35" s="368"/>
      <c r="E35" s="204">
        <v>2.5</v>
      </c>
      <c r="F35" s="24" t="s">
        <v>213</v>
      </c>
      <c r="G35" s="24">
        <v>19000</v>
      </c>
      <c r="H35" s="205">
        <f>E35*G35/I35</f>
        <v>1.5692685028319517</v>
      </c>
      <c r="I35" s="24">
        <f>53136-I19-I28-I32-0</f>
        <v>30268.879999999997</v>
      </c>
    </row>
    <row r="36" spans="2:9" s="201" customFormat="1" ht="12">
      <c r="B36" s="365" t="s">
        <v>2001</v>
      </c>
      <c r="C36" s="365"/>
      <c r="D36" s="365"/>
      <c r="E36" s="365"/>
      <c r="F36" s="365"/>
      <c r="G36" s="365"/>
      <c r="H36" s="365"/>
      <c r="I36" s="202">
        <f>SUM(I35:I35)</f>
        <v>30268.879999999997</v>
      </c>
    </row>
    <row r="37" spans="2:9" s="201" customFormat="1" ht="12"/>
    <row r="38" spans="2:9" s="201" customFormat="1" ht="12">
      <c r="B38" s="366" t="s">
        <v>2026</v>
      </c>
      <c r="C38" s="366"/>
      <c r="D38" s="366"/>
      <c r="E38" s="366"/>
      <c r="F38" s="366"/>
      <c r="G38" s="366"/>
      <c r="H38" s="366"/>
      <c r="I38" s="202">
        <f>I19+I28+I32+I36</f>
        <v>53136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074C-3312-449D-AF5F-DEA4E0999F22}">
  <sheetPr codeName="Hoja11"/>
  <dimension ref="B3:I40"/>
  <sheetViews>
    <sheetView workbookViewId="0">
      <selection activeCell="L34" sqref="L34"/>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0.25" customHeight="1">
      <c r="B13" s="13" t="s">
        <v>1569</v>
      </c>
      <c r="C13" s="283" t="s">
        <v>1893</v>
      </c>
      <c r="D13" s="284"/>
      <c r="E13" s="284"/>
      <c r="F13" s="285"/>
      <c r="G13" s="286" t="s">
        <v>2279</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0.1</v>
      </c>
      <c r="H19" s="116">
        <f>F19*G19</f>
        <v>1050</v>
      </c>
      <c r="I19" s="287"/>
    </row>
    <row r="20" spans="2:9" ht="12">
      <c r="B20" s="89"/>
      <c r="C20" s="89"/>
      <c r="D20" s="89"/>
      <c r="E20" s="89"/>
      <c r="F20" s="89"/>
      <c r="G20" s="89"/>
      <c r="H20" s="89" t="s">
        <v>64</v>
      </c>
      <c r="I20" s="90">
        <f>SUM(H18:H19)</f>
        <v>2121.4</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1580</v>
      </c>
      <c r="C23" s="290" t="str">
        <f>VLOOKUP(B23,'INSUMOS '!C1:G948,2,FALSE)</f>
        <v>Plástico de poliuretano (calibre pesado)</v>
      </c>
      <c r="D23" s="291"/>
      <c r="E23" s="97" t="str">
        <f>VLOOKUP(B23,'INSUMOS '!C1:G948,3,FALSE)</f>
        <v>m2</v>
      </c>
      <c r="F23" s="98">
        <f>VLOOKUP(B23,'INSUMOS '!C1:G948,4,FALSE)</f>
        <v>2500</v>
      </c>
      <c r="G23" s="71">
        <v>1</v>
      </c>
      <c r="H23" s="83">
        <f>+G23*F23</f>
        <v>2500</v>
      </c>
      <c r="I23" s="287"/>
    </row>
    <row r="24" spans="2:9">
      <c r="B24" s="71" t="s">
        <v>1583</v>
      </c>
      <c r="C24" s="290" t="str">
        <f>VLOOKUP(B24,'INSUMOS '!C2:G949,2,FALSE)</f>
        <v>Cartón corrugado triple (alta resistencia)</v>
      </c>
      <c r="D24" s="291"/>
      <c r="E24" s="97" t="str">
        <f>VLOOKUP(B24,'INSUMOS '!C2:G949,3,FALSE)</f>
        <v>m2</v>
      </c>
      <c r="F24" s="98">
        <f>VLOOKUP(B24,'INSUMOS '!C2:G949,4,FALSE)</f>
        <v>6000</v>
      </c>
      <c r="G24" s="71">
        <v>1</v>
      </c>
      <c r="H24" s="83">
        <f>+G24*F24</f>
        <v>6000</v>
      </c>
      <c r="I24" s="287"/>
    </row>
    <row r="25" spans="2:9">
      <c r="B25" s="71" t="s">
        <v>1584</v>
      </c>
      <c r="C25" s="290" t="str">
        <f>VLOOKUP(B25,'INSUMOS '!C3:G950,2,FALSE)</f>
        <v xml:space="preserve">Cinta de enmascarar de alta adherencia </v>
      </c>
      <c r="D25" s="291"/>
      <c r="E25" s="97" t="str">
        <f>VLOOKUP(B25,'INSUMOS '!C3:G950,3,FALSE)</f>
        <v>m</v>
      </c>
      <c r="F25" s="98">
        <f>VLOOKUP(B25,'INSUMOS '!C3:G950,4,FALSE)</f>
        <v>500</v>
      </c>
      <c r="G25" s="71">
        <v>1.35</v>
      </c>
      <c r="H25" s="83">
        <f>+G25*F25</f>
        <v>675</v>
      </c>
      <c r="I25" s="287"/>
    </row>
    <row r="26" spans="2:9">
      <c r="B26" s="71"/>
      <c r="C26" s="292"/>
      <c r="D26" s="293"/>
      <c r="E26" s="91"/>
      <c r="F26" s="94"/>
      <c r="G26" s="92"/>
      <c r="H26" s="83"/>
      <c r="I26" s="287"/>
    </row>
    <row r="27" spans="2:9" ht="12">
      <c r="B27" s="89"/>
      <c r="C27" s="89"/>
      <c r="D27" s="89"/>
      <c r="E27" s="89"/>
      <c r="F27" s="89"/>
      <c r="G27" s="258" t="s">
        <v>64</v>
      </c>
      <c r="H27" s="258"/>
      <c r="I27" s="85">
        <f>SUM(H23:H26)</f>
        <v>9175</v>
      </c>
    </row>
    <row r="28" spans="2:9" ht="12">
      <c r="B28" s="89"/>
      <c r="C28" s="89"/>
      <c r="D28" s="89"/>
      <c r="E28" s="89"/>
      <c r="F28" s="89"/>
      <c r="G28" s="99" t="s">
        <v>72</v>
      </c>
      <c r="H28" s="100">
        <v>0.05</v>
      </c>
      <c r="I28" s="101">
        <f>I27*H28</f>
        <v>458.75</v>
      </c>
    </row>
    <row r="29" spans="2:9" ht="12">
      <c r="B29" s="89"/>
      <c r="C29" s="89"/>
      <c r="D29" s="89"/>
      <c r="E29" s="89"/>
      <c r="F29" s="89"/>
      <c r="G29" s="258" t="s">
        <v>73</v>
      </c>
      <c r="H29" s="258"/>
      <c r="I29" s="90">
        <f>SUM(I27:I28)</f>
        <v>9633.75</v>
      </c>
    </row>
    <row r="30" spans="2:9" ht="12">
      <c r="B30" s="78"/>
      <c r="C30" s="289" t="s">
        <v>74</v>
      </c>
      <c r="D30" s="289"/>
      <c r="E30" s="78"/>
      <c r="F30" s="78"/>
      <c r="G30" s="78"/>
      <c r="H30" s="78"/>
      <c r="I30" s="79"/>
    </row>
    <row r="31" spans="2:9" ht="12">
      <c r="B31" s="70" t="s">
        <v>42</v>
      </c>
      <c r="C31" s="70" t="s">
        <v>58</v>
      </c>
      <c r="D31" s="70" t="s">
        <v>342</v>
      </c>
      <c r="E31" s="70" t="s">
        <v>343</v>
      </c>
      <c r="F31" s="70" t="s">
        <v>344</v>
      </c>
      <c r="G31" s="70" t="s">
        <v>345</v>
      </c>
      <c r="H31" s="74" t="s">
        <v>61</v>
      </c>
      <c r="I31" s="300"/>
    </row>
    <row r="32" spans="2:9" ht="12">
      <c r="B32" s="70" t="s">
        <v>192</v>
      </c>
      <c r="C32" s="70" t="str">
        <f>VLOOKUP(B32,'MAQUINARIA Y EQUIPOS  '!C7:F95,2,FALSE)</f>
        <v>Volqueta de 8 m3</v>
      </c>
      <c r="D32" s="75" t="str">
        <f>VLOOKUP(B32,'MAQUINARIA Y EQUIPOS  '!C7:F95,3,FALSE)</f>
        <v>m3/km</v>
      </c>
      <c r="E32" s="70">
        <v>0.5</v>
      </c>
      <c r="F32" s="70">
        <v>19</v>
      </c>
      <c r="G32" s="102">
        <f>VLOOKUP(B32,'MAQUINARIA Y EQUIPOS  '!C7:F95,4,FALSE)</f>
        <v>1500</v>
      </c>
      <c r="H32" s="103">
        <f>+F32*G32*E32</f>
        <v>14250</v>
      </c>
      <c r="I32" s="301"/>
    </row>
    <row r="33" spans="2:9">
      <c r="B33" s="71"/>
      <c r="C33" s="71"/>
      <c r="D33" s="82"/>
      <c r="E33" s="71"/>
      <c r="F33" s="71"/>
      <c r="G33" s="86"/>
      <c r="H33" s="86"/>
      <c r="I33" s="301"/>
    </row>
    <row r="34" spans="2:9" ht="12">
      <c r="B34" s="89"/>
      <c r="C34" s="89"/>
      <c r="D34" s="89"/>
      <c r="E34" s="89"/>
      <c r="F34" s="89"/>
      <c r="G34" s="302" t="s">
        <v>64</v>
      </c>
      <c r="H34" s="302"/>
      <c r="I34" s="104">
        <f>+H32</f>
        <v>14250</v>
      </c>
    </row>
    <row r="35" spans="2:9" ht="12">
      <c r="B35" s="78"/>
      <c r="C35" s="289" t="s">
        <v>75</v>
      </c>
      <c r="D35" s="289"/>
      <c r="E35" s="78"/>
      <c r="F35" s="78"/>
      <c r="G35" s="78"/>
      <c r="H35" s="78"/>
      <c r="I35" s="79"/>
    </row>
    <row r="36" spans="2:9" ht="12">
      <c r="B36" s="105" t="s">
        <v>42</v>
      </c>
      <c r="C36" s="105" t="s">
        <v>76</v>
      </c>
      <c r="D36" s="105" t="s">
        <v>1221</v>
      </c>
      <c r="E36" s="105" t="s">
        <v>1</v>
      </c>
      <c r="F36" s="105" t="s">
        <v>77</v>
      </c>
      <c r="G36" s="105" t="s">
        <v>78</v>
      </c>
      <c r="H36" s="105" t="s">
        <v>79</v>
      </c>
      <c r="I36" s="294"/>
    </row>
    <row r="37" spans="2:9" ht="27" customHeight="1">
      <c r="B37" s="106" t="s">
        <v>359</v>
      </c>
      <c r="C37" s="106" t="str">
        <f>+VLOOKUP(B37,'MANO DE OBRA '!B23:G46,2,FALSE)</f>
        <v xml:space="preserve"> Cuadrilla de construccion 2 (1 oficial+ 2 ayudante)</v>
      </c>
      <c r="D37" s="106">
        <v>1</v>
      </c>
      <c r="E37" s="106" t="str">
        <f>+VLOOKUP(B37,'MANO DE OBRA '!B23:G46,4,FALSE)</f>
        <v>Hora</v>
      </c>
      <c r="F37" s="86">
        <f>+VLOOKUP(B37,'MANO DE OBRA '!B23:G46,3,FALSE)</f>
        <v>66187.5</v>
      </c>
      <c r="G37" s="121">
        <v>0.56499999999999995</v>
      </c>
      <c r="H37" s="94">
        <f>F37*G37*D37</f>
        <v>37395.9375</v>
      </c>
      <c r="I37" s="294"/>
    </row>
    <row r="38" spans="2:9">
      <c r="B38" s="106"/>
      <c r="C38" s="106"/>
      <c r="D38" s="106"/>
      <c r="E38" s="106"/>
      <c r="F38" s="86"/>
      <c r="G38" s="121"/>
      <c r="H38" s="94"/>
      <c r="I38" s="294"/>
    </row>
    <row r="39" spans="2:9" ht="12">
      <c r="B39" s="108"/>
      <c r="C39" s="109"/>
      <c r="D39" s="109"/>
      <c r="E39" s="109"/>
      <c r="F39" s="110"/>
      <c r="G39" s="110"/>
      <c r="H39" s="111" t="s">
        <v>64</v>
      </c>
      <c r="I39" s="112">
        <f>SUM(H37:H38)</f>
        <v>37395.9375</v>
      </c>
    </row>
    <row r="40" spans="2:9" ht="12">
      <c r="B40" s="295" t="s">
        <v>83</v>
      </c>
      <c r="C40" s="296"/>
      <c r="D40" s="297" t="s">
        <v>77</v>
      </c>
      <c r="E40" s="298"/>
      <c r="F40" s="298"/>
      <c r="G40" s="298"/>
      <c r="H40" s="299"/>
      <c r="I40" s="113">
        <f>SUM(I20+I34+I29+I39)</f>
        <v>63401.087500000001</v>
      </c>
    </row>
  </sheetData>
  <mergeCells count="39">
    <mergeCell ref="I36:I38"/>
    <mergeCell ref="B40:C40"/>
    <mergeCell ref="D40:H40"/>
    <mergeCell ref="I31:I33"/>
    <mergeCell ref="G34:H34"/>
    <mergeCell ref="I17:I19"/>
    <mergeCell ref="C18:D18"/>
    <mergeCell ref="C19:D19"/>
    <mergeCell ref="C21:D21"/>
    <mergeCell ref="C35:D35"/>
    <mergeCell ref="I22:I26"/>
    <mergeCell ref="C23:D23"/>
    <mergeCell ref="C24:D24"/>
    <mergeCell ref="C25:D25"/>
    <mergeCell ref="C26:D26"/>
    <mergeCell ref="G27:H27"/>
    <mergeCell ref="G29:H29"/>
    <mergeCell ref="C30:D30"/>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B131B-F5AE-4034-8DED-3319295DDC35}">
  <sheetPr codeName="Hoja122"/>
  <dimension ref="B3:I38"/>
  <sheetViews>
    <sheetView topLeftCell="A7" zoomScale="89" zoomScaleNormal="89" workbookViewId="0">
      <selection activeCell="L28" sqref="L2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1695</v>
      </c>
      <c r="C13" s="355" t="s">
        <v>1702</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24">
        <v>531</v>
      </c>
      <c r="I18" s="24">
        <f>H18/F18</f>
        <v>531</v>
      </c>
    </row>
    <row r="19" spans="2:9" s="193" customFormat="1" ht="12">
      <c r="B19" s="362" t="s">
        <v>2001</v>
      </c>
      <c r="C19" s="362"/>
      <c r="D19" s="362"/>
      <c r="E19" s="362"/>
      <c r="F19" s="362"/>
      <c r="G19" s="362"/>
      <c r="H19" s="362"/>
      <c r="I19" s="190">
        <f>SUM(I18:I18)</f>
        <v>531</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920</v>
      </c>
      <c r="C22" s="361" t="s">
        <v>2030</v>
      </c>
      <c r="D22" s="361"/>
      <c r="E22" s="17" t="s">
        <v>159</v>
      </c>
      <c r="F22" s="17">
        <v>2</v>
      </c>
      <c r="G22" s="17"/>
      <c r="H22" s="24">
        <v>3719.52</v>
      </c>
      <c r="I22" s="24">
        <f>F22*H22</f>
        <v>7439.04</v>
      </c>
    </row>
    <row r="23" spans="2:9" s="193" customFormat="1" ht="15" customHeight="1">
      <c r="B23" s="17" t="s">
        <v>922</v>
      </c>
      <c r="C23" s="361" t="s">
        <v>2031</v>
      </c>
      <c r="D23" s="361"/>
      <c r="E23" s="17" t="s">
        <v>780</v>
      </c>
      <c r="F23" s="17">
        <v>4</v>
      </c>
      <c r="G23" s="17"/>
      <c r="H23" s="24">
        <v>1594.08</v>
      </c>
      <c r="I23" s="24">
        <f>F23*H23</f>
        <v>6376.32</v>
      </c>
    </row>
    <row r="24" spans="2:9" s="193" customFormat="1" ht="15" customHeight="1">
      <c r="B24" s="17" t="s">
        <v>923</v>
      </c>
      <c r="C24" s="361" t="s">
        <v>2032</v>
      </c>
      <c r="D24" s="361"/>
      <c r="E24" s="17" t="s">
        <v>390</v>
      </c>
      <c r="F24" s="17">
        <v>1</v>
      </c>
      <c r="G24" s="17"/>
      <c r="H24" s="24">
        <v>3188.16</v>
      </c>
      <c r="I24" s="24">
        <f>F24*H24</f>
        <v>3188.16</v>
      </c>
    </row>
    <row r="25" spans="2:9" s="193" customFormat="1" ht="15" customHeight="1">
      <c r="B25" s="17" t="s">
        <v>925</v>
      </c>
      <c r="C25" s="361" t="s">
        <v>2033</v>
      </c>
      <c r="D25" s="361"/>
      <c r="E25" s="17" t="s">
        <v>390</v>
      </c>
      <c r="F25" s="17">
        <v>1</v>
      </c>
      <c r="G25" s="17"/>
      <c r="H25" s="24">
        <v>4250.88</v>
      </c>
      <c r="I25" s="24">
        <f>F25*H25</f>
        <v>4250.88</v>
      </c>
    </row>
    <row r="26" spans="2:9" s="193" customFormat="1" ht="12">
      <c r="B26" s="362" t="s">
        <v>2001</v>
      </c>
      <c r="C26" s="362"/>
      <c r="D26" s="362"/>
      <c r="E26" s="362"/>
      <c r="F26" s="362"/>
      <c r="G26" s="362"/>
      <c r="H26" s="362"/>
      <c r="I26" s="202">
        <f>SUM(I22:I25)</f>
        <v>21254.400000000001</v>
      </c>
    </row>
    <row r="27" spans="2:9" s="193" customFormat="1" ht="12">
      <c r="B27" s="362" t="s">
        <v>1062</v>
      </c>
      <c r="C27" s="362"/>
      <c r="D27" s="362"/>
      <c r="E27" s="362"/>
      <c r="F27" s="362"/>
      <c r="G27" s="362"/>
      <c r="H27" s="191">
        <v>0.05</v>
      </c>
      <c r="I27" s="24">
        <f>I26*H27</f>
        <v>1062.72</v>
      </c>
    </row>
    <row r="28" spans="2:9" s="193" customFormat="1" ht="12">
      <c r="B28" s="362" t="s">
        <v>73</v>
      </c>
      <c r="C28" s="362"/>
      <c r="D28" s="362"/>
      <c r="E28" s="362"/>
      <c r="F28" s="362"/>
      <c r="G28" s="362"/>
      <c r="H28" s="362"/>
      <c r="I28" s="202">
        <f>I26+I27</f>
        <v>22317.120000000003</v>
      </c>
    </row>
    <row r="29" spans="2:9" s="193" customFormat="1" ht="15" customHeight="1">
      <c r="B29" s="360" t="s">
        <v>2016</v>
      </c>
      <c r="C29" s="360"/>
      <c r="D29" s="360"/>
      <c r="E29" s="360"/>
      <c r="F29" s="360"/>
      <c r="G29" s="360"/>
      <c r="H29" s="360"/>
      <c r="I29" s="360"/>
    </row>
    <row r="30" spans="2:9" s="193" customFormat="1" ht="12">
      <c r="B30" s="105" t="s">
        <v>42</v>
      </c>
      <c r="C30" s="105" t="s">
        <v>58</v>
      </c>
      <c r="D30" s="105" t="s">
        <v>136</v>
      </c>
      <c r="E30" s="105" t="s">
        <v>0</v>
      </c>
      <c r="F30" s="105" t="s">
        <v>2017</v>
      </c>
      <c r="G30" s="105" t="s">
        <v>345</v>
      </c>
      <c r="H30" s="105" t="s">
        <v>61</v>
      </c>
      <c r="I30" s="105" t="s">
        <v>79</v>
      </c>
    </row>
    <row r="31" spans="2:9" s="193" customFormat="1" ht="12">
      <c r="B31" s="17" t="s">
        <v>2018</v>
      </c>
      <c r="C31" s="188" t="s">
        <v>2034</v>
      </c>
      <c r="D31" s="17" t="s">
        <v>390</v>
      </c>
      <c r="E31" s="17">
        <v>1</v>
      </c>
      <c r="F31" s="17">
        <v>1</v>
      </c>
      <c r="G31" s="24">
        <v>531.36</v>
      </c>
      <c r="H31" s="24">
        <f>E31*F31*G31</f>
        <v>531.36</v>
      </c>
      <c r="I31" s="24">
        <f>H31</f>
        <v>531.36</v>
      </c>
    </row>
    <row r="32" spans="2:9" s="193" customFormat="1" ht="12">
      <c r="B32" s="362" t="s">
        <v>2001</v>
      </c>
      <c r="C32" s="362"/>
      <c r="D32" s="362"/>
      <c r="E32" s="362"/>
      <c r="F32" s="362"/>
      <c r="G32" s="362"/>
      <c r="H32" s="362"/>
      <c r="I32" s="202">
        <f>SUM(I31:I31)</f>
        <v>531.36</v>
      </c>
    </row>
    <row r="33" spans="2:9" s="193" customFormat="1" ht="15" customHeight="1">
      <c r="B33" s="360" t="s">
        <v>2020</v>
      </c>
      <c r="C33" s="360"/>
      <c r="D33" s="360"/>
      <c r="E33" s="360"/>
      <c r="F33" s="360"/>
      <c r="G33" s="360"/>
      <c r="H33" s="360"/>
      <c r="I33" s="360"/>
    </row>
    <row r="34" spans="2:9" s="193" customFormat="1" ht="28.35" customHeight="1">
      <c r="B34" s="105" t="s">
        <v>42</v>
      </c>
      <c r="C34" s="360" t="s">
        <v>84</v>
      </c>
      <c r="D34" s="360"/>
      <c r="E34" s="105" t="s">
        <v>2021</v>
      </c>
      <c r="F34" s="105" t="s">
        <v>1</v>
      </c>
      <c r="G34" s="105" t="s">
        <v>77</v>
      </c>
      <c r="H34" s="105" t="s">
        <v>78</v>
      </c>
      <c r="I34" s="105" t="s">
        <v>79</v>
      </c>
    </row>
    <row r="35" spans="2:9" s="193" customFormat="1" ht="15" customHeight="1">
      <c r="B35" s="17" t="s">
        <v>2022</v>
      </c>
      <c r="C35" s="361" t="s">
        <v>2035</v>
      </c>
      <c r="D35" s="361"/>
      <c r="E35" s="17">
        <v>2.5</v>
      </c>
      <c r="F35" s="17" t="s">
        <v>213</v>
      </c>
      <c r="G35" s="189">
        <v>19000</v>
      </c>
      <c r="H35" s="192">
        <f>E35*G35/I35</f>
        <v>1.5962888133424207</v>
      </c>
      <c r="I35" s="24">
        <f>53136-I19-I28-I32-0</f>
        <v>29756.519999999997</v>
      </c>
    </row>
    <row r="36" spans="2:9" s="193" customFormat="1" ht="12">
      <c r="B36" s="362" t="s">
        <v>2001</v>
      </c>
      <c r="C36" s="362"/>
      <c r="D36" s="362"/>
      <c r="E36" s="362"/>
      <c r="F36" s="362"/>
      <c r="G36" s="362"/>
      <c r="H36" s="362"/>
      <c r="I36" s="202">
        <f>SUM(I35:I35)</f>
        <v>29756.519999999997</v>
      </c>
    </row>
    <row r="37" spans="2:9" s="193" customFormat="1" ht="12"/>
    <row r="38" spans="2:9" s="193" customFormat="1" ht="12">
      <c r="B38" s="363" t="s">
        <v>2026</v>
      </c>
      <c r="C38" s="363"/>
      <c r="D38" s="363"/>
      <c r="E38" s="363"/>
      <c r="F38" s="363"/>
      <c r="G38" s="363"/>
      <c r="H38" s="363"/>
      <c r="I38" s="202">
        <f>I19+I28+I32+I36</f>
        <v>53136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1DF2-8575-4720-8ABE-41F3D602CC4A}">
  <sheetPr codeName="Hoja123"/>
  <dimension ref="B3:I38"/>
  <sheetViews>
    <sheetView topLeftCell="A7" zoomScale="89" zoomScaleNormal="89" workbookViewId="0">
      <selection activeCell="I14" sqref="I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1736</v>
      </c>
      <c r="C13" s="355" t="s">
        <v>1735</v>
      </c>
      <c r="D13" s="355"/>
      <c r="E13" s="355"/>
      <c r="F13" s="355"/>
      <c r="G13" s="286" t="s">
        <v>159</v>
      </c>
      <c r="H13" s="286"/>
      <c r="I13" s="114">
        <v>65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88</v>
      </c>
      <c r="I18" s="24">
        <f>H18/F18</f>
        <v>88</v>
      </c>
    </row>
    <row r="19" spans="2:9" s="201" customFormat="1" ht="12">
      <c r="B19" s="365" t="s">
        <v>2001</v>
      </c>
      <c r="C19" s="365"/>
      <c r="D19" s="365"/>
      <c r="E19" s="365"/>
      <c r="F19" s="365"/>
      <c r="G19" s="365"/>
      <c r="H19" s="365"/>
      <c r="I19" s="202">
        <f>SUM(I18:I18)</f>
        <v>88</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87</v>
      </c>
      <c r="C22" s="368" t="s">
        <v>1735</v>
      </c>
      <c r="D22" s="368"/>
      <c r="E22" s="24" t="s">
        <v>159</v>
      </c>
      <c r="F22" s="204">
        <v>1</v>
      </c>
      <c r="G22" s="24"/>
      <c r="H22" s="24">
        <v>4606.17</v>
      </c>
      <c r="I22" s="24">
        <f>F22*H22</f>
        <v>4606.17</v>
      </c>
    </row>
    <row r="23" spans="2:9" s="201" customFormat="1" ht="28.35" customHeight="1">
      <c r="B23" s="24" t="s">
        <v>1101</v>
      </c>
      <c r="C23" s="368" t="s">
        <v>2036</v>
      </c>
      <c r="D23" s="368"/>
      <c r="E23" s="24" t="s">
        <v>390</v>
      </c>
      <c r="F23" s="204">
        <v>1</v>
      </c>
      <c r="G23" s="24"/>
      <c r="H23" s="24">
        <v>575.77</v>
      </c>
      <c r="I23" s="24">
        <f>F23*H23</f>
        <v>575.77</v>
      </c>
    </row>
    <row r="24" spans="2:9" s="201" customFormat="1" ht="15" customHeight="1">
      <c r="B24" s="24" t="s">
        <v>1103</v>
      </c>
      <c r="C24" s="368" t="s">
        <v>2037</v>
      </c>
      <c r="D24" s="368"/>
      <c r="E24" s="24" t="s">
        <v>390</v>
      </c>
      <c r="F24" s="204">
        <v>1</v>
      </c>
      <c r="G24" s="24"/>
      <c r="H24" s="24">
        <v>575.77</v>
      </c>
      <c r="I24" s="24">
        <f>F24*H24</f>
        <v>575.77</v>
      </c>
    </row>
    <row r="25" spans="2:9" s="201" customFormat="1" ht="12">
      <c r="B25" s="365" t="s">
        <v>2001</v>
      </c>
      <c r="C25" s="365"/>
      <c r="D25" s="365"/>
      <c r="E25" s="365"/>
      <c r="F25" s="365"/>
      <c r="G25" s="365"/>
      <c r="H25" s="365"/>
      <c r="I25" s="202">
        <f>SUM(I22:I24)</f>
        <v>5757.7100000000009</v>
      </c>
    </row>
    <row r="26" spans="2:9" s="201" customFormat="1" ht="12">
      <c r="B26" s="365" t="s">
        <v>1062</v>
      </c>
      <c r="C26" s="365"/>
      <c r="D26" s="365"/>
      <c r="E26" s="365"/>
      <c r="F26" s="365"/>
      <c r="G26" s="365"/>
      <c r="H26" s="24">
        <v>0.05</v>
      </c>
      <c r="I26" s="24">
        <f>I25*H26</f>
        <v>287.88550000000004</v>
      </c>
    </row>
    <row r="27" spans="2:9" s="201" customFormat="1" ht="12">
      <c r="B27" s="365" t="s">
        <v>73</v>
      </c>
      <c r="C27" s="365"/>
      <c r="D27" s="365"/>
      <c r="E27" s="365"/>
      <c r="F27" s="365"/>
      <c r="G27" s="365"/>
      <c r="H27" s="365"/>
      <c r="I27" s="202">
        <f>I25+I26</f>
        <v>6045.5955000000013</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04">
        <v>1</v>
      </c>
      <c r="F30" s="204">
        <v>1</v>
      </c>
      <c r="G30" s="24">
        <v>329.76</v>
      </c>
      <c r="H30" s="24">
        <f>E30*F30*G30</f>
        <v>329.76</v>
      </c>
      <c r="I30" s="24">
        <f>H30</f>
        <v>329.76</v>
      </c>
    </row>
    <row r="31" spans="2:9" s="201" customFormat="1" ht="12">
      <c r="B31" s="365" t="s">
        <v>2001</v>
      </c>
      <c r="C31" s="365"/>
      <c r="D31" s="365"/>
      <c r="E31" s="365"/>
      <c r="F31" s="365"/>
      <c r="G31" s="365"/>
      <c r="H31" s="365"/>
      <c r="I31" s="202">
        <f>SUM(I30:I30)</f>
        <v>329.76</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2039</v>
      </c>
      <c r="D34" s="368"/>
      <c r="E34" s="204">
        <v>0.4</v>
      </c>
      <c r="F34" s="24" t="s">
        <v>213</v>
      </c>
      <c r="G34" s="24">
        <v>19000</v>
      </c>
      <c r="H34" s="24">
        <f>E34*G34/I34</f>
        <v>1.6782063595409185</v>
      </c>
      <c r="I34" s="24">
        <f>10992-I19-I27-I31-0</f>
        <v>4528.6444999999985</v>
      </c>
    </row>
    <row r="35" spans="2:9" s="201" customFormat="1" ht="12">
      <c r="B35" s="365" t="s">
        <v>2001</v>
      </c>
      <c r="C35" s="365"/>
      <c r="D35" s="365"/>
      <c r="E35" s="365"/>
      <c r="F35" s="365"/>
      <c r="G35" s="365"/>
      <c r="H35" s="365"/>
      <c r="I35" s="202">
        <f>SUM(I34:I34)</f>
        <v>4528.6444999999985</v>
      </c>
    </row>
    <row r="36" spans="2:9" s="201" customFormat="1" ht="12"/>
    <row r="37" spans="2:9" s="201" customFormat="1" ht="12">
      <c r="B37" s="366" t="s">
        <v>2026</v>
      </c>
      <c r="C37" s="366"/>
      <c r="D37" s="366"/>
      <c r="E37" s="366"/>
      <c r="F37" s="366"/>
      <c r="G37" s="366"/>
      <c r="H37" s="366"/>
      <c r="I37" s="206">
        <f>I19+I27+I31+I35</f>
        <v>10992</v>
      </c>
    </row>
    <row r="38" spans="2:9" customFormat="1" ht="15"/>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C24:D24"/>
    <mergeCell ref="B16:I16"/>
    <mergeCell ref="C17:D17"/>
    <mergeCell ref="C18:D18"/>
    <mergeCell ref="B19:H19"/>
    <mergeCell ref="B20:I20"/>
    <mergeCell ref="C21:D21"/>
    <mergeCell ref="B37:H37"/>
    <mergeCell ref="B25:H25"/>
    <mergeCell ref="B26:G26"/>
    <mergeCell ref="B27:H27"/>
    <mergeCell ref="B28:I28"/>
    <mergeCell ref="B31:H31"/>
    <mergeCell ref="B32:I32"/>
    <mergeCell ref="C33:D33"/>
    <mergeCell ref="B35:H35"/>
    <mergeCell ref="C34:D34"/>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9015F-EB2E-45DC-BE04-B634D78D384A}">
  <sheetPr codeName="Hoja124"/>
  <dimension ref="B3:I37"/>
  <sheetViews>
    <sheetView zoomScale="89" zoomScaleNormal="89" workbookViewId="0">
      <selection activeCell="I14" sqref="I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1737</v>
      </c>
      <c r="C13" s="355" t="s">
        <v>2040</v>
      </c>
      <c r="D13" s="355"/>
      <c r="E13" s="355"/>
      <c r="F13" s="355"/>
      <c r="G13" s="286" t="s">
        <v>136</v>
      </c>
      <c r="H13" s="286"/>
      <c r="I13" s="114">
        <v>25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24">
        <v>14</v>
      </c>
      <c r="I18" s="24">
        <f>H18/F18</f>
        <v>14</v>
      </c>
    </row>
    <row r="19" spans="2:9" s="193" customFormat="1" ht="12">
      <c r="B19" s="362" t="s">
        <v>2001</v>
      </c>
      <c r="C19" s="362"/>
      <c r="D19" s="362"/>
      <c r="E19" s="362"/>
      <c r="F19" s="362"/>
      <c r="G19" s="362"/>
      <c r="H19" s="362"/>
      <c r="I19" s="190">
        <f>SUM(I18:I18)</f>
        <v>14</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1116</v>
      </c>
      <c r="C22" s="361" t="s">
        <v>2040</v>
      </c>
      <c r="D22" s="361"/>
      <c r="E22" s="17" t="s">
        <v>780</v>
      </c>
      <c r="F22" s="17">
        <v>1</v>
      </c>
      <c r="G22" s="17"/>
      <c r="H22" s="24">
        <v>722.74</v>
      </c>
      <c r="I22" s="24">
        <f>F22*H22</f>
        <v>722.74</v>
      </c>
    </row>
    <row r="23" spans="2:9" s="193" customFormat="1" ht="15" customHeight="1">
      <c r="B23" s="17" t="s">
        <v>1118</v>
      </c>
      <c r="C23" s="361" t="s">
        <v>2041</v>
      </c>
      <c r="D23" s="361"/>
      <c r="E23" s="17" t="s">
        <v>390</v>
      </c>
      <c r="F23" s="17">
        <v>1</v>
      </c>
      <c r="G23" s="17"/>
      <c r="H23" s="24">
        <v>127.54</v>
      </c>
      <c r="I23" s="24">
        <f>F23*H23</f>
        <v>127.54</v>
      </c>
    </row>
    <row r="24" spans="2:9" s="193" customFormat="1" ht="12">
      <c r="B24" s="362" t="s">
        <v>2001</v>
      </c>
      <c r="C24" s="362"/>
      <c r="D24" s="362"/>
      <c r="E24" s="362"/>
      <c r="F24" s="362"/>
      <c r="G24" s="362"/>
      <c r="H24" s="362"/>
      <c r="I24" s="202">
        <f>SUM(I22:I23)</f>
        <v>850.28</v>
      </c>
    </row>
    <row r="25" spans="2:9" s="193" customFormat="1" ht="12">
      <c r="B25" s="362" t="s">
        <v>1062</v>
      </c>
      <c r="C25" s="362"/>
      <c r="D25" s="362"/>
      <c r="E25" s="362"/>
      <c r="F25" s="362"/>
      <c r="G25" s="362"/>
      <c r="H25" s="191">
        <v>0.05</v>
      </c>
      <c r="I25" s="24">
        <f>I24*H25</f>
        <v>42.514000000000003</v>
      </c>
    </row>
    <row r="26" spans="2:9" s="193" customFormat="1" ht="12">
      <c r="B26" s="362" t="s">
        <v>73</v>
      </c>
      <c r="C26" s="362"/>
      <c r="D26" s="362"/>
      <c r="E26" s="362"/>
      <c r="F26" s="362"/>
      <c r="G26" s="362"/>
      <c r="H26" s="362"/>
      <c r="I26" s="202">
        <f>I24+I25</f>
        <v>892.79399999999998</v>
      </c>
    </row>
    <row r="27" spans="2:9" s="193" customFormat="1" ht="15" customHeight="1">
      <c r="B27" s="360" t="s">
        <v>2016</v>
      </c>
      <c r="C27" s="360"/>
      <c r="D27" s="360"/>
      <c r="E27" s="360"/>
      <c r="F27" s="360"/>
      <c r="G27" s="360"/>
      <c r="H27" s="360"/>
      <c r="I27" s="360"/>
    </row>
    <row r="28" spans="2:9" s="193" customFormat="1" ht="12">
      <c r="B28" s="105" t="s">
        <v>42</v>
      </c>
      <c r="C28" s="105" t="s">
        <v>58</v>
      </c>
      <c r="D28" s="105" t="s">
        <v>136</v>
      </c>
      <c r="E28" s="105" t="s">
        <v>0</v>
      </c>
      <c r="F28" s="105" t="s">
        <v>2017</v>
      </c>
      <c r="G28" s="105" t="s">
        <v>345</v>
      </c>
      <c r="H28" s="105" t="s">
        <v>61</v>
      </c>
      <c r="I28" s="105" t="s">
        <v>79</v>
      </c>
    </row>
    <row r="29" spans="2:9" s="193" customFormat="1" ht="12">
      <c r="B29" s="17" t="s">
        <v>2018</v>
      </c>
      <c r="C29" s="188" t="s">
        <v>2042</v>
      </c>
      <c r="D29" s="17" t="s">
        <v>390</v>
      </c>
      <c r="E29" s="17">
        <v>1</v>
      </c>
      <c r="F29" s="17">
        <v>1</v>
      </c>
      <c r="G29" s="189">
        <v>28.8</v>
      </c>
      <c r="H29" s="189">
        <f>E29*F29*G29</f>
        <v>28.8</v>
      </c>
      <c r="I29" s="24">
        <f>H29</f>
        <v>28.8</v>
      </c>
    </row>
    <row r="30" spans="2:9" s="193" customFormat="1" ht="12">
      <c r="B30" s="362" t="s">
        <v>2001</v>
      </c>
      <c r="C30" s="362"/>
      <c r="D30" s="362"/>
      <c r="E30" s="362"/>
      <c r="F30" s="362"/>
      <c r="G30" s="362"/>
      <c r="H30" s="362"/>
      <c r="I30" s="202">
        <f>SUM(I29:I29)</f>
        <v>28.8</v>
      </c>
    </row>
    <row r="31" spans="2:9" s="193" customFormat="1" ht="15" customHeight="1">
      <c r="B31" s="360" t="s">
        <v>2020</v>
      </c>
      <c r="C31" s="360"/>
      <c r="D31" s="360"/>
      <c r="E31" s="360"/>
      <c r="F31" s="360"/>
      <c r="G31" s="360"/>
      <c r="H31" s="360"/>
      <c r="I31" s="360"/>
    </row>
    <row r="32" spans="2:9" s="193" customFormat="1" ht="28.35" customHeight="1">
      <c r="B32" s="105" t="s">
        <v>42</v>
      </c>
      <c r="C32" s="360" t="s">
        <v>84</v>
      </c>
      <c r="D32" s="360"/>
      <c r="E32" s="105" t="s">
        <v>2021</v>
      </c>
      <c r="F32" s="105" t="s">
        <v>1</v>
      </c>
      <c r="G32" s="105" t="s">
        <v>77</v>
      </c>
      <c r="H32" s="105" t="s">
        <v>78</v>
      </c>
      <c r="I32" s="105" t="s">
        <v>79</v>
      </c>
    </row>
    <row r="33" spans="2:9" s="193" customFormat="1" ht="15" customHeight="1">
      <c r="B33" s="17" t="s">
        <v>2022</v>
      </c>
      <c r="C33" s="361" t="s">
        <v>2043</v>
      </c>
      <c r="D33" s="361"/>
      <c r="E33" s="17">
        <v>0.35</v>
      </c>
      <c r="F33" s="17" t="s">
        <v>213</v>
      </c>
      <c r="G33" s="189">
        <v>19000</v>
      </c>
      <c r="H33" s="192">
        <f>E33*G33/I33</f>
        <v>13.18382414166366</v>
      </c>
      <c r="I33" s="24">
        <f>1440-I19-I26-I30-0</f>
        <v>504.40600000000001</v>
      </c>
    </row>
    <row r="34" spans="2:9" s="193" customFormat="1" ht="12">
      <c r="B34" s="362" t="s">
        <v>2001</v>
      </c>
      <c r="C34" s="362"/>
      <c r="D34" s="362"/>
      <c r="E34" s="362"/>
      <c r="F34" s="362"/>
      <c r="G34" s="362"/>
      <c r="H34" s="362"/>
      <c r="I34" s="202">
        <f>SUM(I33:I33)</f>
        <v>504.40600000000001</v>
      </c>
    </row>
    <row r="35" spans="2:9" s="193" customFormat="1"/>
    <row r="36" spans="2:9" s="193" customFormat="1" ht="12">
      <c r="B36" s="363" t="s">
        <v>2026</v>
      </c>
      <c r="C36" s="363"/>
      <c r="D36" s="363"/>
      <c r="E36" s="363"/>
      <c r="F36" s="363"/>
      <c r="G36" s="363"/>
      <c r="H36" s="363"/>
      <c r="I36" s="206">
        <f>I19+I26+I30+I34</f>
        <v>1440</v>
      </c>
    </row>
    <row r="37" spans="2:9" customFormat="1" ht="13.8"/>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9243-A0CC-4D77-AD2D-EAE91A07FD6F}">
  <sheetPr codeName="Hoja125"/>
  <dimension ref="B3:I37"/>
  <sheetViews>
    <sheetView topLeftCell="A3"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1576</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1738</v>
      </c>
      <c r="C13" s="355" t="s">
        <v>1746</v>
      </c>
      <c r="D13" s="355"/>
      <c r="E13" s="355"/>
      <c r="F13" s="355"/>
      <c r="G13" s="286" t="s">
        <v>159</v>
      </c>
      <c r="H13" s="286"/>
      <c r="I13" s="114">
        <v>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143</v>
      </c>
      <c r="I18" s="24">
        <f>H18/F18</f>
        <v>143</v>
      </c>
    </row>
    <row r="19" spans="2:9" s="201" customFormat="1" ht="12">
      <c r="B19" s="365" t="s">
        <v>2001</v>
      </c>
      <c r="C19" s="365"/>
      <c r="D19" s="365"/>
      <c r="E19" s="365"/>
      <c r="F19" s="365"/>
      <c r="G19" s="365"/>
      <c r="H19" s="365"/>
      <c r="I19" s="202">
        <f>SUM(I18:I18)</f>
        <v>143</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87</v>
      </c>
      <c r="C22" s="368" t="s">
        <v>1746</v>
      </c>
      <c r="D22" s="368"/>
      <c r="E22" s="24" t="s">
        <v>159</v>
      </c>
      <c r="F22" s="204">
        <v>1</v>
      </c>
      <c r="G22" s="24"/>
      <c r="H22" s="24">
        <v>7492.57</v>
      </c>
      <c r="I22" s="24">
        <f>F22*H22</f>
        <v>7492.57</v>
      </c>
    </row>
    <row r="23" spans="2:9" s="201" customFormat="1" ht="28.35" customHeight="1">
      <c r="B23" s="24" t="s">
        <v>1101</v>
      </c>
      <c r="C23" s="368" t="s">
        <v>2036</v>
      </c>
      <c r="D23" s="368"/>
      <c r="E23" s="24" t="s">
        <v>390</v>
      </c>
      <c r="F23" s="204">
        <v>1</v>
      </c>
      <c r="G23" s="24"/>
      <c r="H23" s="24">
        <v>936.57</v>
      </c>
      <c r="I23" s="24">
        <f>F23*H23</f>
        <v>936.57</v>
      </c>
    </row>
    <row r="24" spans="2:9" s="201" customFormat="1" ht="15" customHeight="1">
      <c r="B24" s="24" t="s">
        <v>1103</v>
      </c>
      <c r="C24" s="368" t="s">
        <v>2037</v>
      </c>
      <c r="D24" s="368"/>
      <c r="E24" s="24" t="s">
        <v>390</v>
      </c>
      <c r="F24" s="204">
        <v>1</v>
      </c>
      <c r="G24" s="24"/>
      <c r="H24" s="24">
        <v>936.57</v>
      </c>
      <c r="I24" s="24">
        <f>F24*H24</f>
        <v>936.57</v>
      </c>
    </row>
    <row r="25" spans="2:9" s="201" customFormat="1" ht="12">
      <c r="B25" s="365" t="s">
        <v>2001</v>
      </c>
      <c r="C25" s="365"/>
      <c r="D25" s="365"/>
      <c r="E25" s="365"/>
      <c r="F25" s="365"/>
      <c r="G25" s="365"/>
      <c r="H25" s="365"/>
      <c r="I25" s="202">
        <f>SUM(I22:I24)</f>
        <v>9365.7099999999991</v>
      </c>
    </row>
    <row r="26" spans="2:9" s="201" customFormat="1" ht="12">
      <c r="B26" s="365" t="s">
        <v>1062</v>
      </c>
      <c r="C26" s="365"/>
      <c r="D26" s="365"/>
      <c r="E26" s="365"/>
      <c r="F26" s="365"/>
      <c r="G26" s="365"/>
      <c r="H26" s="24">
        <v>0.05</v>
      </c>
      <c r="I26" s="24">
        <f>I25*H26</f>
        <v>468.28549999999996</v>
      </c>
    </row>
    <row r="27" spans="2:9" s="201" customFormat="1" ht="12">
      <c r="B27" s="365" t="s">
        <v>73</v>
      </c>
      <c r="C27" s="365"/>
      <c r="D27" s="365"/>
      <c r="E27" s="365"/>
      <c r="F27" s="365"/>
      <c r="G27" s="365"/>
      <c r="H27" s="365"/>
      <c r="I27" s="202">
        <f>I25+I26</f>
        <v>9833.9954999999991</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04">
        <v>1</v>
      </c>
      <c r="F30" s="204">
        <v>1</v>
      </c>
      <c r="G30" s="24">
        <v>536.4</v>
      </c>
      <c r="H30" s="24">
        <f>E30*F30*G30</f>
        <v>536.4</v>
      </c>
      <c r="I30" s="24">
        <f>H30</f>
        <v>536.4</v>
      </c>
    </row>
    <row r="31" spans="2:9" s="201" customFormat="1" ht="12">
      <c r="B31" s="365" t="s">
        <v>2001</v>
      </c>
      <c r="C31" s="365"/>
      <c r="D31" s="365"/>
      <c r="E31" s="365"/>
      <c r="F31" s="365"/>
      <c r="G31" s="365"/>
      <c r="H31" s="365"/>
      <c r="I31" s="202">
        <f>SUM(I30:I30)</f>
        <v>536.4</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2039</v>
      </c>
      <c r="D34" s="368"/>
      <c r="E34" s="204">
        <v>0.4</v>
      </c>
      <c r="F34" s="24" t="s">
        <v>213</v>
      </c>
      <c r="G34" s="24">
        <v>19000</v>
      </c>
      <c r="H34" s="24">
        <f>E34*G34/I34</f>
        <v>1.0316829144282142</v>
      </c>
      <c r="I34" s="24">
        <f>17880-I19-I27-I31-0</f>
        <v>7366.6045000000013</v>
      </c>
    </row>
    <row r="35" spans="2:9" s="201" customFormat="1" ht="12">
      <c r="B35" s="365" t="s">
        <v>2001</v>
      </c>
      <c r="C35" s="365"/>
      <c r="D35" s="365"/>
      <c r="E35" s="365"/>
      <c r="F35" s="365"/>
      <c r="G35" s="365"/>
      <c r="H35" s="365"/>
      <c r="I35" s="202">
        <f>SUM(I34:I34)</f>
        <v>7366.6045000000013</v>
      </c>
    </row>
    <row r="36" spans="2:9" s="201" customFormat="1"/>
    <row r="37" spans="2:9" s="201" customFormat="1" ht="12">
      <c r="B37" s="366" t="s">
        <v>2026</v>
      </c>
      <c r="C37" s="366"/>
      <c r="D37" s="366"/>
      <c r="E37" s="366"/>
      <c r="F37" s="366"/>
      <c r="G37" s="366"/>
      <c r="H37" s="366"/>
      <c r="I37" s="206">
        <f>I19+I27+I31+I35</f>
        <v>17880</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7:H37"/>
    <mergeCell ref="C33:D33"/>
    <mergeCell ref="C22:D22"/>
    <mergeCell ref="C23:D23"/>
    <mergeCell ref="C24:D24"/>
    <mergeCell ref="B25:H25"/>
    <mergeCell ref="B26:G26"/>
    <mergeCell ref="B27:H27"/>
    <mergeCell ref="B28:I28"/>
    <mergeCell ref="B31:H31"/>
    <mergeCell ref="B32:I32"/>
    <mergeCell ref="C34:D34"/>
    <mergeCell ref="B35:H35"/>
  </mergeCell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ECF7-4104-4DF4-9068-9306CB51B877}">
  <sheetPr codeName="Hoja126"/>
  <dimension ref="B3:I36"/>
  <sheetViews>
    <sheetView topLeftCell="A10"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1739</v>
      </c>
      <c r="C13" s="355" t="s">
        <v>2044</v>
      </c>
      <c r="D13" s="355"/>
      <c r="E13" s="355"/>
      <c r="F13" s="355"/>
      <c r="G13" s="286" t="s">
        <v>136</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36</v>
      </c>
      <c r="I18" s="24">
        <f>H18/F18</f>
        <v>36</v>
      </c>
    </row>
    <row r="19" spans="2:9" s="201" customFormat="1" ht="12">
      <c r="B19" s="365" t="s">
        <v>2001</v>
      </c>
      <c r="C19" s="365"/>
      <c r="D19" s="365"/>
      <c r="E19" s="365"/>
      <c r="F19" s="365"/>
      <c r="G19" s="365"/>
      <c r="H19" s="365"/>
      <c r="I19" s="202">
        <f>SUM(I18:I18)</f>
        <v>36</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1116</v>
      </c>
      <c r="C22" s="368" t="s">
        <v>2044</v>
      </c>
      <c r="D22" s="368"/>
      <c r="E22" s="24" t="s">
        <v>780</v>
      </c>
      <c r="F22" s="204">
        <v>1</v>
      </c>
      <c r="G22" s="24"/>
      <c r="H22" s="24">
        <v>1806.86</v>
      </c>
      <c r="I22" s="24">
        <f>F22*H22</f>
        <v>1806.86</v>
      </c>
    </row>
    <row r="23" spans="2:9" s="201" customFormat="1" ht="15" customHeight="1">
      <c r="B23" s="24" t="s">
        <v>1118</v>
      </c>
      <c r="C23" s="368" t="s">
        <v>2041</v>
      </c>
      <c r="D23" s="368"/>
      <c r="E23" s="24" t="s">
        <v>390</v>
      </c>
      <c r="F23" s="204">
        <v>1</v>
      </c>
      <c r="G23" s="24"/>
      <c r="H23" s="24">
        <v>318.86</v>
      </c>
      <c r="I23" s="24">
        <f>F23*H23</f>
        <v>318.86</v>
      </c>
    </row>
    <row r="24" spans="2:9" s="201" customFormat="1" ht="12">
      <c r="B24" s="365" t="s">
        <v>2001</v>
      </c>
      <c r="C24" s="365"/>
      <c r="D24" s="365"/>
      <c r="E24" s="365"/>
      <c r="F24" s="365"/>
      <c r="G24" s="365"/>
      <c r="H24" s="365"/>
      <c r="I24" s="202">
        <f>SUM(I22:I23)</f>
        <v>2125.7199999999998</v>
      </c>
    </row>
    <row r="25" spans="2:9" s="201" customFormat="1" ht="12">
      <c r="B25" s="365" t="s">
        <v>1062</v>
      </c>
      <c r="C25" s="365"/>
      <c r="D25" s="365"/>
      <c r="E25" s="365"/>
      <c r="F25" s="365"/>
      <c r="G25" s="365"/>
      <c r="H25" s="24">
        <v>0.05</v>
      </c>
      <c r="I25" s="24">
        <f>I24*H25</f>
        <v>106.286</v>
      </c>
    </row>
    <row r="26" spans="2:9" s="201" customFormat="1" ht="12">
      <c r="B26" s="365" t="s">
        <v>73</v>
      </c>
      <c r="C26" s="365"/>
      <c r="D26" s="365"/>
      <c r="E26" s="365"/>
      <c r="F26" s="365"/>
      <c r="G26" s="365"/>
      <c r="H26" s="365"/>
      <c r="I26" s="202">
        <f>I24+I25</f>
        <v>2232.0059999999999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04">
        <v>1</v>
      </c>
      <c r="F29" s="204">
        <v>1</v>
      </c>
      <c r="G29" s="24">
        <v>72</v>
      </c>
      <c r="H29" s="24">
        <f>E29*F29*G29</f>
        <v>72</v>
      </c>
      <c r="I29" s="24">
        <f>H29</f>
        <v>72</v>
      </c>
    </row>
    <row r="30" spans="2:9" s="201" customFormat="1" ht="12">
      <c r="B30" s="365" t="s">
        <v>2001</v>
      </c>
      <c r="C30" s="365"/>
      <c r="D30" s="365"/>
      <c r="E30" s="365"/>
      <c r="F30" s="365"/>
      <c r="G30" s="365"/>
      <c r="H30" s="365"/>
      <c r="I30" s="202">
        <f>SUM(I29:I29)</f>
        <v>72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04">
        <v>0.35</v>
      </c>
      <c r="F33" s="24" t="s">
        <v>213</v>
      </c>
      <c r="G33" s="24">
        <v>19000</v>
      </c>
      <c r="H33" s="204">
        <f>E33*G33/I33</f>
        <v>5.2778029101725874</v>
      </c>
      <c r="I33" s="24">
        <f>3600-I19-I26-I30-0</f>
        <v>1259.9940000000001</v>
      </c>
    </row>
    <row r="34" spans="2:9" s="201" customFormat="1" ht="12">
      <c r="B34" s="365" t="s">
        <v>2001</v>
      </c>
      <c r="C34" s="365"/>
      <c r="D34" s="365"/>
      <c r="E34" s="365"/>
      <c r="F34" s="365"/>
      <c r="G34" s="365"/>
      <c r="H34" s="365"/>
      <c r="I34" s="202">
        <f>SUM(I33:I33)</f>
        <v>1259.9940000000001</v>
      </c>
    </row>
    <row r="35" spans="2:9" s="201" customFormat="1" ht="12"/>
    <row r="36" spans="2:9" s="201" customFormat="1" ht="12">
      <c r="B36" s="366" t="s">
        <v>2026</v>
      </c>
      <c r="C36" s="366"/>
      <c r="D36" s="366"/>
      <c r="E36" s="366"/>
      <c r="F36" s="366"/>
      <c r="G36" s="366"/>
      <c r="H36" s="366"/>
      <c r="I36" s="206">
        <f>I19+I26+I30+I34</f>
        <v>3600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4E47-4D62-4EF1-AE9C-0D417BA3FD09}">
  <sheetPr codeName="Hoja127"/>
  <dimension ref="B3:I37"/>
  <sheetViews>
    <sheetView topLeftCell="A7" zoomScale="89" zoomScaleNormal="89"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1740</v>
      </c>
      <c r="C13" s="355" t="s">
        <v>1747</v>
      </c>
      <c r="D13" s="355"/>
      <c r="E13" s="355"/>
      <c r="F13" s="355"/>
      <c r="G13" s="286" t="s">
        <v>159</v>
      </c>
      <c r="H13" s="286"/>
      <c r="I13" s="114">
        <v>38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215</v>
      </c>
      <c r="I18" s="24">
        <f>H18/F18</f>
        <v>215</v>
      </c>
    </row>
    <row r="19" spans="2:9" s="201" customFormat="1" ht="12">
      <c r="B19" s="365" t="s">
        <v>2001</v>
      </c>
      <c r="C19" s="365"/>
      <c r="D19" s="365"/>
      <c r="E19" s="365"/>
      <c r="F19" s="365"/>
      <c r="G19" s="365"/>
      <c r="H19" s="365"/>
      <c r="I19" s="202">
        <f>SUM(I18:I18)</f>
        <v>215</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87</v>
      </c>
      <c r="C22" s="368" t="s">
        <v>1747</v>
      </c>
      <c r="D22" s="368"/>
      <c r="E22" s="24" t="s">
        <v>159</v>
      </c>
      <c r="F22" s="204">
        <v>1</v>
      </c>
      <c r="G22" s="24"/>
      <c r="H22" s="24">
        <v>11258.97</v>
      </c>
      <c r="I22" s="24">
        <f>F22*H22</f>
        <v>11258.97</v>
      </c>
    </row>
    <row r="23" spans="2:9" s="201" customFormat="1" ht="28.35" customHeight="1">
      <c r="B23" s="24" t="s">
        <v>1101</v>
      </c>
      <c r="C23" s="368" t="s">
        <v>2036</v>
      </c>
      <c r="D23" s="368"/>
      <c r="E23" s="24" t="s">
        <v>390</v>
      </c>
      <c r="F23" s="204">
        <v>1</v>
      </c>
      <c r="G23" s="24"/>
      <c r="H23" s="24">
        <v>1407.37</v>
      </c>
      <c r="I23" s="24">
        <f>F23*H23</f>
        <v>1407.37</v>
      </c>
    </row>
    <row r="24" spans="2:9" s="201" customFormat="1" ht="15" customHeight="1">
      <c r="B24" s="24" t="s">
        <v>1103</v>
      </c>
      <c r="C24" s="368" t="s">
        <v>2037</v>
      </c>
      <c r="D24" s="368"/>
      <c r="E24" s="24" t="s">
        <v>390</v>
      </c>
      <c r="F24" s="204">
        <v>1</v>
      </c>
      <c r="G24" s="24"/>
      <c r="H24" s="24">
        <v>1407.37</v>
      </c>
      <c r="I24" s="24">
        <f>F24*H24</f>
        <v>1407.37</v>
      </c>
    </row>
    <row r="25" spans="2:9" s="201" customFormat="1" ht="12">
      <c r="B25" s="365" t="s">
        <v>2001</v>
      </c>
      <c r="C25" s="365"/>
      <c r="D25" s="365"/>
      <c r="E25" s="365"/>
      <c r="F25" s="365"/>
      <c r="G25" s="365"/>
      <c r="H25" s="365"/>
      <c r="I25" s="202">
        <f>SUM(I22:I24)</f>
        <v>14073.71</v>
      </c>
    </row>
    <row r="26" spans="2:9" s="201" customFormat="1" ht="12">
      <c r="B26" s="365" t="s">
        <v>1062</v>
      </c>
      <c r="C26" s="365"/>
      <c r="D26" s="365"/>
      <c r="E26" s="365"/>
      <c r="F26" s="365"/>
      <c r="G26" s="365"/>
      <c r="H26" s="24">
        <v>0.05</v>
      </c>
      <c r="I26" s="24">
        <f>I25*H26</f>
        <v>703.68550000000005</v>
      </c>
    </row>
    <row r="27" spans="2:9" s="201" customFormat="1" ht="12">
      <c r="B27" s="365" t="s">
        <v>73</v>
      </c>
      <c r="C27" s="365"/>
      <c r="D27" s="365"/>
      <c r="E27" s="365"/>
      <c r="F27" s="365"/>
      <c r="G27" s="365"/>
      <c r="H27" s="365"/>
      <c r="I27" s="202">
        <f>I25+I26</f>
        <v>14777.395499999999</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04">
        <v>1</v>
      </c>
      <c r="F30" s="204">
        <v>1</v>
      </c>
      <c r="G30" s="24">
        <v>806.04</v>
      </c>
      <c r="H30" s="24">
        <f>E30*F30*G30</f>
        <v>806.04</v>
      </c>
      <c r="I30" s="24">
        <f>H30</f>
        <v>806.04</v>
      </c>
    </row>
    <row r="31" spans="2:9" s="201" customFormat="1" ht="12">
      <c r="B31" s="365" t="s">
        <v>2001</v>
      </c>
      <c r="C31" s="365"/>
      <c r="D31" s="365"/>
      <c r="E31" s="365"/>
      <c r="F31" s="365"/>
      <c r="G31" s="365"/>
      <c r="H31" s="365"/>
      <c r="I31" s="202">
        <f>SUM(I30:I30)</f>
        <v>806.04</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2039</v>
      </c>
      <c r="D34" s="368"/>
      <c r="E34" s="204">
        <v>0.4</v>
      </c>
      <c r="F34" s="24" t="s">
        <v>213</v>
      </c>
      <c r="G34" s="24">
        <v>19000</v>
      </c>
      <c r="H34" s="204">
        <f>E34*G34/I34</f>
        <v>0.68656720867383714</v>
      </c>
      <c r="I34" s="24">
        <f>26868-I19-I27-I31-0</f>
        <v>11069.5645</v>
      </c>
    </row>
    <row r="35" spans="2:9" s="201" customFormat="1" ht="12">
      <c r="B35" s="365" t="s">
        <v>2001</v>
      </c>
      <c r="C35" s="365"/>
      <c r="D35" s="365"/>
      <c r="E35" s="365"/>
      <c r="F35" s="365"/>
      <c r="G35" s="365"/>
      <c r="H35" s="365"/>
      <c r="I35" s="202">
        <f>SUM(I34:I34)</f>
        <v>11069.5645</v>
      </c>
    </row>
    <row r="36" spans="2:9" s="201" customFormat="1" ht="12"/>
    <row r="37" spans="2:9" s="201" customFormat="1" ht="12">
      <c r="B37" s="366" t="s">
        <v>2026</v>
      </c>
      <c r="C37" s="366"/>
      <c r="D37" s="366"/>
      <c r="E37" s="366"/>
      <c r="F37" s="366"/>
      <c r="G37" s="366"/>
      <c r="H37" s="366"/>
      <c r="I37" s="206">
        <f>I19+I27+I31+I35</f>
        <v>26868</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7:H37"/>
    <mergeCell ref="C33:D33"/>
    <mergeCell ref="C22:D22"/>
    <mergeCell ref="C23:D23"/>
    <mergeCell ref="C24:D24"/>
    <mergeCell ref="B25:H25"/>
    <mergeCell ref="B26:G26"/>
    <mergeCell ref="B27:H27"/>
    <mergeCell ref="B28:I28"/>
    <mergeCell ref="B31:H31"/>
    <mergeCell ref="B32:I32"/>
    <mergeCell ref="C34:D34"/>
    <mergeCell ref="B35:H35"/>
  </mergeCell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1649-6FCF-4A62-8D45-ECDA56EE9977}">
  <sheetPr codeName="Hoja128"/>
  <dimension ref="B3:I36"/>
  <sheetViews>
    <sheetView topLeftCell="A7"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1741</v>
      </c>
      <c r="C13" s="355" t="s">
        <v>1748</v>
      </c>
      <c r="D13" s="355"/>
      <c r="E13" s="355"/>
      <c r="F13" s="355"/>
      <c r="G13" s="286" t="s">
        <v>136</v>
      </c>
      <c r="H13" s="286"/>
      <c r="I13" s="114">
        <v>24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49</v>
      </c>
      <c r="I18" s="24">
        <f>H18/F18</f>
        <v>49</v>
      </c>
    </row>
    <row r="19" spans="2:9" s="201" customFormat="1" ht="12">
      <c r="B19" s="365" t="s">
        <v>2001</v>
      </c>
      <c r="C19" s="365"/>
      <c r="D19" s="365"/>
      <c r="E19" s="365"/>
      <c r="F19" s="365"/>
      <c r="G19" s="365"/>
      <c r="H19" s="365"/>
      <c r="I19" s="202">
        <f>SUM(I18:I18)</f>
        <v>49</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1116</v>
      </c>
      <c r="C22" s="368" t="s">
        <v>1748</v>
      </c>
      <c r="D22" s="368"/>
      <c r="E22" s="24" t="s">
        <v>780</v>
      </c>
      <c r="F22" s="204">
        <v>1</v>
      </c>
      <c r="G22" s="24"/>
      <c r="H22" s="24">
        <v>2439.2600000000002</v>
      </c>
      <c r="I22" s="24">
        <f>F22*H22</f>
        <v>2439.2600000000002</v>
      </c>
    </row>
    <row r="23" spans="2:9" s="201" customFormat="1" ht="15" customHeight="1">
      <c r="B23" s="24" t="s">
        <v>1118</v>
      </c>
      <c r="C23" s="368" t="s">
        <v>2041</v>
      </c>
      <c r="D23" s="368"/>
      <c r="E23" s="24" t="s">
        <v>390</v>
      </c>
      <c r="F23" s="204">
        <v>1</v>
      </c>
      <c r="G23" s="24"/>
      <c r="H23" s="24">
        <v>430.46</v>
      </c>
      <c r="I23" s="24">
        <f>F23*H23</f>
        <v>430.46</v>
      </c>
    </row>
    <row r="24" spans="2:9" s="201" customFormat="1" ht="12">
      <c r="B24" s="365" t="s">
        <v>2001</v>
      </c>
      <c r="C24" s="365"/>
      <c r="D24" s="365"/>
      <c r="E24" s="365"/>
      <c r="F24" s="365"/>
      <c r="G24" s="365"/>
      <c r="H24" s="365"/>
      <c r="I24" s="202">
        <f>SUM(I22:I23)</f>
        <v>2869.7200000000003</v>
      </c>
    </row>
    <row r="25" spans="2:9" s="201" customFormat="1" ht="12">
      <c r="B25" s="365" t="s">
        <v>1062</v>
      </c>
      <c r="C25" s="365"/>
      <c r="D25" s="365"/>
      <c r="E25" s="365"/>
      <c r="F25" s="365"/>
      <c r="G25" s="365"/>
      <c r="H25" s="24">
        <v>0.05</v>
      </c>
      <c r="I25" s="24">
        <f>I24*H25</f>
        <v>143.48600000000002</v>
      </c>
    </row>
    <row r="26" spans="2:9" s="201" customFormat="1" ht="12">
      <c r="B26" s="365" t="s">
        <v>73</v>
      </c>
      <c r="C26" s="365"/>
      <c r="D26" s="365"/>
      <c r="E26" s="365"/>
      <c r="F26" s="365"/>
      <c r="G26" s="365"/>
      <c r="H26" s="365"/>
      <c r="I26" s="202">
        <f>I24+I25</f>
        <v>3013.2060000000001</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04">
        <v>1</v>
      </c>
      <c r="F29" s="204">
        <v>1</v>
      </c>
      <c r="G29" s="24">
        <v>97.2</v>
      </c>
      <c r="H29" s="24">
        <f>E29*F29*G29</f>
        <v>97.2</v>
      </c>
      <c r="I29" s="24">
        <f>H29</f>
        <v>97.2</v>
      </c>
    </row>
    <row r="30" spans="2:9" s="201" customFormat="1" ht="12">
      <c r="B30" s="365" t="s">
        <v>2001</v>
      </c>
      <c r="C30" s="365"/>
      <c r="D30" s="365"/>
      <c r="E30" s="365"/>
      <c r="F30" s="365"/>
      <c r="G30" s="365"/>
      <c r="H30" s="365"/>
      <c r="I30" s="202">
        <f>SUM(I29:I29)</f>
        <v>97.2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05">
        <v>0.35</v>
      </c>
      <c r="F33" s="24" t="s">
        <v>213</v>
      </c>
      <c r="G33" s="24">
        <v>19000</v>
      </c>
      <c r="H33" s="204">
        <f>E33*G33/I33</f>
        <v>3.9103983666883457</v>
      </c>
      <c r="I33" s="24">
        <f>4860-I19-I26-I30-0</f>
        <v>1700.5939999999998</v>
      </c>
    </row>
    <row r="34" spans="2:9" s="201" customFormat="1" ht="12">
      <c r="B34" s="365" t="s">
        <v>2001</v>
      </c>
      <c r="C34" s="365"/>
      <c r="D34" s="365"/>
      <c r="E34" s="365"/>
      <c r="F34" s="365"/>
      <c r="G34" s="365"/>
      <c r="H34" s="365"/>
      <c r="I34" s="202">
        <f>SUM(I33:I33)</f>
        <v>1700.5939999999998</v>
      </c>
    </row>
    <row r="35" spans="2:9" s="201" customFormat="1" ht="12"/>
    <row r="36" spans="2:9" s="201" customFormat="1" ht="12">
      <c r="B36" s="369" t="s">
        <v>2026</v>
      </c>
      <c r="C36" s="369"/>
      <c r="D36" s="369"/>
      <c r="E36" s="369"/>
      <c r="F36" s="369"/>
      <c r="G36" s="369"/>
      <c r="H36" s="369"/>
      <c r="I36" s="202">
        <f>I19+I26+I30+I34</f>
        <v>4860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AE93-9FD5-4DC2-B32C-7B71115C4F31}">
  <sheetPr codeName="Hoja129"/>
  <dimension ref="B3:I37"/>
  <sheetViews>
    <sheetView topLeftCell="A7" zoomScale="89" zoomScaleNormal="89" workbookViewId="0">
      <selection activeCell="K12" sqref="K1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1742</v>
      </c>
      <c r="C13" s="355" t="s">
        <v>1749</v>
      </c>
      <c r="D13" s="355"/>
      <c r="E13" s="355"/>
      <c r="F13" s="355"/>
      <c r="G13" s="286" t="s">
        <v>159</v>
      </c>
      <c r="H13" s="286"/>
      <c r="I13" s="114">
        <v>26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376</v>
      </c>
      <c r="I18" s="24">
        <f>H18/F18</f>
        <v>376</v>
      </c>
    </row>
    <row r="19" spans="2:9" s="201" customFormat="1" ht="12">
      <c r="B19" s="365" t="s">
        <v>2001</v>
      </c>
      <c r="C19" s="365"/>
      <c r="D19" s="365"/>
      <c r="E19" s="365"/>
      <c r="F19" s="365"/>
      <c r="G19" s="365"/>
      <c r="H19" s="365"/>
      <c r="I19" s="202">
        <f>SUM(I18:I18)</f>
        <v>376</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87</v>
      </c>
      <c r="C22" s="368" t="s">
        <v>1749</v>
      </c>
      <c r="D22" s="368"/>
      <c r="E22" s="24" t="s">
        <v>159</v>
      </c>
      <c r="F22" s="204">
        <v>1</v>
      </c>
      <c r="G22" s="24"/>
      <c r="H22" s="24">
        <v>19712</v>
      </c>
      <c r="I22" s="24">
        <f>F22*H22</f>
        <v>19712</v>
      </c>
    </row>
    <row r="23" spans="2:9" s="201" customFormat="1" ht="28.35" customHeight="1">
      <c r="B23" s="24" t="s">
        <v>1101</v>
      </c>
      <c r="C23" s="368" t="s">
        <v>2036</v>
      </c>
      <c r="D23" s="368"/>
      <c r="E23" s="24" t="s">
        <v>390</v>
      </c>
      <c r="F23" s="204">
        <v>1</v>
      </c>
      <c r="G23" s="24"/>
      <c r="H23" s="24">
        <v>2464</v>
      </c>
      <c r="I23" s="24">
        <f>F23*H23</f>
        <v>2464</v>
      </c>
    </row>
    <row r="24" spans="2:9" s="201" customFormat="1" ht="15" customHeight="1">
      <c r="B24" s="24" t="s">
        <v>1103</v>
      </c>
      <c r="C24" s="368" t="s">
        <v>2037</v>
      </c>
      <c r="D24" s="368"/>
      <c r="E24" s="24" t="s">
        <v>390</v>
      </c>
      <c r="F24" s="204">
        <v>1</v>
      </c>
      <c r="G24" s="24"/>
      <c r="H24" s="24">
        <v>2464</v>
      </c>
      <c r="I24" s="24">
        <f>F24*H24</f>
        <v>2464</v>
      </c>
    </row>
    <row r="25" spans="2:9" s="201" customFormat="1" ht="12">
      <c r="B25" s="365" t="s">
        <v>2001</v>
      </c>
      <c r="C25" s="365"/>
      <c r="D25" s="365"/>
      <c r="E25" s="365"/>
      <c r="F25" s="365"/>
      <c r="G25" s="365"/>
      <c r="H25" s="365"/>
      <c r="I25" s="202">
        <f>SUM(I22:I24)</f>
        <v>24640</v>
      </c>
    </row>
    <row r="26" spans="2:9" s="201" customFormat="1" ht="12">
      <c r="B26" s="365" t="s">
        <v>1062</v>
      </c>
      <c r="C26" s="365"/>
      <c r="D26" s="365"/>
      <c r="E26" s="365"/>
      <c r="F26" s="365"/>
      <c r="G26" s="365"/>
      <c r="H26" s="24">
        <v>0.05</v>
      </c>
      <c r="I26" s="24">
        <f>I25*H26</f>
        <v>1232</v>
      </c>
    </row>
    <row r="27" spans="2:9" s="201" customFormat="1" ht="12">
      <c r="B27" s="365" t="s">
        <v>73</v>
      </c>
      <c r="C27" s="365"/>
      <c r="D27" s="365"/>
      <c r="E27" s="365"/>
      <c r="F27" s="365"/>
      <c r="G27" s="365"/>
      <c r="H27" s="365"/>
      <c r="I27" s="202">
        <f>I25+I26</f>
        <v>25872</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04">
        <v>1</v>
      </c>
      <c r="F30" s="204">
        <v>1</v>
      </c>
      <c r="G30" s="24">
        <v>1411.2</v>
      </c>
      <c r="H30" s="24">
        <f>E30*F30*G30</f>
        <v>1411.2</v>
      </c>
      <c r="I30" s="24">
        <f>H30</f>
        <v>1411.2</v>
      </c>
    </row>
    <row r="31" spans="2:9" s="201" customFormat="1" ht="12">
      <c r="B31" s="365" t="s">
        <v>2001</v>
      </c>
      <c r="C31" s="365"/>
      <c r="D31" s="365"/>
      <c r="E31" s="365"/>
      <c r="F31" s="365"/>
      <c r="G31" s="365"/>
      <c r="H31" s="365"/>
      <c r="I31" s="202">
        <f>SUM(I30:I30)</f>
        <v>1411.2</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2039</v>
      </c>
      <c r="D34" s="368"/>
      <c r="E34" s="204">
        <v>0.4</v>
      </c>
      <c r="F34" s="24" t="s">
        <v>213</v>
      </c>
      <c r="G34" s="24">
        <v>19000</v>
      </c>
      <c r="H34" s="204">
        <f>E34*G34/I34</f>
        <v>0.39214067530752084</v>
      </c>
      <c r="I34" s="24">
        <f>47040-I19-I27-I31-0</f>
        <v>19380.8</v>
      </c>
    </row>
    <row r="35" spans="2:9" s="201" customFormat="1" ht="12">
      <c r="B35" s="365" t="s">
        <v>2001</v>
      </c>
      <c r="C35" s="365"/>
      <c r="D35" s="365"/>
      <c r="E35" s="365"/>
      <c r="F35" s="365"/>
      <c r="G35" s="365"/>
      <c r="H35" s="365"/>
      <c r="I35" s="202">
        <f>SUM(I34:I34)</f>
        <v>19380.8</v>
      </c>
    </row>
    <row r="36" spans="2:9" s="201" customFormat="1" ht="12"/>
    <row r="37" spans="2:9" s="201" customFormat="1" ht="12">
      <c r="B37" s="370" t="s">
        <v>2026</v>
      </c>
      <c r="C37" s="370"/>
      <c r="D37" s="370"/>
      <c r="E37" s="370"/>
      <c r="F37" s="370"/>
      <c r="G37" s="370"/>
      <c r="H37" s="370"/>
      <c r="I37" s="207">
        <f>I19+I27+I31+I35</f>
        <v>47040</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7:H37"/>
    <mergeCell ref="C33:D33"/>
    <mergeCell ref="C22:D22"/>
    <mergeCell ref="C23:D23"/>
    <mergeCell ref="C24:D24"/>
    <mergeCell ref="B25:H25"/>
    <mergeCell ref="B26:G26"/>
    <mergeCell ref="B27:H27"/>
    <mergeCell ref="B28:I28"/>
    <mergeCell ref="B31:H31"/>
    <mergeCell ref="B32:I32"/>
    <mergeCell ref="C34:D34"/>
    <mergeCell ref="B35:H35"/>
  </mergeCell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426B0-451D-4381-B768-D870ED0738ED}">
  <sheetPr codeName="Hoja130"/>
  <dimension ref="B3:I36"/>
  <sheetViews>
    <sheetView topLeftCell="A8"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1743</v>
      </c>
      <c r="C13" s="355" t="s">
        <v>1754</v>
      </c>
      <c r="D13" s="355"/>
      <c r="E13" s="355"/>
      <c r="F13" s="355"/>
      <c r="G13" s="286" t="s">
        <v>136</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178</v>
      </c>
      <c r="I18" s="24">
        <f>H18/F18</f>
        <v>178</v>
      </c>
    </row>
    <row r="19" spans="2:9" s="201" customFormat="1" ht="12">
      <c r="B19" s="365" t="s">
        <v>2001</v>
      </c>
      <c r="C19" s="365"/>
      <c r="D19" s="365"/>
      <c r="E19" s="365"/>
      <c r="F19" s="365"/>
      <c r="G19" s="365"/>
      <c r="H19" s="365"/>
      <c r="I19" s="202">
        <f>SUM(I18:I18)</f>
        <v>178</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1116</v>
      </c>
      <c r="C22" s="368" t="s">
        <v>1754</v>
      </c>
      <c r="D22" s="368"/>
      <c r="E22" s="24" t="s">
        <v>780</v>
      </c>
      <c r="F22" s="204">
        <v>1</v>
      </c>
      <c r="G22" s="24"/>
      <c r="H22" s="24">
        <v>8913.83</v>
      </c>
      <c r="I22" s="24">
        <f>F22*H22</f>
        <v>8913.83</v>
      </c>
    </row>
    <row r="23" spans="2:9" s="201" customFormat="1" ht="15" customHeight="1">
      <c r="B23" s="24" t="s">
        <v>1118</v>
      </c>
      <c r="C23" s="368" t="s">
        <v>2041</v>
      </c>
      <c r="D23" s="368"/>
      <c r="E23" s="24" t="s">
        <v>390</v>
      </c>
      <c r="F23" s="204">
        <v>1</v>
      </c>
      <c r="G23" s="24"/>
      <c r="H23" s="24">
        <v>1573.03</v>
      </c>
      <c r="I23" s="24">
        <f>F23*H23</f>
        <v>1573.03</v>
      </c>
    </row>
    <row r="24" spans="2:9" s="201" customFormat="1" ht="12">
      <c r="B24" s="365" t="s">
        <v>2001</v>
      </c>
      <c r="C24" s="365"/>
      <c r="D24" s="365"/>
      <c r="E24" s="365"/>
      <c r="F24" s="365"/>
      <c r="G24" s="365"/>
      <c r="H24" s="365"/>
      <c r="I24" s="202">
        <f>SUM(I22:I23)</f>
        <v>10486.86</v>
      </c>
    </row>
    <row r="25" spans="2:9" s="201" customFormat="1" ht="12">
      <c r="B25" s="365" t="s">
        <v>1062</v>
      </c>
      <c r="C25" s="365"/>
      <c r="D25" s="365"/>
      <c r="E25" s="365"/>
      <c r="F25" s="365"/>
      <c r="G25" s="365"/>
      <c r="H25" s="24">
        <v>0.05</v>
      </c>
      <c r="I25" s="24">
        <f>I24*H25</f>
        <v>524.34300000000007</v>
      </c>
    </row>
    <row r="26" spans="2:9" s="201" customFormat="1" ht="12">
      <c r="B26" s="365" t="s">
        <v>73</v>
      </c>
      <c r="C26" s="365"/>
      <c r="D26" s="365"/>
      <c r="E26" s="365"/>
      <c r="F26" s="365"/>
      <c r="G26" s="365"/>
      <c r="H26" s="365"/>
      <c r="I26" s="202">
        <f>I24+I25</f>
        <v>11011.203000000001</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04">
        <v>1</v>
      </c>
      <c r="F29" s="204">
        <v>1</v>
      </c>
      <c r="G29" s="24">
        <v>355.2</v>
      </c>
      <c r="H29" s="24">
        <f>E29*F29*G29</f>
        <v>355.2</v>
      </c>
      <c r="I29" s="24">
        <f>H29</f>
        <v>355.2</v>
      </c>
    </row>
    <row r="30" spans="2:9" s="201" customFormat="1" ht="12">
      <c r="B30" s="365" t="s">
        <v>2001</v>
      </c>
      <c r="C30" s="365"/>
      <c r="D30" s="365"/>
      <c r="E30" s="365"/>
      <c r="F30" s="365"/>
      <c r="G30" s="365"/>
      <c r="H30" s="365"/>
      <c r="I30" s="202">
        <f>SUM(I29:I29)</f>
        <v>355.2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04">
        <v>0.35</v>
      </c>
      <c r="F33" s="24" t="s">
        <v>213</v>
      </c>
      <c r="G33" s="24">
        <v>19000</v>
      </c>
      <c r="H33" s="204">
        <f>E33*G33/I33</f>
        <v>1.0698891836134166</v>
      </c>
      <c r="I33" s="24">
        <f>17760-I19-I26-I30-0</f>
        <v>6215.5969999999988</v>
      </c>
    </row>
    <row r="34" spans="2:9" s="201" customFormat="1" ht="12">
      <c r="B34" s="365" t="s">
        <v>2001</v>
      </c>
      <c r="C34" s="365"/>
      <c r="D34" s="365"/>
      <c r="E34" s="365"/>
      <c r="F34" s="365"/>
      <c r="G34" s="365"/>
      <c r="H34" s="365"/>
      <c r="I34" s="202">
        <f>SUM(I33:I33)</f>
        <v>6215.5969999999988</v>
      </c>
    </row>
    <row r="35" spans="2:9" s="201" customFormat="1" ht="12"/>
    <row r="36" spans="2:9" s="201" customFormat="1" ht="12">
      <c r="B36" s="366" t="s">
        <v>2026</v>
      </c>
      <c r="C36" s="366"/>
      <c r="D36" s="366"/>
      <c r="E36" s="366"/>
      <c r="F36" s="366"/>
      <c r="G36" s="366"/>
      <c r="H36" s="366"/>
      <c r="I36" s="206">
        <f>I19+I26+I30+I34</f>
        <v>17760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FFE60-5BF1-45BF-83BE-6BC1FECE8C61}">
  <sheetPr codeName="Hoja131"/>
  <dimension ref="B3:I36"/>
  <sheetViews>
    <sheetView topLeftCell="A7" zoomScaleNormal="100" workbookViewId="0">
      <selection activeCell="K18" sqref="K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1744</v>
      </c>
      <c r="C13" s="355" t="s">
        <v>1755</v>
      </c>
      <c r="D13" s="355"/>
      <c r="E13" s="355"/>
      <c r="F13" s="355"/>
      <c r="G13" s="286" t="s">
        <v>136</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630</v>
      </c>
      <c r="I18" s="24">
        <f>H18/F18</f>
        <v>630</v>
      </c>
    </row>
    <row r="19" spans="2:9" s="201" customFormat="1" ht="12">
      <c r="B19" s="365" t="s">
        <v>2001</v>
      </c>
      <c r="C19" s="365"/>
      <c r="D19" s="365"/>
      <c r="E19" s="365"/>
      <c r="F19" s="365"/>
      <c r="G19" s="365"/>
      <c r="H19" s="365"/>
      <c r="I19" s="202">
        <f>SUM(I18:I18)</f>
        <v>630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1135</v>
      </c>
      <c r="C22" s="368" t="s">
        <v>1755</v>
      </c>
      <c r="D22" s="368"/>
      <c r="E22" s="24" t="s">
        <v>780</v>
      </c>
      <c r="F22" s="204">
        <v>1</v>
      </c>
      <c r="G22" s="24"/>
      <c r="H22" s="24">
        <v>22704</v>
      </c>
      <c r="I22" s="24">
        <f>F22*H22</f>
        <v>22704</v>
      </c>
    </row>
    <row r="23" spans="2:9" s="201" customFormat="1" ht="15" customHeight="1">
      <c r="B23" s="24" t="s">
        <v>150</v>
      </c>
      <c r="C23" s="368" t="s">
        <v>2046</v>
      </c>
      <c r="D23" s="368"/>
      <c r="E23" s="24" t="s">
        <v>390</v>
      </c>
      <c r="F23" s="204">
        <v>1</v>
      </c>
      <c r="G23" s="24"/>
      <c r="H23" s="24">
        <v>3696</v>
      </c>
      <c r="I23" s="24">
        <f>F23*H23</f>
        <v>3696</v>
      </c>
    </row>
    <row r="24" spans="2:9" s="201" customFormat="1" ht="12">
      <c r="B24" s="365" t="s">
        <v>2001</v>
      </c>
      <c r="C24" s="365"/>
      <c r="D24" s="365"/>
      <c r="E24" s="365"/>
      <c r="F24" s="365"/>
      <c r="G24" s="365"/>
      <c r="H24" s="365"/>
      <c r="I24" s="202">
        <f>SUM(I22:I23)</f>
        <v>26400</v>
      </c>
    </row>
    <row r="25" spans="2:9" s="201" customFormat="1" ht="12">
      <c r="B25" s="365" t="s">
        <v>1062</v>
      </c>
      <c r="C25" s="365"/>
      <c r="D25" s="365"/>
      <c r="E25" s="365"/>
      <c r="F25" s="365"/>
      <c r="G25" s="365"/>
      <c r="H25" s="24">
        <v>0.05</v>
      </c>
      <c r="I25" s="24">
        <f>I24*H25</f>
        <v>1320</v>
      </c>
    </row>
    <row r="26" spans="2:9" s="201" customFormat="1" ht="12">
      <c r="B26" s="365" t="s">
        <v>73</v>
      </c>
      <c r="C26" s="365"/>
      <c r="D26" s="365"/>
      <c r="E26" s="365"/>
      <c r="F26" s="365"/>
      <c r="G26" s="365"/>
      <c r="H26" s="365"/>
      <c r="I26" s="202">
        <f>I24+I25</f>
        <v>27720</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c r="B29" s="24" t="s">
        <v>2018</v>
      </c>
      <c r="C29" s="203" t="s">
        <v>2047</v>
      </c>
      <c r="D29" s="24" t="s">
        <v>390</v>
      </c>
      <c r="E29" s="204">
        <v>1</v>
      </c>
      <c r="F29" s="204">
        <v>1</v>
      </c>
      <c r="G29" s="24">
        <v>840</v>
      </c>
      <c r="H29" s="24">
        <f>E29*F29*G29</f>
        <v>840</v>
      </c>
      <c r="I29" s="24">
        <f>H29</f>
        <v>840</v>
      </c>
    </row>
    <row r="30" spans="2:9" s="201" customFormat="1" ht="12">
      <c r="B30" s="365" t="s">
        <v>2001</v>
      </c>
      <c r="C30" s="365"/>
      <c r="D30" s="365"/>
      <c r="E30" s="365"/>
      <c r="F30" s="365"/>
      <c r="G30" s="365"/>
      <c r="H30" s="365"/>
      <c r="I30" s="202">
        <f>SUM(I29:I29)</f>
        <v>840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2029</v>
      </c>
      <c r="D33" s="368"/>
      <c r="E33" s="204">
        <v>1.2</v>
      </c>
      <c r="F33" s="24" t="s">
        <v>213</v>
      </c>
      <c r="G33" s="24">
        <v>21500</v>
      </c>
      <c r="H33" s="204">
        <f>E33*G33/I33</f>
        <v>2.0140515222482436</v>
      </c>
      <c r="I33" s="24">
        <f>42000-I19-I26-I30-0</f>
        <v>12810</v>
      </c>
    </row>
    <row r="34" spans="2:9" s="201" customFormat="1" ht="12">
      <c r="B34" s="365" t="s">
        <v>2001</v>
      </c>
      <c r="C34" s="365"/>
      <c r="D34" s="365"/>
      <c r="E34" s="365"/>
      <c r="F34" s="365"/>
      <c r="G34" s="365"/>
      <c r="H34" s="365"/>
      <c r="I34" s="202">
        <f>SUM(I33:I33)</f>
        <v>12810</v>
      </c>
    </row>
    <row r="35" spans="2:9" s="201" customFormat="1" ht="12"/>
    <row r="36" spans="2:9" s="201" customFormat="1" ht="12">
      <c r="B36" s="366" t="s">
        <v>2026</v>
      </c>
      <c r="C36" s="366"/>
      <c r="D36" s="366"/>
      <c r="E36" s="366"/>
      <c r="F36" s="366"/>
      <c r="G36" s="366"/>
      <c r="H36" s="366"/>
      <c r="I36" s="206">
        <f>I19+I26+I30+I34</f>
        <v>42000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97C5A-D728-4478-ACF1-29E728B25111}">
  <sheetPr codeName="Hoja12"/>
  <dimension ref="B3:I41"/>
  <sheetViews>
    <sheetView workbookViewId="0">
      <selection activeCell="L18" sqref="L18"/>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7" customHeight="1">
      <c r="B13" s="13" t="s">
        <v>1570</v>
      </c>
      <c r="C13" s="283" t="s">
        <v>1894</v>
      </c>
      <c r="D13" s="284"/>
      <c r="E13" s="284"/>
      <c r="F13" s="285"/>
      <c r="G13" s="286" t="s">
        <v>2</v>
      </c>
      <c r="H13" s="286"/>
      <c r="I13" s="13">
        <v>106.67399999999999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0.1</v>
      </c>
      <c r="H19" s="130">
        <f>F19*G19</f>
        <v>1050</v>
      </c>
      <c r="I19" s="287"/>
    </row>
    <row r="20" spans="2:9">
      <c r="B20" s="71" t="s">
        <v>347</v>
      </c>
      <c r="C20" s="258" t="str">
        <f>VLOOKUP(B20,'MAQUINARIA Y EQUIPOS  '!C7:F95,2,FALSE)</f>
        <v>Andamio (2cuerpo)</v>
      </c>
      <c r="D20" s="258"/>
      <c r="E20" s="88" t="str">
        <f>VLOOKUP(B20,'MAQUINARIA Y EQUIPOS  '!C7:F95,3,FALSE)</f>
        <v>DIA</v>
      </c>
      <c r="F20" s="86">
        <f>VLOOKUP(B20,'MAQUINARIA Y EQUIPOS  '!C7:F95,4,FALSE)</f>
        <v>10000</v>
      </c>
      <c r="G20" s="131">
        <v>0.15</v>
      </c>
      <c r="H20" s="130">
        <f>F20*G20</f>
        <v>1500</v>
      </c>
      <c r="I20" s="287"/>
    </row>
    <row r="21" spans="2:9" ht="12">
      <c r="B21" s="89"/>
      <c r="C21" s="89"/>
      <c r="D21" s="89"/>
      <c r="E21" s="89"/>
      <c r="F21" s="89"/>
      <c r="G21" s="89"/>
      <c r="H21" s="89" t="s">
        <v>64</v>
      </c>
      <c r="I21" s="90">
        <f>SUM(H18:H20)</f>
        <v>3621.4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t="str">
        <f>VLOOKUP(B26,'INSUMOS '!C4:G951,2,FALSE)</f>
        <v xml:space="preserve">Cinta de enmascarar de alta adherencia </v>
      </c>
      <c r="D26" s="291"/>
      <c r="E26" s="97" t="str">
        <f>VLOOKUP(B26,'INSUMOS '!C4:G951,3,FALSE)</f>
        <v>m</v>
      </c>
      <c r="F26" s="98">
        <f>VLOOKUP(B26,'INSUMOS '!C4:G951,4,FALSE)</f>
        <v>500</v>
      </c>
      <c r="G26" s="71">
        <v>1.35</v>
      </c>
      <c r="H26" s="83">
        <f>+G26*F26</f>
        <v>675</v>
      </c>
      <c r="I26" s="287"/>
    </row>
    <row r="27" spans="2:9">
      <c r="B27" s="71"/>
      <c r="C27" s="292"/>
      <c r="D27" s="293"/>
      <c r="E27" s="91"/>
      <c r="F27" s="94"/>
      <c r="G27" s="92"/>
      <c r="H27" s="83"/>
      <c r="I27" s="287"/>
    </row>
    <row r="28" spans="2:9" ht="12">
      <c r="B28" s="89"/>
      <c r="C28" s="89"/>
      <c r="D28" s="89"/>
      <c r="E28" s="89"/>
      <c r="F28" s="89"/>
      <c r="G28" s="258" t="s">
        <v>64</v>
      </c>
      <c r="H28" s="258"/>
      <c r="I28" s="85">
        <f>SUM(H24:H27)</f>
        <v>9175</v>
      </c>
    </row>
    <row r="29" spans="2:9" ht="12">
      <c r="B29" s="89"/>
      <c r="C29" s="89"/>
      <c r="D29" s="89"/>
      <c r="E29" s="89"/>
      <c r="F29" s="89"/>
      <c r="G29" s="99" t="s">
        <v>72</v>
      </c>
      <c r="H29" s="100">
        <v>0.05</v>
      </c>
      <c r="I29" s="101">
        <f>I28*H29</f>
        <v>458.75</v>
      </c>
    </row>
    <row r="30" spans="2:9" ht="12">
      <c r="B30" s="89"/>
      <c r="C30" s="89"/>
      <c r="D30" s="89"/>
      <c r="E30" s="89"/>
      <c r="F30" s="89"/>
      <c r="G30" s="258" t="s">
        <v>73</v>
      </c>
      <c r="H30" s="258"/>
      <c r="I30" s="90">
        <f>SUM(I28:I29)</f>
        <v>9633.75</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v>0.02</v>
      </c>
      <c r="F33" s="70">
        <v>19</v>
      </c>
      <c r="G33" s="136">
        <f>VLOOKUP(B33,'MAQUINARIA Y EQUIPOS  '!C7:F95,4,FALSE)</f>
        <v>1500</v>
      </c>
      <c r="H33" s="103">
        <f>+F33*G33*E33</f>
        <v>570</v>
      </c>
      <c r="I33" s="301"/>
    </row>
    <row r="34" spans="2:9">
      <c r="B34" s="71"/>
      <c r="C34" s="71"/>
      <c r="D34" s="82"/>
      <c r="E34" s="71"/>
      <c r="F34" s="71"/>
      <c r="G34" s="86"/>
      <c r="H34" s="86"/>
      <c r="I34" s="301"/>
    </row>
    <row r="35" spans="2:9" ht="12">
      <c r="B35" s="89"/>
      <c r="C35" s="89"/>
      <c r="D35" s="89"/>
      <c r="E35" s="89"/>
      <c r="F35" s="89"/>
      <c r="G35" s="302" t="s">
        <v>64</v>
      </c>
      <c r="H35" s="302"/>
      <c r="I35" s="104">
        <f>+H33</f>
        <v>570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5.25" customHeight="1">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G38" s="121">
        <v>0.74</v>
      </c>
      <c r="H38" s="94">
        <f>F38*G38*D38</f>
        <v>48978.75</v>
      </c>
      <c r="I38" s="294"/>
    </row>
    <row r="39" spans="2:9">
      <c r="B39" s="106"/>
      <c r="C39" s="106"/>
      <c r="D39" s="106"/>
      <c r="E39" s="106"/>
      <c r="F39" s="86"/>
      <c r="G39" s="121"/>
      <c r="H39" s="94"/>
      <c r="I39" s="294"/>
    </row>
    <row r="40" spans="2:9" ht="12">
      <c r="B40" s="108"/>
      <c r="C40" s="109"/>
      <c r="D40" s="109"/>
      <c r="E40" s="109"/>
      <c r="F40" s="110"/>
      <c r="G40" s="110"/>
      <c r="H40" s="111" t="s">
        <v>64</v>
      </c>
      <c r="I40" s="112">
        <f>SUM(H38:H39)</f>
        <v>48978.75</v>
      </c>
    </row>
    <row r="41" spans="2:9" ht="12">
      <c r="B41" s="295" t="s">
        <v>83</v>
      </c>
      <c r="C41" s="296"/>
      <c r="D41" s="297" t="s">
        <v>77</v>
      </c>
      <c r="E41" s="298"/>
      <c r="F41" s="298"/>
      <c r="G41" s="298"/>
      <c r="H41" s="299"/>
      <c r="I41" s="113">
        <f>SUM(I21+I35+I30+I40)</f>
        <v>62803.9</v>
      </c>
    </row>
  </sheetData>
  <mergeCells count="40">
    <mergeCell ref="I37:I39"/>
    <mergeCell ref="B41:C41"/>
    <mergeCell ref="D41:H41"/>
    <mergeCell ref="I32:I34"/>
    <mergeCell ref="G35:H35"/>
    <mergeCell ref="I17:I20"/>
    <mergeCell ref="C18:D18"/>
    <mergeCell ref="C20:D20"/>
    <mergeCell ref="C22:D22"/>
    <mergeCell ref="C36:D36"/>
    <mergeCell ref="I23:I27"/>
    <mergeCell ref="C24:D24"/>
    <mergeCell ref="C25:D25"/>
    <mergeCell ref="C26:D26"/>
    <mergeCell ref="C27:D27"/>
    <mergeCell ref="G28:H28"/>
    <mergeCell ref="G30:H30"/>
    <mergeCell ref="C31:D31"/>
    <mergeCell ref="C23:D23"/>
    <mergeCell ref="C17:D17"/>
    <mergeCell ref="C19:D19"/>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5B69-7469-4FA6-AF01-159CBF2D9B37}">
  <sheetPr codeName="Hoja132"/>
  <dimension ref="B3:I36"/>
  <sheetViews>
    <sheetView topLeftCell="A7" zoomScaleNormal="100" workbookViewId="0">
      <selection activeCell="K19" sqref="K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1745</v>
      </c>
      <c r="C13" s="355" t="s">
        <v>1756</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810</v>
      </c>
      <c r="I18" s="24">
        <f>H18/F18</f>
        <v>810</v>
      </c>
    </row>
    <row r="19" spans="2:9" s="201" customFormat="1" ht="12">
      <c r="B19" s="365" t="s">
        <v>2001</v>
      </c>
      <c r="C19" s="365"/>
      <c r="D19" s="365"/>
      <c r="E19" s="365"/>
      <c r="F19" s="365"/>
      <c r="G19" s="365"/>
      <c r="H19" s="365"/>
      <c r="I19" s="202">
        <f>SUM(I18:I18)</f>
        <v>810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1135</v>
      </c>
      <c r="C22" s="368" t="s">
        <v>1756</v>
      </c>
      <c r="D22" s="368"/>
      <c r="E22" s="24" t="s">
        <v>780</v>
      </c>
      <c r="F22" s="204">
        <v>1</v>
      </c>
      <c r="G22" s="24"/>
      <c r="H22" s="24">
        <v>29190.86</v>
      </c>
      <c r="I22" s="24">
        <f>F22*H22</f>
        <v>29190.86</v>
      </c>
    </row>
    <row r="23" spans="2:9" s="201" customFormat="1" ht="15" customHeight="1">
      <c r="B23" s="24" t="s">
        <v>150</v>
      </c>
      <c r="C23" s="368" t="s">
        <v>2046</v>
      </c>
      <c r="D23" s="368"/>
      <c r="E23" s="24" t="s">
        <v>390</v>
      </c>
      <c r="F23" s="204">
        <v>1</v>
      </c>
      <c r="G23" s="24"/>
      <c r="H23" s="24">
        <v>4752</v>
      </c>
      <c r="I23" s="24">
        <f>F23*H23</f>
        <v>4752</v>
      </c>
    </row>
    <row r="24" spans="2:9" s="201" customFormat="1" ht="12">
      <c r="B24" s="365" t="s">
        <v>2001</v>
      </c>
      <c r="C24" s="365"/>
      <c r="D24" s="365"/>
      <c r="E24" s="365"/>
      <c r="F24" s="365"/>
      <c r="G24" s="365"/>
      <c r="H24" s="365"/>
      <c r="I24" s="202">
        <f>SUM(I22:I23)</f>
        <v>33942.86</v>
      </c>
    </row>
    <row r="25" spans="2:9" s="201" customFormat="1" ht="12">
      <c r="B25" s="365" t="s">
        <v>1062</v>
      </c>
      <c r="C25" s="365"/>
      <c r="D25" s="365"/>
      <c r="E25" s="365"/>
      <c r="F25" s="365"/>
      <c r="G25" s="365"/>
      <c r="H25" s="24">
        <v>0.05</v>
      </c>
      <c r="I25" s="24">
        <f>I24*H25</f>
        <v>1697.143</v>
      </c>
    </row>
    <row r="26" spans="2:9" s="201" customFormat="1" ht="12">
      <c r="B26" s="365" t="s">
        <v>73</v>
      </c>
      <c r="C26" s="365"/>
      <c r="D26" s="365"/>
      <c r="E26" s="365"/>
      <c r="F26" s="365"/>
      <c r="G26" s="365"/>
      <c r="H26" s="365"/>
      <c r="I26" s="202">
        <f>I24+I25</f>
        <v>35640.002999999997</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c r="B29" s="24" t="s">
        <v>2018</v>
      </c>
      <c r="C29" s="203" t="s">
        <v>2047</v>
      </c>
      <c r="D29" s="24" t="s">
        <v>390</v>
      </c>
      <c r="E29" s="204">
        <v>1</v>
      </c>
      <c r="F29" s="204">
        <v>1</v>
      </c>
      <c r="G29" s="24">
        <v>1080</v>
      </c>
      <c r="H29" s="24">
        <f>E29*F29*G29</f>
        <v>1080</v>
      </c>
      <c r="I29" s="24">
        <f>H29</f>
        <v>1080</v>
      </c>
    </row>
    <row r="30" spans="2:9" s="201" customFormat="1" ht="12">
      <c r="B30" s="365" t="s">
        <v>2001</v>
      </c>
      <c r="C30" s="365"/>
      <c r="D30" s="365"/>
      <c r="E30" s="365"/>
      <c r="F30" s="365"/>
      <c r="G30" s="365"/>
      <c r="H30" s="365"/>
      <c r="I30" s="202">
        <f>SUM(I29:I29)</f>
        <v>1080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2029</v>
      </c>
      <c r="D33" s="368"/>
      <c r="E33" s="204">
        <v>1.2</v>
      </c>
      <c r="F33" s="24" t="s">
        <v>213</v>
      </c>
      <c r="G33" s="24">
        <v>21500</v>
      </c>
      <c r="H33" s="208">
        <f>E33*G33/I33</f>
        <v>1.5664848026383973</v>
      </c>
      <c r="I33" s="24">
        <f>54000-I19-I26-I30-0</f>
        <v>16469.997000000003</v>
      </c>
    </row>
    <row r="34" spans="2:9" s="201" customFormat="1" ht="12">
      <c r="B34" s="365" t="s">
        <v>2001</v>
      </c>
      <c r="C34" s="365"/>
      <c r="D34" s="365"/>
      <c r="E34" s="365"/>
      <c r="F34" s="365"/>
      <c r="G34" s="365"/>
      <c r="H34" s="365"/>
      <c r="I34" s="202">
        <f>SUM(I33:I33)</f>
        <v>16469.997000000003</v>
      </c>
    </row>
    <row r="35" spans="2:9" s="201" customFormat="1" ht="12"/>
    <row r="36" spans="2:9" s="201" customFormat="1" ht="12">
      <c r="B36" s="366" t="s">
        <v>2026</v>
      </c>
      <c r="C36" s="366"/>
      <c r="D36" s="366"/>
      <c r="E36" s="366"/>
      <c r="F36" s="366"/>
      <c r="G36" s="366"/>
      <c r="H36" s="366"/>
      <c r="I36" s="206">
        <f>I19+I26+I30+I34</f>
        <v>54000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C243D-0C97-4AEB-A4FC-1E6CA16637C5}">
  <sheetPr codeName="Hoja133"/>
  <dimension ref="B3:I36"/>
  <sheetViews>
    <sheetView topLeftCell="A7" zoomScaleNormal="100" workbookViewId="0">
      <selection activeCell="M18" sqref="M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1750</v>
      </c>
      <c r="C13" s="355" t="s">
        <v>1757</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1541</v>
      </c>
      <c r="I18" s="24">
        <f>H18/F18</f>
        <v>1541</v>
      </c>
    </row>
    <row r="19" spans="2:9" s="201" customFormat="1" ht="12">
      <c r="B19" s="365" t="s">
        <v>2001</v>
      </c>
      <c r="C19" s="365"/>
      <c r="D19" s="365"/>
      <c r="E19" s="365"/>
      <c r="F19" s="365"/>
      <c r="G19" s="365"/>
      <c r="H19" s="365"/>
      <c r="I19" s="202">
        <f>SUM(I18:I18)</f>
        <v>1541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1135</v>
      </c>
      <c r="C22" s="368" t="s">
        <v>1757</v>
      </c>
      <c r="D22" s="368"/>
      <c r="E22" s="24" t="s">
        <v>780</v>
      </c>
      <c r="F22" s="204">
        <v>1</v>
      </c>
      <c r="G22" s="24"/>
      <c r="H22" s="24">
        <v>55527.5</v>
      </c>
      <c r="I22" s="24">
        <f>F22*H22</f>
        <v>55527.5</v>
      </c>
    </row>
    <row r="23" spans="2:9" s="201" customFormat="1" ht="15" customHeight="1">
      <c r="B23" s="24" t="s">
        <v>150</v>
      </c>
      <c r="C23" s="368" t="s">
        <v>2046</v>
      </c>
      <c r="D23" s="368"/>
      <c r="E23" s="24" t="s">
        <v>390</v>
      </c>
      <c r="F23" s="204">
        <v>1</v>
      </c>
      <c r="G23" s="24"/>
      <c r="H23" s="24">
        <v>9039.36</v>
      </c>
      <c r="I23" s="24">
        <f>F23*H23</f>
        <v>9039.36</v>
      </c>
    </row>
    <row r="24" spans="2:9" s="201" customFormat="1" ht="12">
      <c r="B24" s="365" t="s">
        <v>2001</v>
      </c>
      <c r="C24" s="365"/>
      <c r="D24" s="365"/>
      <c r="E24" s="365"/>
      <c r="F24" s="365"/>
      <c r="G24" s="365"/>
      <c r="H24" s="365"/>
      <c r="I24" s="202">
        <f>SUM(I22:I23)</f>
        <v>64566.86</v>
      </c>
    </row>
    <row r="25" spans="2:9" s="201" customFormat="1" ht="12">
      <c r="B25" s="365" t="s">
        <v>1062</v>
      </c>
      <c r="C25" s="365"/>
      <c r="D25" s="365"/>
      <c r="E25" s="365"/>
      <c r="F25" s="365"/>
      <c r="G25" s="365"/>
      <c r="H25" s="24">
        <v>0.05</v>
      </c>
      <c r="I25" s="24">
        <f>I24*H25</f>
        <v>3228.3430000000003</v>
      </c>
    </row>
    <row r="26" spans="2:9" s="201" customFormat="1" ht="12">
      <c r="B26" s="365" t="s">
        <v>73</v>
      </c>
      <c r="C26" s="365"/>
      <c r="D26" s="365"/>
      <c r="E26" s="365"/>
      <c r="F26" s="365"/>
      <c r="G26" s="365"/>
      <c r="H26" s="365"/>
      <c r="I26" s="202">
        <f>I24+I25</f>
        <v>67795.202999999994</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c r="B29" s="24" t="s">
        <v>2018</v>
      </c>
      <c r="C29" s="203" t="s">
        <v>2047</v>
      </c>
      <c r="D29" s="24" t="s">
        <v>390</v>
      </c>
      <c r="E29" s="204">
        <v>1</v>
      </c>
      <c r="F29" s="204">
        <v>1</v>
      </c>
      <c r="G29" s="24">
        <v>2054.4</v>
      </c>
      <c r="H29" s="24">
        <f>E29*F29*G29</f>
        <v>2054.4</v>
      </c>
      <c r="I29" s="24">
        <f>H29</f>
        <v>2054.4</v>
      </c>
    </row>
    <row r="30" spans="2:9" s="201" customFormat="1" ht="12">
      <c r="B30" s="365" t="s">
        <v>2001</v>
      </c>
      <c r="C30" s="365"/>
      <c r="D30" s="365"/>
      <c r="E30" s="365"/>
      <c r="F30" s="365"/>
      <c r="G30" s="365"/>
      <c r="H30" s="365"/>
      <c r="I30" s="202">
        <f>SUM(I29:I29)</f>
        <v>2054.4</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2029</v>
      </c>
      <c r="D33" s="368"/>
      <c r="E33" s="204">
        <v>1.2</v>
      </c>
      <c r="F33" s="24" t="s">
        <v>213</v>
      </c>
      <c r="G33" s="24">
        <v>21500</v>
      </c>
      <c r="H33" s="208">
        <f>E33*G33/I33</f>
        <v>0.82350771066548123</v>
      </c>
      <c r="I33" s="24">
        <f>102720-I19-I26-I30-0</f>
        <v>31329.397000000004</v>
      </c>
    </row>
    <row r="34" spans="2:9" s="201" customFormat="1" ht="12">
      <c r="B34" s="365" t="s">
        <v>2001</v>
      </c>
      <c r="C34" s="365"/>
      <c r="D34" s="365"/>
      <c r="E34" s="365"/>
      <c r="F34" s="365"/>
      <c r="G34" s="365"/>
      <c r="H34" s="365"/>
      <c r="I34" s="202">
        <f>SUM(I33:I33)</f>
        <v>31329.397000000004</v>
      </c>
    </row>
    <row r="35" spans="2:9" s="201" customFormat="1" ht="12"/>
    <row r="36" spans="2:9" s="201" customFormat="1" ht="12">
      <c r="B36" s="366" t="s">
        <v>2026</v>
      </c>
      <c r="C36" s="366"/>
      <c r="D36" s="366"/>
      <c r="E36" s="366"/>
      <c r="F36" s="366"/>
      <c r="G36" s="366"/>
      <c r="H36" s="366"/>
      <c r="I36" s="206">
        <f>I19+I26+I30+I34</f>
        <v>102720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4C5E2-622C-4266-9061-CA093434F986}">
  <sheetPr codeName="Hoja134"/>
  <dimension ref="B3:I35"/>
  <sheetViews>
    <sheetView zoomScaleNormal="100" workbookViewId="0">
      <selection activeCell="K19" sqref="K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1751</v>
      </c>
      <c r="C13" s="355" t="s">
        <v>2048</v>
      </c>
      <c r="D13" s="355"/>
      <c r="E13" s="355"/>
      <c r="F13" s="355"/>
      <c r="G13" s="286" t="s">
        <v>136</v>
      </c>
      <c r="H13" s="286"/>
      <c r="I13" s="114">
        <v>20</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102</v>
      </c>
      <c r="I18" s="24">
        <f>H18/F18</f>
        <v>102</v>
      </c>
    </row>
    <row r="19" spans="2:9" s="201" customFormat="1" ht="12">
      <c r="B19" s="365" t="s">
        <v>2001</v>
      </c>
      <c r="C19" s="365"/>
      <c r="D19" s="365"/>
      <c r="E19" s="365"/>
      <c r="F19" s="365"/>
      <c r="G19" s="365"/>
      <c r="H19" s="365"/>
      <c r="I19" s="202">
        <f>SUM(I18:I18)</f>
        <v>102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146</v>
      </c>
      <c r="C22" s="368" t="s">
        <v>2048</v>
      </c>
      <c r="D22" s="368"/>
      <c r="E22" s="24" t="s">
        <v>780</v>
      </c>
      <c r="F22" s="204">
        <v>1</v>
      </c>
      <c r="G22" s="24"/>
      <c r="H22" s="24">
        <v>6800</v>
      </c>
      <c r="I22" s="24">
        <f>F22*H22</f>
        <v>6800</v>
      </c>
    </row>
    <row r="23" spans="2:9" s="201" customFormat="1" ht="12">
      <c r="B23" s="365" t="s">
        <v>2001</v>
      </c>
      <c r="C23" s="365"/>
      <c r="D23" s="365"/>
      <c r="E23" s="365"/>
      <c r="F23" s="365"/>
      <c r="G23" s="365"/>
      <c r="H23" s="365"/>
      <c r="I23" s="202">
        <f>SUM(I22:I22)</f>
        <v>6800</v>
      </c>
    </row>
    <row r="24" spans="2:9" s="201" customFormat="1" ht="12">
      <c r="B24" s="365" t="s">
        <v>1062</v>
      </c>
      <c r="C24" s="365"/>
      <c r="D24" s="365"/>
      <c r="E24" s="365"/>
      <c r="F24" s="365"/>
      <c r="G24" s="365"/>
      <c r="H24" s="24">
        <v>0.05</v>
      </c>
      <c r="I24" s="24">
        <f>I23*H24</f>
        <v>340</v>
      </c>
    </row>
    <row r="25" spans="2:9" s="201" customFormat="1" ht="12">
      <c r="B25" s="365" t="s">
        <v>73</v>
      </c>
      <c r="C25" s="365"/>
      <c r="D25" s="365"/>
      <c r="E25" s="365"/>
      <c r="F25" s="365"/>
      <c r="G25" s="365"/>
      <c r="H25" s="365"/>
      <c r="I25" s="202">
        <f>I23+I24</f>
        <v>7140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04">
        <v>1</v>
      </c>
      <c r="F28" s="204">
        <v>1</v>
      </c>
      <c r="G28" s="24">
        <v>204</v>
      </c>
      <c r="H28" s="24">
        <f>E28*F28*G28</f>
        <v>204</v>
      </c>
      <c r="I28" s="24">
        <f>H28</f>
        <v>204</v>
      </c>
    </row>
    <row r="29" spans="2:9" s="201" customFormat="1" ht="12">
      <c r="B29" s="365" t="s">
        <v>2001</v>
      </c>
      <c r="C29" s="365"/>
      <c r="D29" s="365"/>
      <c r="E29" s="365"/>
      <c r="F29" s="365"/>
      <c r="G29" s="365"/>
      <c r="H29" s="365"/>
      <c r="I29" s="202">
        <f>SUM(I28:I28)</f>
        <v>204</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2050</v>
      </c>
      <c r="D32" s="368"/>
      <c r="E32" s="204">
        <v>0.5</v>
      </c>
      <c r="F32" s="24" t="s">
        <v>213</v>
      </c>
      <c r="G32" s="24">
        <v>13500</v>
      </c>
      <c r="H32" s="208">
        <f>E32*G32/I32</f>
        <v>2.4509803921568629</v>
      </c>
      <c r="I32" s="24">
        <f>10200-I19-I25-I29-0</f>
        <v>2754</v>
      </c>
    </row>
    <row r="33" spans="2:9" s="201" customFormat="1" ht="12">
      <c r="B33" s="365" t="s">
        <v>2001</v>
      </c>
      <c r="C33" s="365"/>
      <c r="D33" s="365"/>
      <c r="E33" s="365"/>
      <c r="F33" s="365"/>
      <c r="G33" s="365"/>
      <c r="H33" s="365"/>
      <c r="I33" s="202">
        <f>SUM(I32:I32)</f>
        <v>2754</v>
      </c>
    </row>
    <row r="34" spans="2:9" s="201" customFormat="1"/>
    <row r="35" spans="2:9" s="201" customFormat="1" ht="12">
      <c r="B35" s="366" t="s">
        <v>2026</v>
      </c>
      <c r="C35" s="366"/>
      <c r="D35" s="366"/>
      <c r="E35" s="366"/>
      <c r="F35" s="366"/>
      <c r="G35" s="366"/>
      <c r="H35" s="366"/>
      <c r="I35" s="206">
        <f>I19+I25+I29+I33</f>
        <v>10200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C22:D22"/>
    <mergeCell ref="B23:H23"/>
    <mergeCell ref="B24:G24"/>
    <mergeCell ref="B25:H25"/>
    <mergeCell ref="B26:I26"/>
    <mergeCell ref="B29:H29"/>
    <mergeCell ref="B30:I30"/>
    <mergeCell ref="C31:D31"/>
    <mergeCell ref="B33:H33"/>
    <mergeCell ref="B35:H35"/>
    <mergeCell ref="C32:D32"/>
  </mergeCell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65FE-B095-43C4-86C9-5823AB01C940}">
  <sheetPr codeName="Hoja135"/>
  <dimension ref="B3:I35"/>
  <sheetViews>
    <sheetView topLeftCell="A9"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1752</v>
      </c>
      <c r="C13" s="355" t="s">
        <v>1758</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102</v>
      </c>
      <c r="I18" s="24">
        <f>H18/F18</f>
        <v>102</v>
      </c>
    </row>
    <row r="19" spans="2:9" s="201" customFormat="1" ht="12">
      <c r="B19" s="365" t="s">
        <v>2001</v>
      </c>
      <c r="C19" s="365"/>
      <c r="D19" s="365"/>
      <c r="E19" s="365"/>
      <c r="F19" s="365"/>
      <c r="G19" s="365"/>
      <c r="H19" s="365"/>
      <c r="I19" s="202">
        <f>SUM(I18:I18)</f>
        <v>102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146</v>
      </c>
      <c r="C22" s="368" t="s">
        <v>1758</v>
      </c>
      <c r="D22" s="368"/>
      <c r="E22" s="24" t="s">
        <v>780</v>
      </c>
      <c r="F22" s="204">
        <v>1</v>
      </c>
      <c r="G22" s="24"/>
      <c r="H22" s="24">
        <v>6800</v>
      </c>
      <c r="I22" s="24">
        <f>F22*H22</f>
        <v>6800</v>
      </c>
    </row>
    <row r="23" spans="2:9" s="201" customFormat="1" ht="12">
      <c r="B23" s="365" t="s">
        <v>2001</v>
      </c>
      <c r="C23" s="365"/>
      <c r="D23" s="365"/>
      <c r="E23" s="365"/>
      <c r="F23" s="365"/>
      <c r="G23" s="365"/>
      <c r="H23" s="365"/>
      <c r="I23" s="202">
        <f>SUM(I22:I22)</f>
        <v>6800</v>
      </c>
    </row>
    <row r="24" spans="2:9" s="201" customFormat="1" ht="12">
      <c r="B24" s="365" t="s">
        <v>1062</v>
      </c>
      <c r="C24" s="365"/>
      <c r="D24" s="365"/>
      <c r="E24" s="365"/>
      <c r="F24" s="365"/>
      <c r="G24" s="365"/>
      <c r="H24" s="24">
        <v>0.05</v>
      </c>
      <c r="I24" s="24">
        <f>I23*H24</f>
        <v>340</v>
      </c>
    </row>
    <row r="25" spans="2:9" s="201" customFormat="1" ht="12">
      <c r="B25" s="365" t="s">
        <v>73</v>
      </c>
      <c r="C25" s="365"/>
      <c r="D25" s="365"/>
      <c r="E25" s="365"/>
      <c r="F25" s="365"/>
      <c r="G25" s="365"/>
      <c r="H25" s="365"/>
      <c r="I25" s="202">
        <f>I23+I24</f>
        <v>7140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04">
        <v>1</v>
      </c>
      <c r="F28" s="204">
        <v>1</v>
      </c>
      <c r="G28" s="24">
        <v>204</v>
      </c>
      <c r="H28" s="24">
        <f>E28*F28*G28</f>
        <v>204</v>
      </c>
      <c r="I28" s="24">
        <f>H28</f>
        <v>204</v>
      </c>
    </row>
    <row r="29" spans="2:9" s="201" customFormat="1" ht="12">
      <c r="B29" s="365" t="s">
        <v>2001</v>
      </c>
      <c r="C29" s="365"/>
      <c r="D29" s="365"/>
      <c r="E29" s="365"/>
      <c r="F29" s="365"/>
      <c r="G29" s="365"/>
      <c r="H29" s="365"/>
      <c r="I29" s="202">
        <f>SUM(I28:I28)</f>
        <v>204</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2050</v>
      </c>
      <c r="D32" s="368"/>
      <c r="E32" s="204">
        <v>0.5</v>
      </c>
      <c r="F32" s="24" t="s">
        <v>213</v>
      </c>
      <c r="G32" s="24">
        <v>13500</v>
      </c>
      <c r="H32" s="208">
        <f>E32*G32/I32</f>
        <v>2.4509803921568629</v>
      </c>
      <c r="I32" s="24">
        <f>10200-I19-I25-I29-0</f>
        <v>2754</v>
      </c>
    </row>
    <row r="33" spans="2:9" s="201" customFormat="1" ht="12">
      <c r="B33" s="365" t="s">
        <v>2001</v>
      </c>
      <c r="C33" s="365"/>
      <c r="D33" s="365"/>
      <c r="E33" s="365"/>
      <c r="F33" s="365"/>
      <c r="G33" s="365"/>
      <c r="H33" s="365"/>
      <c r="I33" s="202">
        <f>SUM(I32:I32)</f>
        <v>2754</v>
      </c>
    </row>
    <row r="34" spans="2:9" s="201" customFormat="1" ht="12"/>
    <row r="35" spans="2:9" s="201" customFormat="1" ht="12">
      <c r="B35" s="369" t="s">
        <v>2026</v>
      </c>
      <c r="C35" s="369"/>
      <c r="D35" s="369"/>
      <c r="E35" s="369"/>
      <c r="F35" s="369"/>
      <c r="G35" s="369"/>
      <c r="H35" s="369"/>
      <c r="I35" s="202">
        <f>I19+I25+I29+I33</f>
        <v>10200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B8ED2-13D1-4F20-A27D-9AD74392EFB2}">
  <sheetPr codeName="Hoja139"/>
  <dimension ref="B3:I35"/>
  <sheetViews>
    <sheetView topLeftCell="A6" zoomScaleNormal="100" workbookViewId="0">
      <selection activeCell="K15" sqref="K1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1753</v>
      </c>
      <c r="C13" s="355" t="s">
        <v>1759</v>
      </c>
      <c r="D13" s="355"/>
      <c r="E13" s="355"/>
      <c r="F13" s="355"/>
      <c r="G13" s="286" t="s">
        <v>136</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463</v>
      </c>
      <c r="I18" s="24">
        <f>H18/F18</f>
        <v>463</v>
      </c>
    </row>
    <row r="19" spans="2:9" s="201" customFormat="1" ht="12">
      <c r="B19" s="365" t="s">
        <v>2001</v>
      </c>
      <c r="C19" s="365"/>
      <c r="D19" s="365"/>
      <c r="E19" s="365"/>
      <c r="F19" s="365"/>
      <c r="G19" s="365"/>
      <c r="H19" s="365"/>
      <c r="I19" s="202">
        <f>SUM(I18:I18)</f>
        <v>463</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153</v>
      </c>
      <c r="C22" s="368" t="s">
        <v>1759</v>
      </c>
      <c r="D22" s="368"/>
      <c r="E22" s="24" t="s">
        <v>780</v>
      </c>
      <c r="F22" s="204">
        <v>1</v>
      </c>
      <c r="G22" s="24"/>
      <c r="H22" s="24">
        <v>31762.29</v>
      </c>
      <c r="I22" s="24">
        <f>F22*H22</f>
        <v>31762.29</v>
      </c>
    </row>
    <row r="23" spans="2:9" s="201" customFormat="1" ht="12">
      <c r="B23" s="365" t="s">
        <v>2001</v>
      </c>
      <c r="C23" s="365"/>
      <c r="D23" s="365"/>
      <c r="E23" s="365"/>
      <c r="F23" s="365"/>
      <c r="G23" s="365"/>
      <c r="H23" s="365"/>
      <c r="I23" s="202">
        <f>SUM(I22:I22)</f>
        <v>31762.29</v>
      </c>
    </row>
    <row r="24" spans="2:9" s="201" customFormat="1" ht="12">
      <c r="B24" s="365" t="s">
        <v>1062</v>
      </c>
      <c r="C24" s="365"/>
      <c r="D24" s="365"/>
      <c r="E24" s="365"/>
      <c r="F24" s="365"/>
      <c r="G24" s="365"/>
      <c r="H24" s="24">
        <v>0.05</v>
      </c>
      <c r="I24" s="24">
        <f>I23*H24</f>
        <v>1588.1145000000001</v>
      </c>
    </row>
    <row r="25" spans="2:9" s="201" customFormat="1" ht="12">
      <c r="B25" s="365" t="s">
        <v>73</v>
      </c>
      <c r="C25" s="365"/>
      <c r="D25" s="365"/>
      <c r="E25" s="365"/>
      <c r="F25" s="365"/>
      <c r="G25" s="365"/>
      <c r="H25" s="365"/>
      <c r="I25" s="202">
        <f>I23+I24</f>
        <v>33350.404500000004</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04">
        <v>1</v>
      </c>
      <c r="F28" s="204">
        <v>1</v>
      </c>
      <c r="G28" s="24">
        <v>926.4</v>
      </c>
      <c r="H28" s="24">
        <f>E28*F28*G28</f>
        <v>926.4</v>
      </c>
      <c r="I28" s="24">
        <f>H28</f>
        <v>926.4</v>
      </c>
    </row>
    <row r="29" spans="2:9" s="201" customFormat="1" ht="12">
      <c r="B29" s="365" t="s">
        <v>2001</v>
      </c>
      <c r="C29" s="365"/>
      <c r="D29" s="365"/>
      <c r="E29" s="365"/>
      <c r="F29" s="365"/>
      <c r="G29" s="365"/>
      <c r="H29" s="365"/>
      <c r="I29" s="202">
        <f>SUM(I28:I28)</f>
        <v>926.4</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2051</v>
      </c>
      <c r="D32" s="368"/>
      <c r="E32" s="204">
        <v>0.6</v>
      </c>
      <c r="F32" s="24" t="s">
        <v>213</v>
      </c>
      <c r="G32" s="24">
        <v>13500</v>
      </c>
      <c r="H32" s="205">
        <f>E32*G32/I32</f>
        <v>0.69947005644248428</v>
      </c>
      <c r="I32" s="24">
        <f>46320-I19-I25-I29-0</f>
        <v>11580.195499999996</v>
      </c>
    </row>
    <row r="33" spans="2:9" s="201" customFormat="1" ht="12">
      <c r="B33" s="365" t="s">
        <v>2001</v>
      </c>
      <c r="C33" s="365"/>
      <c r="D33" s="365"/>
      <c r="E33" s="365"/>
      <c r="F33" s="365"/>
      <c r="G33" s="365"/>
      <c r="H33" s="365"/>
      <c r="I33" s="202">
        <f>SUM(I32:I32)</f>
        <v>11580.195499999996</v>
      </c>
    </row>
    <row r="34" spans="2:9" s="201" customFormat="1" ht="12"/>
    <row r="35" spans="2:9" s="201" customFormat="1" ht="12">
      <c r="B35" s="366" t="s">
        <v>2026</v>
      </c>
      <c r="C35" s="366"/>
      <c r="D35" s="366"/>
      <c r="E35" s="366"/>
      <c r="F35" s="366"/>
      <c r="G35" s="366"/>
      <c r="H35" s="366"/>
      <c r="I35" s="206">
        <f>I19+I25+I29+I33</f>
        <v>46320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EB18-B311-4BD3-B899-5BB7574B0D72}">
  <sheetPr codeName="Hoja140"/>
  <dimension ref="B3:I38"/>
  <sheetViews>
    <sheetView topLeftCell="A10" zoomScaleNormal="100" workbookViewId="0">
      <selection activeCell="L20" sqref="L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1760</v>
      </c>
      <c r="C13" s="355" t="s">
        <v>2052</v>
      </c>
      <c r="D13" s="355"/>
      <c r="E13" s="355"/>
      <c r="F13" s="355"/>
      <c r="G13" s="286" t="s">
        <v>136</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631</v>
      </c>
      <c r="I18" s="24">
        <f>H18/F18</f>
        <v>631</v>
      </c>
    </row>
    <row r="19" spans="2:9" s="201" customFormat="1" ht="12">
      <c r="B19" s="365" t="s">
        <v>2001</v>
      </c>
      <c r="C19" s="365"/>
      <c r="D19" s="365"/>
      <c r="E19" s="365"/>
      <c r="F19" s="365"/>
      <c r="G19" s="365"/>
      <c r="H19" s="365"/>
      <c r="I19" s="202">
        <f>SUM(I18:I18)</f>
        <v>631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1332</v>
      </c>
      <c r="C22" s="368" t="s">
        <v>2053</v>
      </c>
      <c r="D22" s="368"/>
      <c r="E22" s="24" t="s">
        <v>159</v>
      </c>
      <c r="F22" s="204">
        <v>1.5</v>
      </c>
      <c r="G22" s="24"/>
      <c r="H22" s="24">
        <v>6855.63</v>
      </c>
      <c r="I22" s="24">
        <f>F22*H22</f>
        <v>10283.445</v>
      </c>
    </row>
    <row r="23" spans="2:9" s="201" customFormat="1" ht="15" customHeight="1">
      <c r="B23" s="24" t="s">
        <v>1334</v>
      </c>
      <c r="C23" s="368" t="s">
        <v>2054</v>
      </c>
      <c r="D23" s="368"/>
      <c r="E23" s="24" t="s">
        <v>780</v>
      </c>
      <c r="F23" s="204">
        <v>3</v>
      </c>
      <c r="G23" s="24"/>
      <c r="H23" s="24">
        <v>2886.58</v>
      </c>
      <c r="I23" s="24">
        <f>F23*H23</f>
        <v>8659.74</v>
      </c>
    </row>
    <row r="24" spans="2:9" s="201" customFormat="1" ht="15" customHeight="1">
      <c r="B24" s="24" t="s">
        <v>1337</v>
      </c>
      <c r="C24" s="368" t="s">
        <v>2055</v>
      </c>
      <c r="D24" s="368"/>
      <c r="E24" s="24" t="s">
        <v>390</v>
      </c>
      <c r="F24" s="204">
        <v>1</v>
      </c>
      <c r="G24" s="24"/>
      <c r="H24" s="24">
        <v>3788.64</v>
      </c>
      <c r="I24" s="24">
        <f>F24*H24</f>
        <v>3788.64</v>
      </c>
    </row>
    <row r="25" spans="2:9" s="201" customFormat="1" ht="15" customHeight="1">
      <c r="B25" s="24" t="s">
        <v>1336</v>
      </c>
      <c r="C25" s="368" t="s">
        <v>2056</v>
      </c>
      <c r="D25" s="368"/>
      <c r="E25" s="24" t="s">
        <v>390</v>
      </c>
      <c r="F25" s="204">
        <v>1</v>
      </c>
      <c r="G25" s="24"/>
      <c r="H25" s="24">
        <v>4329.87</v>
      </c>
      <c r="I25" s="24">
        <f>F25*H25</f>
        <v>4329.87</v>
      </c>
    </row>
    <row r="26" spans="2:9" s="201" customFormat="1" ht="12">
      <c r="B26" s="365" t="s">
        <v>2001</v>
      </c>
      <c r="C26" s="365"/>
      <c r="D26" s="365"/>
      <c r="E26" s="365"/>
      <c r="F26" s="365"/>
      <c r="G26" s="365"/>
      <c r="H26" s="365"/>
      <c r="I26" s="202">
        <f>SUM(I22:I25)</f>
        <v>27061.694999999996</v>
      </c>
    </row>
    <row r="27" spans="2:9" s="201" customFormat="1" ht="12">
      <c r="B27" s="365" t="s">
        <v>1062</v>
      </c>
      <c r="C27" s="365"/>
      <c r="D27" s="365"/>
      <c r="E27" s="365"/>
      <c r="F27" s="365"/>
      <c r="G27" s="365"/>
      <c r="H27" s="24">
        <v>0.05</v>
      </c>
      <c r="I27" s="24">
        <f>I26*H27</f>
        <v>1353.08475</v>
      </c>
    </row>
    <row r="28" spans="2:9" s="201" customFormat="1" ht="12">
      <c r="B28" s="365" t="s">
        <v>73</v>
      </c>
      <c r="C28" s="365"/>
      <c r="D28" s="365"/>
      <c r="E28" s="365"/>
      <c r="F28" s="365"/>
      <c r="G28" s="365"/>
      <c r="H28" s="365"/>
      <c r="I28" s="202">
        <f>I26+I27</f>
        <v>28414.779749999994</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947.16</v>
      </c>
      <c r="H31" s="24">
        <f>E31*F31*G31</f>
        <v>947.16</v>
      </c>
      <c r="I31" s="24">
        <f>H31</f>
        <v>947.16</v>
      </c>
    </row>
    <row r="32" spans="2:9" s="201" customFormat="1" ht="12">
      <c r="B32" s="365" t="s">
        <v>2001</v>
      </c>
      <c r="C32" s="365"/>
      <c r="D32" s="365"/>
      <c r="E32" s="365"/>
      <c r="F32" s="365"/>
      <c r="G32" s="365"/>
      <c r="H32" s="365"/>
      <c r="I32" s="202">
        <f>SUM(I31:I31)</f>
        <v>947.16</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2057</v>
      </c>
      <c r="D35" s="368"/>
      <c r="E35" s="204">
        <v>2.6</v>
      </c>
      <c r="F35" s="24" t="s">
        <v>213</v>
      </c>
      <c r="G35" s="24">
        <v>19000</v>
      </c>
      <c r="H35" s="208">
        <f>E35*G35/I35</f>
        <v>1.4901484184054112</v>
      </c>
      <c r="I35" s="24">
        <f>63144-I19-I28-I32-0</f>
        <v>33151.060250000002</v>
      </c>
    </row>
    <row r="36" spans="2:9" s="201" customFormat="1" ht="12">
      <c r="B36" s="365" t="s">
        <v>2001</v>
      </c>
      <c r="C36" s="365"/>
      <c r="D36" s="365"/>
      <c r="E36" s="365"/>
      <c r="F36" s="365"/>
      <c r="G36" s="365"/>
      <c r="H36" s="365"/>
      <c r="I36" s="202">
        <f>SUM(I35:I35)</f>
        <v>33151.060250000002</v>
      </c>
    </row>
    <row r="37" spans="2:9" s="201" customFormat="1" ht="12"/>
    <row r="38" spans="2:9" s="201" customFormat="1" ht="12">
      <c r="B38" s="366" t="s">
        <v>2026</v>
      </c>
      <c r="C38" s="366"/>
      <c r="D38" s="366"/>
      <c r="E38" s="366"/>
      <c r="F38" s="366"/>
      <c r="G38" s="366"/>
      <c r="H38" s="366"/>
      <c r="I38" s="206">
        <f>I19+I28+I32+I36</f>
        <v>63144</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B28:H28"/>
    <mergeCell ref="B29:I29"/>
    <mergeCell ref="B16:I16"/>
    <mergeCell ref="C17:D17"/>
    <mergeCell ref="C18:D18"/>
    <mergeCell ref="B19:H19"/>
    <mergeCell ref="B20:I20"/>
    <mergeCell ref="C21:D21"/>
    <mergeCell ref="B38:H38"/>
    <mergeCell ref="C23:D23"/>
    <mergeCell ref="C24:D24"/>
    <mergeCell ref="C25:D25"/>
    <mergeCell ref="B26:H26"/>
    <mergeCell ref="B27:G27"/>
    <mergeCell ref="B32:H32"/>
    <mergeCell ref="B33:I33"/>
    <mergeCell ref="C34:D34"/>
    <mergeCell ref="C35:D35"/>
    <mergeCell ref="B36:H36"/>
  </mergeCell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43A7-E3B0-48B8-A71B-DD12E05D80C5}">
  <sheetPr codeName="Hoja141"/>
  <dimension ref="B3:I38"/>
  <sheetViews>
    <sheetView topLeftCell="A10" zoomScaleNormal="100" workbookViewId="0">
      <selection activeCell="L18" sqref="L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1761</v>
      </c>
      <c r="C13" s="355" t="s">
        <v>2058</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743</v>
      </c>
      <c r="I18" s="24">
        <f>H18/F18</f>
        <v>743</v>
      </c>
    </row>
    <row r="19" spans="2:9" s="201" customFormat="1" ht="12">
      <c r="B19" s="365" t="s">
        <v>2001</v>
      </c>
      <c r="C19" s="365"/>
      <c r="D19" s="365"/>
      <c r="E19" s="365"/>
      <c r="F19" s="365"/>
      <c r="G19" s="365"/>
      <c r="H19" s="365"/>
      <c r="I19" s="202">
        <f>SUM(I18:I18)</f>
        <v>743</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1332</v>
      </c>
      <c r="C22" s="368" t="s">
        <v>2053</v>
      </c>
      <c r="D22" s="368"/>
      <c r="E22" s="24" t="s">
        <v>159</v>
      </c>
      <c r="F22" s="204">
        <v>1.5</v>
      </c>
      <c r="G22" s="24"/>
      <c r="H22" s="24">
        <v>8067.29</v>
      </c>
      <c r="I22" s="24">
        <f>F22*H22</f>
        <v>12100.934999999999</v>
      </c>
    </row>
    <row r="23" spans="2:9" s="201" customFormat="1" ht="15" customHeight="1">
      <c r="B23" s="24" t="s">
        <v>1334</v>
      </c>
      <c r="C23" s="368" t="s">
        <v>2054</v>
      </c>
      <c r="D23" s="368"/>
      <c r="E23" s="24" t="s">
        <v>780</v>
      </c>
      <c r="F23" s="204">
        <v>3</v>
      </c>
      <c r="G23" s="24"/>
      <c r="H23" s="24">
        <v>3396.75</v>
      </c>
      <c r="I23" s="24">
        <f>F23*H23</f>
        <v>10190.25</v>
      </c>
    </row>
    <row r="24" spans="2:9" s="201" customFormat="1" ht="15" customHeight="1">
      <c r="B24" s="24" t="s">
        <v>1337</v>
      </c>
      <c r="C24" s="368" t="s">
        <v>2055</v>
      </c>
      <c r="D24" s="368"/>
      <c r="E24" s="24" t="s">
        <v>390</v>
      </c>
      <c r="F24" s="204">
        <v>1</v>
      </c>
      <c r="G24" s="24"/>
      <c r="H24" s="24">
        <v>4458.24</v>
      </c>
      <c r="I24" s="24">
        <f>F24*H24</f>
        <v>4458.24</v>
      </c>
    </row>
    <row r="25" spans="2:9" s="201" customFormat="1" ht="15" customHeight="1">
      <c r="B25" s="24" t="s">
        <v>1336</v>
      </c>
      <c r="C25" s="368" t="s">
        <v>2056</v>
      </c>
      <c r="D25" s="368"/>
      <c r="E25" s="24" t="s">
        <v>390</v>
      </c>
      <c r="F25" s="204">
        <v>1</v>
      </c>
      <c r="G25" s="24"/>
      <c r="H25" s="24">
        <v>5095.13</v>
      </c>
      <c r="I25" s="24">
        <f>F25*H25</f>
        <v>5095.13</v>
      </c>
    </row>
    <row r="26" spans="2:9" s="201" customFormat="1" ht="12">
      <c r="B26" s="365" t="s">
        <v>2001</v>
      </c>
      <c r="C26" s="365"/>
      <c r="D26" s="365"/>
      <c r="E26" s="365"/>
      <c r="F26" s="365"/>
      <c r="G26" s="365"/>
      <c r="H26" s="365"/>
      <c r="I26" s="202">
        <f>SUM(I22:I25)</f>
        <v>31844.554999999997</v>
      </c>
    </row>
    <row r="27" spans="2:9" s="201" customFormat="1" ht="12">
      <c r="B27" s="365" t="s">
        <v>1062</v>
      </c>
      <c r="C27" s="365"/>
      <c r="D27" s="365"/>
      <c r="E27" s="365"/>
      <c r="F27" s="365"/>
      <c r="G27" s="365"/>
      <c r="H27" s="24">
        <v>0.05</v>
      </c>
      <c r="I27" s="24">
        <f>I26*H27</f>
        <v>1592.22775</v>
      </c>
    </row>
    <row r="28" spans="2:9" s="201" customFormat="1" ht="12">
      <c r="B28" s="365" t="s">
        <v>73</v>
      </c>
      <c r="C28" s="365"/>
      <c r="D28" s="365"/>
      <c r="E28" s="365"/>
      <c r="F28" s="365"/>
      <c r="G28" s="365"/>
      <c r="H28" s="365"/>
      <c r="I28" s="202">
        <f>I26+I27</f>
        <v>33436.782749999998</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1114.56</v>
      </c>
      <c r="H31" s="24">
        <f>E31*F31*G31</f>
        <v>1114.56</v>
      </c>
      <c r="I31" s="24">
        <f>H31</f>
        <v>1114.56</v>
      </c>
    </row>
    <row r="32" spans="2:9" s="201" customFormat="1" ht="12">
      <c r="B32" s="365" t="s">
        <v>2001</v>
      </c>
      <c r="C32" s="365"/>
      <c r="D32" s="365"/>
      <c r="E32" s="365"/>
      <c r="F32" s="365"/>
      <c r="G32" s="365"/>
      <c r="H32" s="365"/>
      <c r="I32" s="202">
        <f>SUM(I31:I31)</f>
        <v>1114.56</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2057</v>
      </c>
      <c r="D35" s="368"/>
      <c r="E35" s="204">
        <v>2.6</v>
      </c>
      <c r="F35" s="24" t="s">
        <v>213</v>
      </c>
      <c r="G35" s="24">
        <v>19000</v>
      </c>
      <c r="H35" s="205">
        <f>E35*G35/I35</f>
        <v>1.2663530900415689</v>
      </c>
      <c r="I35" s="24">
        <f>74304-I19-I28-I32-0</f>
        <v>39009.657250000004</v>
      </c>
    </row>
    <row r="36" spans="2:9" s="201" customFormat="1" ht="12">
      <c r="B36" s="365" t="s">
        <v>2001</v>
      </c>
      <c r="C36" s="365"/>
      <c r="D36" s="365"/>
      <c r="E36" s="365"/>
      <c r="F36" s="365"/>
      <c r="G36" s="365"/>
      <c r="H36" s="365"/>
      <c r="I36" s="202">
        <f>SUM(I35:I35)</f>
        <v>39009.657250000004</v>
      </c>
    </row>
    <row r="37" spans="2:9" s="201" customFormat="1" ht="12"/>
    <row r="38" spans="2:9" s="201" customFormat="1" ht="12">
      <c r="B38" s="366" t="s">
        <v>2026</v>
      </c>
      <c r="C38" s="366"/>
      <c r="D38" s="366"/>
      <c r="E38" s="366"/>
      <c r="F38" s="366"/>
      <c r="G38" s="366"/>
      <c r="H38" s="366"/>
      <c r="I38" s="206">
        <f>I19+I28+I32+I36</f>
        <v>74304</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6443A-DD23-43ED-9649-7C19C978A916}">
  <sheetPr codeName="Hoja142"/>
  <dimension ref="B3:I38"/>
  <sheetViews>
    <sheetView topLeftCell="A8" zoomScaleNormal="100" workbookViewId="0">
      <selection activeCell="J18" sqref="J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1762</v>
      </c>
      <c r="C13" s="355" t="s">
        <v>2059</v>
      </c>
      <c r="D13" s="355"/>
      <c r="E13" s="355"/>
      <c r="F13" s="355"/>
      <c r="G13" s="286" t="s">
        <v>136</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1308</v>
      </c>
      <c r="I18" s="24">
        <f>H18/F18</f>
        <v>1308</v>
      </c>
    </row>
    <row r="19" spans="2:9" s="201" customFormat="1" ht="12">
      <c r="B19" s="365" t="s">
        <v>2001</v>
      </c>
      <c r="C19" s="365"/>
      <c r="D19" s="365"/>
      <c r="E19" s="365"/>
      <c r="F19" s="365"/>
      <c r="G19" s="365"/>
      <c r="H19" s="365"/>
      <c r="I19" s="202">
        <f>SUM(I18:I18)</f>
        <v>1308</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1332</v>
      </c>
      <c r="C22" s="368" t="s">
        <v>2053</v>
      </c>
      <c r="D22" s="368"/>
      <c r="E22" s="24" t="s">
        <v>159</v>
      </c>
      <c r="F22" s="204">
        <v>1.5</v>
      </c>
      <c r="G22" s="24"/>
      <c r="H22" s="24">
        <v>14201.14</v>
      </c>
      <c r="I22" s="24">
        <f>F22*H22</f>
        <v>21301.71</v>
      </c>
    </row>
    <row r="23" spans="2:9" s="201" customFormat="1" ht="15" customHeight="1">
      <c r="B23" s="24" t="s">
        <v>1334</v>
      </c>
      <c r="C23" s="368" t="s">
        <v>2054</v>
      </c>
      <c r="D23" s="368"/>
      <c r="E23" s="24" t="s">
        <v>780</v>
      </c>
      <c r="F23" s="204">
        <v>3</v>
      </c>
      <c r="G23" s="24"/>
      <c r="H23" s="24">
        <v>5979.43</v>
      </c>
      <c r="I23" s="24">
        <f>F23*H23</f>
        <v>17938.29</v>
      </c>
    </row>
    <row r="24" spans="2:9" s="201" customFormat="1" ht="15" customHeight="1">
      <c r="B24" s="24" t="s">
        <v>1337</v>
      </c>
      <c r="C24" s="368" t="s">
        <v>2055</v>
      </c>
      <c r="D24" s="368"/>
      <c r="E24" s="24" t="s">
        <v>390</v>
      </c>
      <c r="F24" s="204">
        <v>1</v>
      </c>
      <c r="G24" s="24"/>
      <c r="H24" s="24">
        <v>7848</v>
      </c>
      <c r="I24" s="24">
        <f>F24*H24</f>
        <v>7848</v>
      </c>
    </row>
    <row r="25" spans="2:9" s="201" customFormat="1" ht="15" customHeight="1">
      <c r="B25" s="24" t="s">
        <v>1336</v>
      </c>
      <c r="C25" s="368" t="s">
        <v>2056</v>
      </c>
      <c r="D25" s="368"/>
      <c r="E25" s="24" t="s">
        <v>390</v>
      </c>
      <c r="F25" s="204">
        <v>1</v>
      </c>
      <c r="G25" s="24"/>
      <c r="H25" s="24">
        <v>8969.14</v>
      </c>
      <c r="I25" s="24">
        <f>F25*H25</f>
        <v>8969.14</v>
      </c>
    </row>
    <row r="26" spans="2:9" s="201" customFormat="1" ht="12">
      <c r="B26" s="365" t="s">
        <v>2001</v>
      </c>
      <c r="C26" s="365"/>
      <c r="D26" s="365"/>
      <c r="E26" s="365"/>
      <c r="F26" s="365"/>
      <c r="G26" s="365"/>
      <c r="H26" s="365"/>
      <c r="I26" s="202">
        <f>SUM(I22:I25)</f>
        <v>56057.14</v>
      </c>
    </row>
    <row r="27" spans="2:9" s="201" customFormat="1" ht="12">
      <c r="B27" s="365" t="s">
        <v>1062</v>
      </c>
      <c r="C27" s="365"/>
      <c r="D27" s="365"/>
      <c r="E27" s="365"/>
      <c r="F27" s="365"/>
      <c r="G27" s="365"/>
      <c r="H27" s="24">
        <v>0.05</v>
      </c>
      <c r="I27" s="24">
        <f>I26*H27</f>
        <v>2802.857</v>
      </c>
    </row>
    <row r="28" spans="2:9" s="201" customFormat="1" ht="12">
      <c r="B28" s="365" t="s">
        <v>73</v>
      </c>
      <c r="C28" s="365"/>
      <c r="D28" s="365"/>
      <c r="E28" s="365"/>
      <c r="F28" s="365"/>
      <c r="G28" s="365"/>
      <c r="H28" s="365"/>
      <c r="I28" s="202">
        <f>I26+I27</f>
        <v>58859.997000000003</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1962</v>
      </c>
      <c r="H31" s="24">
        <f>E31*F31*G31</f>
        <v>1962</v>
      </c>
      <c r="I31" s="24">
        <f>H31</f>
        <v>1962</v>
      </c>
    </row>
    <row r="32" spans="2:9" s="201" customFormat="1" ht="12">
      <c r="B32" s="365" t="s">
        <v>2001</v>
      </c>
      <c r="C32" s="365"/>
      <c r="D32" s="365"/>
      <c r="E32" s="365"/>
      <c r="F32" s="365"/>
      <c r="G32" s="365"/>
      <c r="H32" s="365"/>
      <c r="I32" s="202">
        <f>SUM(I31:I31)</f>
        <v>1962</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2057</v>
      </c>
      <c r="D35" s="368"/>
      <c r="E35" s="204">
        <v>2.6</v>
      </c>
      <c r="F35" s="24" t="s">
        <v>213</v>
      </c>
      <c r="G35" s="24">
        <v>19000</v>
      </c>
      <c r="H35" s="205">
        <f>E35*G35/I35</f>
        <v>0.71938252281713166</v>
      </c>
      <c r="I35" s="24">
        <f>130800-I19-I28-I32-0</f>
        <v>68670.002999999997</v>
      </c>
    </row>
    <row r="36" spans="2:9" s="201" customFormat="1" ht="12">
      <c r="B36" s="365" t="s">
        <v>2001</v>
      </c>
      <c r="C36" s="365"/>
      <c r="D36" s="365"/>
      <c r="E36" s="365"/>
      <c r="F36" s="365"/>
      <c r="G36" s="365"/>
      <c r="H36" s="365"/>
      <c r="I36" s="202">
        <f>SUM(I35:I35)</f>
        <v>68670.002999999997</v>
      </c>
    </row>
    <row r="37" spans="2:9" s="201" customFormat="1"/>
    <row r="38" spans="2:9" s="201" customFormat="1" ht="12">
      <c r="B38" s="366" t="s">
        <v>2026</v>
      </c>
      <c r="C38" s="366"/>
      <c r="D38" s="366"/>
      <c r="E38" s="366"/>
      <c r="F38" s="366"/>
      <c r="G38" s="366"/>
      <c r="H38" s="366"/>
      <c r="I38" s="206">
        <f>I19+I28+I32+I36</f>
        <v>130800</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B7700-C5CD-4920-89C0-FCBBB147588C}">
  <sheetPr codeName="Hoja143"/>
  <dimension ref="B3:I38"/>
  <sheetViews>
    <sheetView topLeftCell="A6" zoomScaleNormal="100" workbookViewId="0">
      <selection activeCell="L23" sqref="L2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1763</v>
      </c>
      <c r="C13" s="355" t="s">
        <v>2060</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631</v>
      </c>
      <c r="I18" s="24">
        <f>H18/F18</f>
        <v>631</v>
      </c>
    </row>
    <row r="19" spans="2:9" s="201" customFormat="1" ht="12">
      <c r="B19" s="365" t="s">
        <v>2001</v>
      </c>
      <c r="C19" s="365"/>
      <c r="D19" s="365"/>
      <c r="E19" s="365"/>
      <c r="F19" s="365"/>
      <c r="G19" s="365"/>
      <c r="H19" s="365"/>
      <c r="I19" s="202">
        <f>SUM(I18:I18)</f>
        <v>631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1332</v>
      </c>
      <c r="C22" s="368" t="s">
        <v>2053</v>
      </c>
      <c r="D22" s="368"/>
      <c r="E22" s="24" t="s">
        <v>159</v>
      </c>
      <c r="F22" s="204">
        <v>1.5</v>
      </c>
      <c r="G22" s="24"/>
      <c r="H22" s="24">
        <v>6855.63</v>
      </c>
      <c r="I22" s="24">
        <f>F22*H22</f>
        <v>10283.445</v>
      </c>
    </row>
    <row r="23" spans="2:9" s="201" customFormat="1" ht="15" customHeight="1">
      <c r="B23" s="24" t="s">
        <v>1334</v>
      </c>
      <c r="C23" s="368" t="s">
        <v>2054</v>
      </c>
      <c r="D23" s="368"/>
      <c r="E23" s="24" t="s">
        <v>780</v>
      </c>
      <c r="F23" s="204">
        <v>3</v>
      </c>
      <c r="G23" s="24"/>
      <c r="H23" s="24">
        <v>2886.58</v>
      </c>
      <c r="I23" s="24">
        <f>F23*H23</f>
        <v>8659.74</v>
      </c>
    </row>
    <row r="24" spans="2:9" s="201" customFormat="1" ht="15" customHeight="1">
      <c r="B24" s="24" t="s">
        <v>1337</v>
      </c>
      <c r="C24" s="368" t="s">
        <v>2055</v>
      </c>
      <c r="D24" s="368"/>
      <c r="E24" s="24" t="s">
        <v>390</v>
      </c>
      <c r="F24" s="204">
        <v>1</v>
      </c>
      <c r="G24" s="24"/>
      <c r="H24" s="24">
        <v>3788.64</v>
      </c>
      <c r="I24" s="24">
        <f>F24*H24</f>
        <v>3788.64</v>
      </c>
    </row>
    <row r="25" spans="2:9" s="201" customFormat="1" ht="15" customHeight="1">
      <c r="B25" s="24" t="s">
        <v>1336</v>
      </c>
      <c r="C25" s="368" t="s">
        <v>2056</v>
      </c>
      <c r="D25" s="368"/>
      <c r="E25" s="24" t="s">
        <v>390</v>
      </c>
      <c r="F25" s="204">
        <v>1</v>
      </c>
      <c r="G25" s="24"/>
      <c r="H25" s="24">
        <v>4329.87</v>
      </c>
      <c r="I25" s="24">
        <f>F25*H25</f>
        <v>4329.87</v>
      </c>
    </row>
    <row r="26" spans="2:9" s="201" customFormat="1" ht="12">
      <c r="B26" s="365" t="s">
        <v>2001</v>
      </c>
      <c r="C26" s="365"/>
      <c r="D26" s="365"/>
      <c r="E26" s="365"/>
      <c r="F26" s="365"/>
      <c r="G26" s="365"/>
      <c r="H26" s="365"/>
      <c r="I26" s="202">
        <f>SUM(I22:I25)</f>
        <v>27061.694999999996</v>
      </c>
    </row>
    <row r="27" spans="2:9" s="201" customFormat="1" ht="12">
      <c r="B27" s="365" t="s">
        <v>1062</v>
      </c>
      <c r="C27" s="365"/>
      <c r="D27" s="365"/>
      <c r="E27" s="365"/>
      <c r="F27" s="365"/>
      <c r="G27" s="365"/>
      <c r="H27" s="24">
        <v>0.05</v>
      </c>
      <c r="I27" s="24">
        <f>I26*H27</f>
        <v>1353.08475</v>
      </c>
    </row>
    <row r="28" spans="2:9" s="201" customFormat="1" ht="12">
      <c r="B28" s="365" t="s">
        <v>73</v>
      </c>
      <c r="C28" s="365"/>
      <c r="D28" s="365"/>
      <c r="E28" s="365"/>
      <c r="F28" s="365"/>
      <c r="G28" s="365"/>
      <c r="H28" s="365"/>
      <c r="I28" s="202">
        <f>I26+I27</f>
        <v>28414.779749999994</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947.16</v>
      </c>
      <c r="H31" s="24">
        <f>E31*F31*G31</f>
        <v>947.16</v>
      </c>
      <c r="I31" s="24">
        <f>H31</f>
        <v>947.16</v>
      </c>
    </row>
    <row r="32" spans="2:9" s="201" customFormat="1" ht="12">
      <c r="B32" s="365" t="s">
        <v>2001</v>
      </c>
      <c r="C32" s="365"/>
      <c r="D32" s="365"/>
      <c r="E32" s="365"/>
      <c r="F32" s="365"/>
      <c r="G32" s="365"/>
      <c r="H32" s="365"/>
      <c r="I32" s="202">
        <f>SUM(I31:I31)</f>
        <v>947.16</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2057</v>
      </c>
      <c r="D35" s="368"/>
      <c r="E35" s="204">
        <v>2.6</v>
      </c>
      <c r="F35" s="24" t="s">
        <v>213</v>
      </c>
      <c r="G35" s="24">
        <v>19000</v>
      </c>
      <c r="H35" s="208">
        <f>E35*G35/I35</f>
        <v>1.4901484184054112</v>
      </c>
      <c r="I35" s="24">
        <f>63144-I19-I28-I32-0</f>
        <v>33151.060250000002</v>
      </c>
    </row>
    <row r="36" spans="2:9" s="201" customFormat="1" ht="12">
      <c r="B36" s="365" t="s">
        <v>2001</v>
      </c>
      <c r="C36" s="365"/>
      <c r="D36" s="365"/>
      <c r="E36" s="365"/>
      <c r="F36" s="365"/>
      <c r="G36" s="365"/>
      <c r="H36" s="365"/>
      <c r="I36" s="202">
        <f>SUM(I35:I35)</f>
        <v>33151.060250000002</v>
      </c>
    </row>
    <row r="37" spans="2:9" s="201" customFormat="1"/>
    <row r="38" spans="2:9" s="201" customFormat="1" ht="12">
      <c r="B38" s="369" t="s">
        <v>2026</v>
      </c>
      <c r="C38" s="369"/>
      <c r="D38" s="369"/>
      <c r="E38" s="369"/>
      <c r="F38" s="369"/>
      <c r="G38" s="369"/>
      <c r="H38" s="369"/>
      <c r="I38" s="202">
        <f>I19+I28+I32+I36</f>
        <v>63144</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C354-7F5D-4404-A060-AAC6108D131A}">
  <sheetPr codeName="Hoja144"/>
  <dimension ref="B3:I38"/>
  <sheetViews>
    <sheetView topLeftCell="A11" zoomScaleNormal="100" workbookViewId="0">
      <selection activeCell="K18" sqref="K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1764</v>
      </c>
      <c r="C13" s="355" t="s">
        <v>2061</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631</v>
      </c>
      <c r="I18" s="24">
        <f>H18/F18</f>
        <v>631</v>
      </c>
    </row>
    <row r="19" spans="2:9" s="201" customFormat="1" ht="12">
      <c r="B19" s="365" t="s">
        <v>2001</v>
      </c>
      <c r="C19" s="365"/>
      <c r="D19" s="365"/>
      <c r="E19" s="365"/>
      <c r="F19" s="365"/>
      <c r="G19" s="365"/>
      <c r="H19" s="365"/>
      <c r="I19" s="202">
        <f>SUM(I18:I18)</f>
        <v>631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1332</v>
      </c>
      <c r="C22" s="368" t="s">
        <v>2053</v>
      </c>
      <c r="D22" s="368"/>
      <c r="E22" s="24" t="s">
        <v>159</v>
      </c>
      <c r="F22" s="204">
        <v>1.5</v>
      </c>
      <c r="G22" s="24"/>
      <c r="H22" s="24">
        <v>6855.63</v>
      </c>
      <c r="I22" s="24">
        <f>F22*H22</f>
        <v>10283.445</v>
      </c>
    </row>
    <row r="23" spans="2:9" s="201" customFormat="1" ht="15" customHeight="1">
      <c r="B23" s="24" t="s">
        <v>1334</v>
      </c>
      <c r="C23" s="368" t="s">
        <v>2054</v>
      </c>
      <c r="D23" s="368"/>
      <c r="E23" s="24" t="s">
        <v>780</v>
      </c>
      <c r="F23" s="204">
        <v>3</v>
      </c>
      <c r="G23" s="24"/>
      <c r="H23" s="24">
        <v>2886.58</v>
      </c>
      <c r="I23" s="24">
        <f>F23*H23</f>
        <v>8659.74</v>
      </c>
    </row>
    <row r="24" spans="2:9" s="201" customFormat="1" ht="15" customHeight="1">
      <c r="B24" s="24" t="s">
        <v>1337</v>
      </c>
      <c r="C24" s="368" t="s">
        <v>2055</v>
      </c>
      <c r="D24" s="368"/>
      <c r="E24" s="24" t="s">
        <v>390</v>
      </c>
      <c r="F24" s="204">
        <v>1</v>
      </c>
      <c r="G24" s="24"/>
      <c r="H24" s="24">
        <v>3788.64</v>
      </c>
      <c r="I24" s="24">
        <f>F24*H24</f>
        <v>3788.64</v>
      </c>
    </row>
    <row r="25" spans="2:9" s="201" customFormat="1" ht="15" customHeight="1">
      <c r="B25" s="24" t="s">
        <v>1336</v>
      </c>
      <c r="C25" s="368" t="s">
        <v>2056</v>
      </c>
      <c r="D25" s="368"/>
      <c r="E25" s="24" t="s">
        <v>390</v>
      </c>
      <c r="F25" s="204">
        <v>1</v>
      </c>
      <c r="G25" s="24"/>
      <c r="H25" s="24">
        <v>4329.87</v>
      </c>
      <c r="I25" s="24">
        <f>F25*H25</f>
        <v>4329.87</v>
      </c>
    </row>
    <row r="26" spans="2:9" s="201" customFormat="1" ht="12">
      <c r="B26" s="365" t="s">
        <v>2001</v>
      </c>
      <c r="C26" s="365"/>
      <c r="D26" s="365"/>
      <c r="E26" s="365"/>
      <c r="F26" s="365"/>
      <c r="G26" s="365"/>
      <c r="H26" s="365"/>
      <c r="I26" s="202">
        <f>SUM(I22:I25)</f>
        <v>27061.694999999996</v>
      </c>
    </row>
    <row r="27" spans="2:9" s="201" customFormat="1" ht="12">
      <c r="B27" s="365" t="s">
        <v>1062</v>
      </c>
      <c r="C27" s="365"/>
      <c r="D27" s="365"/>
      <c r="E27" s="365"/>
      <c r="F27" s="365"/>
      <c r="G27" s="365"/>
      <c r="H27" s="24">
        <v>0.05</v>
      </c>
      <c r="I27" s="24">
        <f>I26*H27</f>
        <v>1353.08475</v>
      </c>
    </row>
    <row r="28" spans="2:9" s="201" customFormat="1" ht="12">
      <c r="B28" s="365" t="s">
        <v>73</v>
      </c>
      <c r="C28" s="365"/>
      <c r="D28" s="365"/>
      <c r="E28" s="365"/>
      <c r="F28" s="365"/>
      <c r="G28" s="365"/>
      <c r="H28" s="365"/>
      <c r="I28" s="202">
        <f>I26+I27</f>
        <v>28414.779749999994</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947.16</v>
      </c>
      <c r="H31" s="24">
        <f>E31*F31*G31</f>
        <v>947.16</v>
      </c>
      <c r="I31" s="24">
        <f>H31</f>
        <v>947.16</v>
      </c>
    </row>
    <row r="32" spans="2:9" s="201" customFormat="1" ht="12">
      <c r="B32" s="365" t="s">
        <v>2001</v>
      </c>
      <c r="C32" s="365"/>
      <c r="D32" s="365"/>
      <c r="E32" s="365"/>
      <c r="F32" s="365"/>
      <c r="G32" s="365"/>
      <c r="H32" s="365"/>
      <c r="I32" s="202">
        <f>SUM(I31:I31)</f>
        <v>947.16</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2057</v>
      </c>
      <c r="D35" s="368"/>
      <c r="E35" s="204">
        <v>2.6</v>
      </c>
      <c r="F35" s="24" t="s">
        <v>213</v>
      </c>
      <c r="G35" s="24">
        <v>19000</v>
      </c>
      <c r="H35" s="204">
        <f>E35*G35/I35</f>
        <v>1.4901484184054112</v>
      </c>
      <c r="I35" s="24">
        <f>63144-I19-I28-I32-0</f>
        <v>33151.060250000002</v>
      </c>
    </row>
    <row r="36" spans="2:9" s="201" customFormat="1" ht="12">
      <c r="B36" s="365" t="s">
        <v>2001</v>
      </c>
      <c r="C36" s="365"/>
      <c r="D36" s="365"/>
      <c r="E36" s="365"/>
      <c r="F36" s="365"/>
      <c r="G36" s="365"/>
      <c r="H36" s="365"/>
      <c r="I36" s="202">
        <f>SUM(I35:I35)</f>
        <v>33151.060250000002</v>
      </c>
    </row>
    <row r="37" spans="2:9" s="201" customFormat="1" ht="12"/>
    <row r="38" spans="2:9" s="201" customFormat="1" ht="12">
      <c r="B38" s="366" t="s">
        <v>2026</v>
      </c>
      <c r="C38" s="366"/>
      <c r="D38" s="366"/>
      <c r="E38" s="366"/>
      <c r="F38" s="366"/>
      <c r="G38" s="366"/>
      <c r="H38" s="366"/>
      <c r="I38" s="206">
        <f>I19+I28+I32+I36</f>
        <v>63144</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0C75-5F10-4075-9882-177F9F5CEC4C}">
  <sheetPr codeName="Hoja13"/>
  <dimension ref="B3:I41"/>
  <sheetViews>
    <sheetView zoomScale="106" zoomScaleNormal="106" workbookViewId="0">
      <selection activeCell="L38" sqref="L38"/>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7.75" customHeight="1">
      <c r="B13" s="13" t="s">
        <v>1571</v>
      </c>
      <c r="C13" s="283" t="s">
        <v>1895</v>
      </c>
      <c r="D13" s="284"/>
      <c r="E13" s="284"/>
      <c r="F13" s="285"/>
      <c r="G13" s="286" t="s">
        <v>2</v>
      </c>
      <c r="H13" s="286"/>
      <c r="I13" s="13">
        <v>310.0958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1267</v>
      </c>
      <c r="C18" s="288" t="str">
        <f>VLOOKUP(B18,'MAQUINARIA Y EQUIPOS  '!C6:F94,2,FALSE)</f>
        <v xml:space="preserve">Pluma grua </v>
      </c>
      <c r="D18" s="265"/>
      <c r="E18" s="88" t="str">
        <f>VLOOKUP(B18,'MAQUINARIA Y EQUIPOS  '!C6:F94,3,FALSE)</f>
        <v>HH</v>
      </c>
      <c r="F18" s="86">
        <f>VLOOKUP(B18,'MAQUINARIA Y EQUIPOS  '!C6:F94,4,FALSE)</f>
        <v>10500</v>
      </c>
      <c r="G18" s="71">
        <v>0.1</v>
      </c>
      <c r="H18" s="116">
        <f>F18*G18</f>
        <v>1050</v>
      </c>
      <c r="I18" s="287"/>
    </row>
    <row r="19" spans="2:9">
      <c r="B19" s="71" t="s">
        <v>62</v>
      </c>
      <c r="C19" s="288" t="str">
        <f>VLOOKUP(B19,'MAQUINARIA Y EQUIPOS  '!C7:F95,2,FALSE)</f>
        <v xml:space="preserve">HERRAMIENTAS MENORES </v>
      </c>
      <c r="D19" s="265"/>
      <c r="E19" s="71" t="str">
        <f>VLOOKUP(B19,'MAQUINARIA Y EQUIPOS  '!C7:F95,3,FALSE)</f>
        <v>GLB</v>
      </c>
      <c r="F19" s="86">
        <f>VLOOKUP(B19,'MAQUINARIA Y EQUIPOS  '!C7:F95,4,FALSE)</f>
        <v>10714</v>
      </c>
      <c r="G19" s="133">
        <v>0.1</v>
      </c>
      <c r="H19" s="116">
        <f>F19*G19</f>
        <v>1071.4000000000001</v>
      </c>
      <c r="I19" s="287"/>
    </row>
    <row r="20" spans="2:9">
      <c r="B20" s="71" t="s">
        <v>347</v>
      </c>
      <c r="C20" s="258" t="str">
        <f>VLOOKUP(B20,'MAQUINARIA Y EQUIPOS  '!C7:F95,2,FALSE)</f>
        <v>Andamio (2cuerpo)</v>
      </c>
      <c r="D20" s="258"/>
      <c r="E20" s="88" t="str">
        <f>VLOOKUP(B20,'MAQUINARIA Y EQUIPOS  '!C7:F95,3,FALSE)</f>
        <v>DIA</v>
      </c>
      <c r="F20" s="86">
        <f>VLOOKUP(B20,'MAQUINARIA Y EQUIPOS  '!C7:F95,4,FALSE)</f>
        <v>10000</v>
      </c>
      <c r="G20" s="131">
        <v>0.15</v>
      </c>
      <c r="H20" s="130">
        <f>F20*G20</f>
        <v>1500</v>
      </c>
      <c r="I20" s="287"/>
    </row>
    <row r="21" spans="2:9" ht="12">
      <c r="B21" s="89"/>
      <c r="C21" s="89"/>
      <c r="D21" s="89"/>
      <c r="E21" s="89"/>
      <c r="F21" s="89"/>
      <c r="G21" s="89"/>
      <c r="H21" s="89" t="s">
        <v>64</v>
      </c>
      <c r="I21" s="90">
        <f>SUM(H18:H20)</f>
        <v>3621.4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t="str">
        <f>VLOOKUP(B26,'INSUMOS '!C4:G951,2,FALSE)</f>
        <v xml:space="preserve">Cinta de enmascarar de alta adherencia </v>
      </c>
      <c r="D26" s="291"/>
      <c r="E26" s="97" t="str">
        <f>VLOOKUP(B26,'INSUMOS '!C4:G951,3,FALSE)</f>
        <v>m</v>
      </c>
      <c r="F26" s="98">
        <f>VLOOKUP(B26,'INSUMOS '!C4:G951,4,FALSE)</f>
        <v>500</v>
      </c>
      <c r="G26" s="71">
        <v>1.35</v>
      </c>
      <c r="H26" s="83">
        <f>+G26*F26</f>
        <v>675</v>
      </c>
      <c r="I26" s="287"/>
    </row>
    <row r="27" spans="2:9">
      <c r="B27" s="71"/>
      <c r="C27" s="292"/>
      <c r="D27" s="293"/>
      <c r="E27" s="91"/>
      <c r="F27" s="94"/>
      <c r="G27" s="92"/>
      <c r="H27" s="83"/>
      <c r="I27" s="287"/>
    </row>
    <row r="28" spans="2:9" ht="12">
      <c r="B28" s="89"/>
      <c r="C28" s="89"/>
      <c r="D28" s="89"/>
      <c r="E28" s="89"/>
      <c r="F28" s="89"/>
      <c r="G28" s="258" t="s">
        <v>64</v>
      </c>
      <c r="H28" s="258"/>
      <c r="I28" s="85">
        <f>SUM(H24:H27)</f>
        <v>9175</v>
      </c>
    </row>
    <row r="29" spans="2:9" ht="12">
      <c r="B29" s="89"/>
      <c r="C29" s="89"/>
      <c r="D29" s="89"/>
      <c r="E29" s="89"/>
      <c r="F29" s="89"/>
      <c r="G29" s="99" t="s">
        <v>72</v>
      </c>
      <c r="H29" s="100">
        <v>0.05</v>
      </c>
      <c r="I29" s="101">
        <f>I28*H29</f>
        <v>458.75</v>
      </c>
    </row>
    <row r="30" spans="2:9" ht="12">
      <c r="B30" s="89"/>
      <c r="C30" s="89"/>
      <c r="D30" s="89"/>
      <c r="E30" s="89"/>
      <c r="F30" s="89"/>
      <c r="G30" s="258" t="s">
        <v>73</v>
      </c>
      <c r="H30" s="258"/>
      <c r="I30" s="90">
        <f>SUM(I28:I29)</f>
        <v>9633.75</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v>0.1</v>
      </c>
      <c r="F33" s="70">
        <v>19</v>
      </c>
      <c r="G33" s="102">
        <f>VLOOKUP(B33,'MAQUINARIA Y EQUIPOS  '!C7:F95,4,FALSE)</f>
        <v>1500</v>
      </c>
      <c r="H33" s="103">
        <f>+F33*G33*E33</f>
        <v>2850</v>
      </c>
      <c r="I33" s="301"/>
    </row>
    <row r="34" spans="2:9">
      <c r="B34" s="71"/>
      <c r="C34" s="71"/>
      <c r="D34" s="82"/>
      <c r="E34" s="71"/>
      <c r="F34" s="71"/>
      <c r="G34" s="86"/>
      <c r="H34" s="86"/>
      <c r="I34" s="301"/>
    </row>
    <row r="35" spans="2:9" ht="12">
      <c r="B35" s="89"/>
      <c r="C35" s="89"/>
      <c r="D35" s="89"/>
      <c r="E35" s="89"/>
      <c r="F35" s="89"/>
      <c r="G35" s="302" t="s">
        <v>64</v>
      </c>
      <c r="H35" s="302"/>
      <c r="I35" s="104">
        <f>+H33</f>
        <v>2850</v>
      </c>
    </row>
    <row r="36" spans="2:9" ht="12">
      <c r="B36" s="78"/>
      <c r="C36" s="289" t="s">
        <v>75</v>
      </c>
      <c r="D36" s="289"/>
      <c r="E36" s="78"/>
      <c r="F36" s="78"/>
      <c r="G36" s="78"/>
      <c r="H36" s="78"/>
      <c r="I36" s="79"/>
    </row>
    <row r="37" spans="2:9" ht="12">
      <c r="B37" s="105" t="s">
        <v>42</v>
      </c>
      <c r="C37" s="105" t="s">
        <v>76</v>
      </c>
      <c r="D37" s="105" t="s">
        <v>1221</v>
      </c>
      <c r="E37" s="105" t="s">
        <v>1</v>
      </c>
      <c r="F37" s="105" t="s">
        <v>77</v>
      </c>
      <c r="G37" s="105" t="s">
        <v>78</v>
      </c>
      <c r="H37" s="105" t="s">
        <v>79</v>
      </c>
      <c r="I37" s="294"/>
    </row>
    <row r="38" spans="2:9" ht="27.75" customHeight="1">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G38" s="121">
        <v>1.105</v>
      </c>
      <c r="H38" s="94">
        <f>F38*G38*D38</f>
        <v>73137.1875</v>
      </c>
      <c r="I38" s="294"/>
    </row>
    <row r="39" spans="2:9">
      <c r="B39" s="106"/>
      <c r="C39" s="106"/>
      <c r="D39" s="106"/>
      <c r="E39" s="106"/>
      <c r="F39" s="86"/>
      <c r="G39" s="121"/>
      <c r="H39" s="94"/>
      <c r="I39" s="294"/>
    </row>
    <row r="40" spans="2:9" ht="12">
      <c r="B40" s="108"/>
      <c r="C40" s="109"/>
      <c r="D40" s="109"/>
      <c r="E40" s="109"/>
      <c r="F40" s="110"/>
      <c r="G40" s="110"/>
      <c r="H40" s="111" t="s">
        <v>64</v>
      </c>
      <c r="I40" s="112">
        <f>SUM(H38:H39)</f>
        <v>73137.1875</v>
      </c>
    </row>
    <row r="41" spans="2:9" ht="12">
      <c r="B41" s="295" t="s">
        <v>83</v>
      </c>
      <c r="C41" s="296"/>
      <c r="D41" s="297" t="s">
        <v>77</v>
      </c>
      <c r="E41" s="298"/>
      <c r="F41" s="298"/>
      <c r="G41" s="298"/>
      <c r="H41" s="299"/>
      <c r="I41" s="113">
        <f>SUM(I21+I35+I30+I40)</f>
        <v>89242.337499999994</v>
      </c>
    </row>
  </sheetData>
  <mergeCells count="40">
    <mergeCell ref="I37:I39"/>
    <mergeCell ref="B41:C41"/>
    <mergeCell ref="D41:H41"/>
    <mergeCell ref="C27:D27"/>
    <mergeCell ref="G28:H28"/>
    <mergeCell ref="G30:H30"/>
    <mergeCell ref="C31:D31"/>
    <mergeCell ref="C36:D36"/>
    <mergeCell ref="I32:I34"/>
    <mergeCell ref="G35:H35"/>
    <mergeCell ref="C17:D17"/>
    <mergeCell ref="I17:I20"/>
    <mergeCell ref="C19:D19"/>
    <mergeCell ref="C20:D20"/>
    <mergeCell ref="C22:D22"/>
    <mergeCell ref="C18:D18"/>
    <mergeCell ref="C23:D23"/>
    <mergeCell ref="I23:I27"/>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DF29E-8E04-4C23-BE39-60FEAF799EA3}">
  <sheetPr codeName="Hoja145"/>
  <dimension ref="B3:I39"/>
  <sheetViews>
    <sheetView topLeftCell="A7" zoomScaleNormal="100" workbookViewId="0">
      <selection activeCell="L20" sqref="L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1765</v>
      </c>
      <c r="C13" s="355" t="s">
        <v>2062</v>
      </c>
      <c r="D13" s="355"/>
      <c r="E13" s="355"/>
      <c r="F13" s="355"/>
      <c r="G13" s="286" t="s">
        <v>136</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631</v>
      </c>
      <c r="I18" s="24">
        <f>H18/F18</f>
        <v>631</v>
      </c>
    </row>
    <row r="19" spans="2:9" s="201" customFormat="1" ht="12">
      <c r="B19" s="365" t="s">
        <v>2001</v>
      </c>
      <c r="C19" s="365"/>
      <c r="D19" s="365"/>
      <c r="E19" s="365"/>
      <c r="F19" s="365"/>
      <c r="G19" s="365"/>
      <c r="H19" s="365"/>
      <c r="I19" s="202">
        <f>SUM(I18:I18)</f>
        <v>631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1332</v>
      </c>
      <c r="C22" s="368" t="s">
        <v>2053</v>
      </c>
      <c r="D22" s="368"/>
      <c r="E22" s="24" t="s">
        <v>159</v>
      </c>
      <c r="F22" s="204">
        <v>1.5</v>
      </c>
      <c r="G22" s="24"/>
      <c r="H22" s="24">
        <v>6855.63</v>
      </c>
      <c r="I22" s="24">
        <f>F22*H22</f>
        <v>10283.445</v>
      </c>
    </row>
    <row r="23" spans="2:9" s="201" customFormat="1" ht="15" customHeight="1">
      <c r="B23" s="24" t="s">
        <v>1334</v>
      </c>
      <c r="C23" s="368" t="s">
        <v>2054</v>
      </c>
      <c r="D23" s="368"/>
      <c r="E23" s="24" t="s">
        <v>780</v>
      </c>
      <c r="F23" s="204">
        <v>3</v>
      </c>
      <c r="G23" s="24"/>
      <c r="H23" s="24">
        <v>2886.58</v>
      </c>
      <c r="I23" s="24">
        <f>F23*H23</f>
        <v>8659.74</v>
      </c>
    </row>
    <row r="24" spans="2:9" s="201" customFormat="1" ht="15" customHeight="1">
      <c r="B24" s="24" t="s">
        <v>1337</v>
      </c>
      <c r="C24" s="368" t="s">
        <v>2055</v>
      </c>
      <c r="D24" s="368"/>
      <c r="E24" s="24" t="s">
        <v>390</v>
      </c>
      <c r="F24" s="204">
        <v>1</v>
      </c>
      <c r="G24" s="24"/>
      <c r="H24" s="24">
        <v>3788.64</v>
      </c>
      <c r="I24" s="24">
        <f>F24*H24</f>
        <v>3788.64</v>
      </c>
    </row>
    <row r="25" spans="2:9" s="201" customFormat="1" ht="15" customHeight="1">
      <c r="B25" s="24" t="s">
        <v>1336</v>
      </c>
      <c r="C25" s="368" t="s">
        <v>2056</v>
      </c>
      <c r="D25" s="368"/>
      <c r="E25" s="24" t="s">
        <v>390</v>
      </c>
      <c r="F25" s="204">
        <v>1</v>
      </c>
      <c r="G25" s="24"/>
      <c r="H25" s="24">
        <v>4329.87</v>
      </c>
      <c r="I25" s="24">
        <f>F25*H25</f>
        <v>4329.87</v>
      </c>
    </row>
    <row r="26" spans="2:9" s="201" customFormat="1" ht="12">
      <c r="B26" s="365" t="s">
        <v>2001</v>
      </c>
      <c r="C26" s="365"/>
      <c r="D26" s="365"/>
      <c r="E26" s="365"/>
      <c r="F26" s="365"/>
      <c r="G26" s="365"/>
      <c r="H26" s="365"/>
      <c r="I26" s="202">
        <f>SUM(I22:I25)</f>
        <v>27061.694999999996</v>
      </c>
    </row>
    <row r="27" spans="2:9" s="201" customFormat="1" ht="12">
      <c r="B27" s="365" t="s">
        <v>1062</v>
      </c>
      <c r="C27" s="365"/>
      <c r="D27" s="365"/>
      <c r="E27" s="365"/>
      <c r="F27" s="365"/>
      <c r="G27" s="365"/>
      <c r="H27" s="24">
        <v>0.05</v>
      </c>
      <c r="I27" s="24">
        <f>I26*H27</f>
        <v>1353.08475</v>
      </c>
    </row>
    <row r="28" spans="2:9" s="201" customFormat="1" ht="12">
      <c r="B28" s="365" t="s">
        <v>73</v>
      </c>
      <c r="C28" s="365"/>
      <c r="D28" s="365"/>
      <c r="E28" s="365"/>
      <c r="F28" s="365"/>
      <c r="G28" s="365"/>
      <c r="H28" s="365"/>
      <c r="I28" s="202">
        <f>I26+I27</f>
        <v>28414.779749999994</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ht="12">
      <c r="B31" s="24" t="s">
        <v>2018</v>
      </c>
      <c r="C31" s="203" t="s">
        <v>2034</v>
      </c>
      <c r="D31" s="24" t="s">
        <v>390</v>
      </c>
      <c r="E31" s="204">
        <v>1</v>
      </c>
      <c r="F31" s="204">
        <v>1</v>
      </c>
      <c r="G31" s="24">
        <v>947.16</v>
      </c>
      <c r="H31" s="24">
        <f>E31*F31*G31</f>
        <v>947.16</v>
      </c>
      <c r="I31" s="24">
        <f>H31</f>
        <v>947.16</v>
      </c>
    </row>
    <row r="32" spans="2:9" s="201" customFormat="1" ht="12">
      <c r="B32" s="365" t="s">
        <v>2001</v>
      </c>
      <c r="C32" s="365"/>
      <c r="D32" s="365"/>
      <c r="E32" s="365"/>
      <c r="F32" s="365"/>
      <c r="G32" s="365"/>
      <c r="H32" s="365"/>
      <c r="I32" s="202">
        <f>SUM(I31:I31)</f>
        <v>947.16</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15" customHeight="1">
      <c r="B35" s="24" t="s">
        <v>2022</v>
      </c>
      <c r="C35" s="368" t="s">
        <v>2057</v>
      </c>
      <c r="D35" s="368"/>
      <c r="E35" s="204">
        <v>2.6</v>
      </c>
      <c r="F35" s="24" t="s">
        <v>213</v>
      </c>
      <c r="G35" s="24">
        <v>19000</v>
      </c>
      <c r="H35" s="204">
        <f>E35*G35/I35</f>
        <v>1.4901484184054112</v>
      </c>
      <c r="I35" s="24">
        <f>63144-I19-I28-I32-0</f>
        <v>33151.060250000002</v>
      </c>
    </row>
    <row r="36" spans="2:9" s="201" customFormat="1" ht="12">
      <c r="B36" s="365" t="s">
        <v>2001</v>
      </c>
      <c r="C36" s="365"/>
      <c r="D36" s="365"/>
      <c r="E36" s="365"/>
      <c r="F36" s="365"/>
      <c r="G36" s="365"/>
      <c r="H36" s="365"/>
      <c r="I36" s="202">
        <f>SUM(I35:I35)</f>
        <v>33151.060250000002</v>
      </c>
    </row>
    <row r="37" spans="2:9" s="201" customFormat="1"/>
    <row r="38" spans="2:9" s="201" customFormat="1" ht="12">
      <c r="B38" s="366" t="s">
        <v>2026</v>
      </c>
      <c r="C38" s="366"/>
      <c r="D38" s="366"/>
      <c r="E38" s="366"/>
      <c r="F38" s="366"/>
      <c r="G38" s="366"/>
      <c r="H38" s="366"/>
      <c r="I38" s="206">
        <f>I19+I28+I32+I36</f>
        <v>63144</v>
      </c>
    </row>
    <row r="39" spans="2:9" customFormat="1" ht="15" customHeight="1"/>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B19:H19"/>
    <mergeCell ref="B20:I20"/>
    <mergeCell ref="C21:D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6ADF-686D-417B-BCE2-39B2C2A789E3}">
  <sheetPr codeName="Hoja146"/>
  <dimension ref="B3:I38"/>
  <sheetViews>
    <sheetView topLeftCell="A5" zoomScaleNormal="100" workbookViewId="0">
      <selection activeCell="I14" sqref="I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1766</v>
      </c>
      <c r="C13" s="355" t="s">
        <v>2063</v>
      </c>
      <c r="D13" s="355"/>
      <c r="E13" s="355"/>
      <c r="F13" s="355"/>
      <c r="G13" s="286" t="s">
        <v>159</v>
      </c>
      <c r="H13" s="286"/>
      <c r="I13" s="114">
        <v>38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272</v>
      </c>
      <c r="I18" s="24">
        <f>H18/F18</f>
        <v>272</v>
      </c>
    </row>
    <row r="19" spans="2:9" s="201" customFormat="1" ht="12">
      <c r="B19" s="365" t="s">
        <v>2001</v>
      </c>
      <c r="C19" s="365"/>
      <c r="D19" s="365"/>
      <c r="E19" s="365"/>
      <c r="F19" s="365"/>
      <c r="G19" s="365"/>
      <c r="H19" s="365"/>
      <c r="I19" s="202">
        <f>SUM(I18:I18)</f>
        <v>272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1881</v>
      </c>
      <c r="C22" s="368" t="s">
        <v>2063</v>
      </c>
      <c r="D22" s="368"/>
      <c r="E22" s="24" t="s">
        <v>159</v>
      </c>
      <c r="F22" s="204">
        <v>1</v>
      </c>
      <c r="G22" s="24"/>
      <c r="H22" s="24">
        <v>14618.07</v>
      </c>
      <c r="I22" s="24">
        <f>F22*H22</f>
        <v>14618.07</v>
      </c>
    </row>
    <row r="23" spans="2:9" s="201" customFormat="1" ht="28.35" customHeight="1">
      <c r="B23" s="24" t="s">
        <v>2064</v>
      </c>
      <c r="C23" s="368" t="s">
        <v>2065</v>
      </c>
      <c r="D23" s="368"/>
      <c r="E23" s="24" t="s">
        <v>390</v>
      </c>
      <c r="F23" s="204">
        <v>1</v>
      </c>
      <c r="G23" s="24"/>
      <c r="H23" s="24">
        <v>1604.42</v>
      </c>
      <c r="I23" s="24">
        <f>F23*H23</f>
        <v>1604.42</v>
      </c>
    </row>
    <row r="24" spans="2:9" s="201" customFormat="1" ht="15" customHeight="1">
      <c r="B24" s="24" t="s">
        <v>2066</v>
      </c>
      <c r="C24" s="368" t="s">
        <v>2037</v>
      </c>
      <c r="D24" s="368"/>
      <c r="E24" s="24" t="s">
        <v>390</v>
      </c>
      <c r="F24" s="204">
        <v>1</v>
      </c>
      <c r="G24" s="24"/>
      <c r="H24" s="24">
        <v>1604.42</v>
      </c>
      <c r="I24" s="24">
        <f>F24*H24</f>
        <v>1604.42</v>
      </c>
    </row>
    <row r="25" spans="2:9" s="201" customFormat="1" ht="12">
      <c r="B25" s="365" t="s">
        <v>2001</v>
      </c>
      <c r="C25" s="365"/>
      <c r="D25" s="365"/>
      <c r="E25" s="365"/>
      <c r="F25" s="365"/>
      <c r="G25" s="365"/>
      <c r="H25" s="365"/>
      <c r="I25" s="202">
        <f>SUM(I22:I24)</f>
        <v>17826.91</v>
      </c>
    </row>
    <row r="26" spans="2:9" s="201" customFormat="1" ht="12">
      <c r="B26" s="365" t="s">
        <v>1062</v>
      </c>
      <c r="C26" s="365"/>
      <c r="D26" s="365"/>
      <c r="E26" s="365"/>
      <c r="F26" s="365"/>
      <c r="G26" s="365"/>
      <c r="H26" s="24">
        <v>0.05</v>
      </c>
      <c r="I26" s="24">
        <f>I25*H26</f>
        <v>891.34550000000002</v>
      </c>
    </row>
    <row r="27" spans="2:9" s="201" customFormat="1" ht="12">
      <c r="B27" s="365" t="s">
        <v>73</v>
      </c>
      <c r="C27" s="365"/>
      <c r="D27" s="365"/>
      <c r="E27" s="365"/>
      <c r="F27" s="365"/>
      <c r="G27" s="365"/>
      <c r="H27" s="365"/>
      <c r="I27" s="202">
        <f>I25+I26</f>
        <v>18718.255499999999</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04">
        <v>1</v>
      </c>
      <c r="F30" s="204">
        <v>1</v>
      </c>
      <c r="G30" s="24">
        <v>1020.996</v>
      </c>
      <c r="H30" s="24">
        <f>E30*F30*G30</f>
        <v>1020.996</v>
      </c>
      <c r="I30" s="24">
        <f>H30</f>
        <v>1020.996</v>
      </c>
    </row>
    <row r="31" spans="2:9" s="201" customFormat="1" ht="12">
      <c r="B31" s="365" t="s">
        <v>2001</v>
      </c>
      <c r="C31" s="365"/>
      <c r="D31" s="365"/>
      <c r="E31" s="365"/>
      <c r="F31" s="365"/>
      <c r="G31" s="365"/>
      <c r="H31" s="365"/>
      <c r="I31" s="202">
        <f>SUM(I30:I30)</f>
        <v>1020.996</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15" customHeight="1">
      <c r="B34" s="24" t="s">
        <v>2022</v>
      </c>
      <c r="C34" s="368" t="s">
        <v>2067</v>
      </c>
      <c r="D34" s="368"/>
      <c r="E34" s="204">
        <v>0.42</v>
      </c>
      <c r="F34" s="24" t="s">
        <v>213</v>
      </c>
      <c r="G34" s="24">
        <v>19000</v>
      </c>
      <c r="H34" s="204">
        <f>E34*G34/I34</f>
        <v>0.56910778127590478</v>
      </c>
      <c r="I34" s="24">
        <f>34033.2-I19-I27-I31-0</f>
        <v>14021.948499999999</v>
      </c>
    </row>
    <row r="35" spans="2:9" s="201" customFormat="1" ht="12">
      <c r="B35" s="365" t="s">
        <v>2001</v>
      </c>
      <c r="C35" s="365"/>
      <c r="D35" s="365"/>
      <c r="E35" s="365"/>
      <c r="F35" s="365"/>
      <c r="G35" s="365"/>
      <c r="H35" s="365"/>
      <c r="I35" s="202">
        <f>SUM(I34:I34)</f>
        <v>14021.948499999999</v>
      </c>
    </row>
    <row r="36" spans="2:9" s="201" customFormat="1"/>
    <row r="37" spans="2:9" s="201" customFormat="1" ht="12">
      <c r="B37" s="369" t="s">
        <v>2026</v>
      </c>
      <c r="C37" s="369"/>
      <c r="D37" s="369"/>
      <c r="E37" s="369"/>
      <c r="F37" s="369"/>
      <c r="G37" s="369"/>
      <c r="H37" s="369"/>
      <c r="I37" s="202">
        <f>I19+I27+I31+I35</f>
        <v>34033.199999999997</v>
      </c>
    </row>
    <row r="38" spans="2:9" customFormat="1" ht="15" customHeight="1"/>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C24:D24"/>
    <mergeCell ref="B16:I16"/>
    <mergeCell ref="C17:D17"/>
    <mergeCell ref="C18:D18"/>
    <mergeCell ref="B19:H19"/>
    <mergeCell ref="B20:I20"/>
    <mergeCell ref="C21:D21"/>
    <mergeCell ref="B37:H37"/>
    <mergeCell ref="B25:H25"/>
    <mergeCell ref="B26:G26"/>
    <mergeCell ref="B27:H27"/>
    <mergeCell ref="B28:I28"/>
    <mergeCell ref="B31:H31"/>
    <mergeCell ref="B32:I32"/>
    <mergeCell ref="C33:D33"/>
    <mergeCell ref="B35:H35"/>
    <mergeCell ref="C34:D34"/>
  </mergeCells>
  <pageMargins left="0.7" right="0.7" top="0.75" bottom="0.75" header="0.3" footer="0.3"/>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AF34-2727-49E2-B460-53FB2CE864F8}">
  <sheetPr codeName="Hoja147"/>
  <dimension ref="B3:I37"/>
  <sheetViews>
    <sheetView topLeftCell="A7" zoomScaleNormal="100" workbookViewId="0">
      <selection activeCell="K23" sqref="K2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1767</v>
      </c>
      <c r="C13" s="355" t="s">
        <v>2068</v>
      </c>
      <c r="D13" s="355"/>
      <c r="E13" s="355"/>
      <c r="F13" s="355"/>
      <c r="G13" s="286" t="s">
        <v>136</v>
      </c>
      <c r="H13" s="286"/>
      <c r="I13" s="114">
        <v>18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154</v>
      </c>
      <c r="I18" s="24">
        <f>H18/F18</f>
        <v>154</v>
      </c>
    </row>
    <row r="19" spans="2:9" s="201" customFormat="1" ht="12">
      <c r="B19" s="365" t="s">
        <v>2001</v>
      </c>
      <c r="C19" s="365"/>
      <c r="D19" s="365"/>
      <c r="E19" s="365"/>
      <c r="F19" s="365"/>
      <c r="G19" s="365"/>
      <c r="H19" s="365"/>
      <c r="I19" s="202">
        <f>SUM(I18:I18)</f>
        <v>154</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2069</v>
      </c>
      <c r="C22" s="368" t="s">
        <v>2068</v>
      </c>
      <c r="D22" s="368"/>
      <c r="E22" s="24" t="s">
        <v>780</v>
      </c>
      <c r="F22" s="24">
        <v>1</v>
      </c>
      <c r="G22" s="24"/>
      <c r="H22" s="24">
        <v>7709.26</v>
      </c>
      <c r="I22" s="24">
        <f>F22*H22</f>
        <v>7709.26</v>
      </c>
    </row>
    <row r="23" spans="2:9" s="201" customFormat="1" ht="15" customHeight="1">
      <c r="B23" s="24" t="s">
        <v>2070</v>
      </c>
      <c r="C23" s="368" t="s">
        <v>2071</v>
      </c>
      <c r="D23" s="368"/>
      <c r="E23" s="24" t="s">
        <v>390</v>
      </c>
      <c r="F23" s="24">
        <v>1</v>
      </c>
      <c r="G23" s="24"/>
      <c r="H23" s="24">
        <v>1360.46</v>
      </c>
      <c r="I23" s="24">
        <f>F23*H23</f>
        <v>1360.46</v>
      </c>
    </row>
    <row r="24" spans="2:9" s="201" customFormat="1" ht="12">
      <c r="B24" s="365" t="s">
        <v>2001</v>
      </c>
      <c r="C24" s="365"/>
      <c r="D24" s="365"/>
      <c r="E24" s="365"/>
      <c r="F24" s="365"/>
      <c r="G24" s="365"/>
      <c r="H24" s="365"/>
      <c r="I24" s="202">
        <f>SUM(I22:I23)</f>
        <v>9069.7200000000012</v>
      </c>
    </row>
    <row r="25" spans="2:9" s="201" customFormat="1" ht="12">
      <c r="B25" s="365" t="s">
        <v>1062</v>
      </c>
      <c r="C25" s="365"/>
      <c r="D25" s="365"/>
      <c r="E25" s="365"/>
      <c r="F25" s="365"/>
      <c r="G25" s="365"/>
      <c r="H25" s="24">
        <v>0.05</v>
      </c>
      <c r="I25" s="24">
        <f>I24*H25</f>
        <v>453.4860000000001</v>
      </c>
    </row>
    <row r="26" spans="2:9" s="201" customFormat="1" ht="12">
      <c r="B26" s="365" t="s">
        <v>73</v>
      </c>
      <c r="C26" s="365"/>
      <c r="D26" s="365"/>
      <c r="E26" s="365"/>
      <c r="F26" s="365"/>
      <c r="G26" s="365"/>
      <c r="H26" s="365"/>
      <c r="I26" s="202">
        <f>I24+I25</f>
        <v>9523.2060000000019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4">
        <v>1</v>
      </c>
      <c r="F29" s="24">
        <v>1</v>
      </c>
      <c r="G29" s="24">
        <v>307.2</v>
      </c>
      <c r="H29" s="24">
        <f>E29*F29*G29</f>
        <v>307.2</v>
      </c>
      <c r="I29" s="24">
        <f>H29</f>
        <v>307.2</v>
      </c>
    </row>
    <row r="30" spans="2:9" s="201" customFormat="1" ht="12">
      <c r="B30" s="365" t="s">
        <v>2001</v>
      </c>
      <c r="C30" s="365"/>
      <c r="D30" s="365"/>
      <c r="E30" s="365"/>
      <c r="F30" s="365"/>
      <c r="G30" s="365"/>
      <c r="H30" s="365"/>
      <c r="I30" s="202">
        <f>SUM(I29:I29)</f>
        <v>307.2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4">
        <v>0.38</v>
      </c>
      <c r="F33" s="24" t="s">
        <v>213</v>
      </c>
      <c r="G33" s="24">
        <v>19000</v>
      </c>
      <c r="H33" s="24">
        <f>E33*G33/I33</f>
        <v>1.343107384969922</v>
      </c>
      <c r="I33" s="24">
        <f>15360-I19-I26-I30-0</f>
        <v>5375.5939999999982</v>
      </c>
    </row>
    <row r="34" spans="2:9" s="201" customFormat="1" ht="12">
      <c r="B34" s="365" t="s">
        <v>2001</v>
      </c>
      <c r="C34" s="365"/>
      <c r="D34" s="365"/>
      <c r="E34" s="365"/>
      <c r="F34" s="365"/>
      <c r="G34" s="365"/>
      <c r="H34" s="365"/>
      <c r="I34" s="202">
        <f>SUM(I33:I33)</f>
        <v>5375.5939999999982</v>
      </c>
    </row>
    <row r="35" spans="2:9" s="201" customFormat="1" ht="12"/>
    <row r="36" spans="2:9" s="201" customFormat="1" ht="12">
      <c r="B36" s="366" t="s">
        <v>2026</v>
      </c>
      <c r="C36" s="366"/>
      <c r="D36" s="366"/>
      <c r="E36" s="366"/>
      <c r="F36" s="366"/>
      <c r="G36" s="366"/>
      <c r="H36" s="366"/>
      <c r="I36" s="206">
        <f>I19+I26+I30+I34</f>
        <v>15360</v>
      </c>
    </row>
    <row r="37" spans="2:9" customFormat="1" ht="15" customHeight="1"/>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2C01-1869-48B4-99A3-85BB4B5415A5}">
  <sheetPr codeName="Hoja148"/>
  <dimension ref="B3:I37"/>
  <sheetViews>
    <sheetView topLeftCell="A10" zoomScaleNormal="100" workbookViewId="0">
      <selection activeCell="K20" sqref="K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1768</v>
      </c>
      <c r="C13" s="355" t="s">
        <v>2072</v>
      </c>
      <c r="D13" s="355"/>
      <c r="E13" s="355"/>
      <c r="F13" s="355"/>
      <c r="G13" s="286" t="s">
        <v>159</v>
      </c>
      <c r="H13" s="286"/>
      <c r="I13" s="114">
        <v>28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403</v>
      </c>
      <c r="I18" s="189">
        <f>H18/F18</f>
        <v>403</v>
      </c>
    </row>
    <row r="19" spans="2:9" s="193" customFormat="1" ht="12">
      <c r="B19" s="362" t="s">
        <v>2001</v>
      </c>
      <c r="C19" s="362"/>
      <c r="D19" s="362"/>
      <c r="E19" s="362"/>
      <c r="F19" s="362"/>
      <c r="G19" s="362"/>
      <c r="H19" s="362"/>
      <c r="I19" s="190">
        <f>SUM(I18:I18)</f>
        <v>403</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1881</v>
      </c>
      <c r="C22" s="361" t="s">
        <v>2072</v>
      </c>
      <c r="D22" s="361"/>
      <c r="E22" s="17" t="s">
        <v>159</v>
      </c>
      <c r="F22" s="17">
        <v>1</v>
      </c>
      <c r="G22" s="17"/>
      <c r="H22" s="189">
        <v>21644.91</v>
      </c>
      <c r="I22" s="189">
        <f>F22*H22</f>
        <v>21644.91</v>
      </c>
    </row>
    <row r="23" spans="2:9" s="193" customFormat="1" ht="28.35" customHeight="1">
      <c r="B23" s="17" t="s">
        <v>2064</v>
      </c>
      <c r="C23" s="361" t="s">
        <v>2065</v>
      </c>
      <c r="D23" s="361"/>
      <c r="E23" s="17" t="s">
        <v>390</v>
      </c>
      <c r="F23" s="17">
        <v>1</v>
      </c>
      <c r="G23" s="17"/>
      <c r="H23" s="189">
        <v>2375.66</v>
      </c>
      <c r="I23" s="189">
        <f>F23*H23</f>
        <v>2375.66</v>
      </c>
    </row>
    <row r="24" spans="2:9" s="193" customFormat="1" ht="15" customHeight="1">
      <c r="B24" s="17" t="s">
        <v>2066</v>
      </c>
      <c r="C24" s="361" t="s">
        <v>2037</v>
      </c>
      <c r="D24" s="361"/>
      <c r="E24" s="17" t="s">
        <v>390</v>
      </c>
      <c r="F24" s="17">
        <v>1</v>
      </c>
      <c r="G24" s="17"/>
      <c r="H24" s="189">
        <v>2375.66</v>
      </c>
      <c r="I24" s="189">
        <f>F24*H24</f>
        <v>2375.66</v>
      </c>
    </row>
    <row r="25" spans="2:9" s="193" customFormat="1" ht="12">
      <c r="B25" s="362" t="s">
        <v>2001</v>
      </c>
      <c r="C25" s="362"/>
      <c r="D25" s="362"/>
      <c r="E25" s="362"/>
      <c r="F25" s="362"/>
      <c r="G25" s="362"/>
      <c r="H25" s="362"/>
      <c r="I25" s="190">
        <f>SUM(I22:I24)</f>
        <v>26396.23</v>
      </c>
    </row>
    <row r="26" spans="2:9" s="193" customFormat="1" ht="12">
      <c r="B26" s="362" t="s">
        <v>1062</v>
      </c>
      <c r="C26" s="362"/>
      <c r="D26" s="362"/>
      <c r="E26" s="362"/>
      <c r="F26" s="362"/>
      <c r="G26" s="362"/>
      <c r="H26" s="191">
        <v>0.05</v>
      </c>
      <c r="I26" s="189">
        <f>I25*H26</f>
        <v>1319.8115</v>
      </c>
    </row>
    <row r="27" spans="2:9" s="193" customFormat="1" ht="12">
      <c r="B27" s="362" t="s">
        <v>73</v>
      </c>
      <c r="C27" s="362"/>
      <c r="D27" s="362"/>
      <c r="E27" s="362"/>
      <c r="F27" s="362"/>
      <c r="G27" s="362"/>
      <c r="H27" s="362"/>
      <c r="I27" s="190">
        <f>I25+I26</f>
        <v>27716.041499999999</v>
      </c>
    </row>
    <row r="28" spans="2:9" s="193" customFormat="1" ht="15" customHeight="1">
      <c r="B28" s="360" t="s">
        <v>2016</v>
      </c>
      <c r="C28" s="360"/>
      <c r="D28" s="360"/>
      <c r="E28" s="360"/>
      <c r="F28" s="360"/>
      <c r="G28" s="360"/>
      <c r="H28" s="360"/>
      <c r="I28" s="360"/>
    </row>
    <row r="29" spans="2:9" s="193" customFormat="1" ht="12">
      <c r="B29" s="105" t="s">
        <v>42</v>
      </c>
      <c r="C29" s="105" t="s">
        <v>58</v>
      </c>
      <c r="D29" s="105" t="s">
        <v>136</v>
      </c>
      <c r="E29" s="105" t="s">
        <v>0</v>
      </c>
      <c r="F29" s="105" t="s">
        <v>2017</v>
      </c>
      <c r="G29" s="105" t="s">
        <v>345</v>
      </c>
      <c r="H29" s="105" t="s">
        <v>61</v>
      </c>
      <c r="I29" s="105" t="s">
        <v>79</v>
      </c>
    </row>
    <row r="30" spans="2:9" s="193" customFormat="1">
      <c r="B30" s="17" t="s">
        <v>2018</v>
      </c>
      <c r="C30" s="188" t="s">
        <v>2038</v>
      </c>
      <c r="D30" s="17" t="s">
        <v>390</v>
      </c>
      <c r="E30" s="17">
        <v>1</v>
      </c>
      <c r="F30" s="17">
        <v>1</v>
      </c>
      <c r="G30" s="189">
        <v>1511.7840000000001</v>
      </c>
      <c r="H30" s="189">
        <f>E30*F30*G30</f>
        <v>1511.7840000000001</v>
      </c>
      <c r="I30" s="189">
        <f>H30</f>
        <v>1511.7840000000001</v>
      </c>
    </row>
    <row r="31" spans="2:9" s="193" customFormat="1" ht="12">
      <c r="B31" s="362" t="s">
        <v>2001</v>
      </c>
      <c r="C31" s="362"/>
      <c r="D31" s="362"/>
      <c r="E31" s="362"/>
      <c r="F31" s="362"/>
      <c r="G31" s="362"/>
      <c r="H31" s="362"/>
      <c r="I31" s="190">
        <f>SUM(I30:I30)</f>
        <v>1511.7840000000001</v>
      </c>
    </row>
    <row r="32" spans="2:9" s="193" customFormat="1" ht="15" customHeight="1">
      <c r="B32" s="360" t="s">
        <v>2020</v>
      </c>
      <c r="C32" s="360"/>
      <c r="D32" s="360"/>
      <c r="E32" s="360"/>
      <c r="F32" s="360"/>
      <c r="G32" s="360"/>
      <c r="H32" s="360"/>
      <c r="I32" s="360"/>
    </row>
    <row r="33" spans="2:9" s="193" customFormat="1" ht="28.35" customHeight="1">
      <c r="B33" s="105" t="s">
        <v>42</v>
      </c>
      <c r="C33" s="360" t="s">
        <v>84</v>
      </c>
      <c r="D33" s="360"/>
      <c r="E33" s="105" t="s">
        <v>2021</v>
      </c>
      <c r="F33" s="105" t="s">
        <v>1</v>
      </c>
      <c r="G33" s="105" t="s">
        <v>77</v>
      </c>
      <c r="H33" s="105" t="s">
        <v>78</v>
      </c>
      <c r="I33" s="105" t="s">
        <v>79</v>
      </c>
    </row>
    <row r="34" spans="2:9" s="193" customFormat="1" ht="15" customHeight="1">
      <c r="B34" s="17" t="s">
        <v>2022</v>
      </c>
      <c r="C34" s="361" t="s">
        <v>2067</v>
      </c>
      <c r="D34" s="361"/>
      <c r="E34" s="17">
        <v>0.42</v>
      </c>
      <c r="F34" s="17" t="s">
        <v>213</v>
      </c>
      <c r="G34" s="189">
        <v>19000</v>
      </c>
      <c r="H34" s="192">
        <f>E34*G34/I34</f>
        <v>0.3843565071327873</v>
      </c>
      <c r="I34" s="189">
        <f>50392.8-I19-I27-I31-0</f>
        <v>20761.974500000004</v>
      </c>
    </row>
    <row r="35" spans="2:9" s="193" customFormat="1" ht="12">
      <c r="B35" s="362" t="s">
        <v>2001</v>
      </c>
      <c r="C35" s="362"/>
      <c r="D35" s="362"/>
      <c r="E35" s="362"/>
      <c r="F35" s="362"/>
      <c r="G35" s="362"/>
      <c r="H35" s="362"/>
      <c r="I35" s="190">
        <f>SUM(I34:I34)</f>
        <v>20761.974500000004</v>
      </c>
    </row>
    <row r="36" spans="2:9" s="193" customFormat="1" ht="12"/>
    <row r="37" spans="2:9" s="193" customFormat="1" ht="12">
      <c r="B37" s="363" t="s">
        <v>2026</v>
      </c>
      <c r="C37" s="363"/>
      <c r="D37" s="363"/>
      <c r="E37" s="363"/>
      <c r="F37" s="363"/>
      <c r="G37" s="363"/>
      <c r="H37" s="363"/>
      <c r="I37" s="194">
        <f>I19+I27+I31+I35</f>
        <v>50392.800000000003</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7:H37"/>
    <mergeCell ref="C33:D33"/>
    <mergeCell ref="C22:D22"/>
    <mergeCell ref="C23:D23"/>
    <mergeCell ref="C24:D24"/>
    <mergeCell ref="B25:H25"/>
    <mergeCell ref="B26:G26"/>
    <mergeCell ref="B27:H27"/>
    <mergeCell ref="B28:I28"/>
    <mergeCell ref="B31:H31"/>
    <mergeCell ref="B32:I32"/>
    <mergeCell ref="C34:D34"/>
    <mergeCell ref="B35:H35"/>
  </mergeCells>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4AD08-7107-4C71-9CD6-09893127E53F}">
  <sheetPr codeName="Hoja149"/>
  <dimension ref="B3:I36"/>
  <sheetViews>
    <sheetView zoomScaleNormal="100" workbookViewId="0">
      <selection activeCell="K23" sqref="K2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1769</v>
      </c>
      <c r="C13" s="355" t="s">
        <v>2073</v>
      </c>
      <c r="D13" s="355"/>
      <c r="E13" s="355"/>
      <c r="F13" s="355"/>
      <c r="G13" s="286" t="s">
        <v>136</v>
      </c>
      <c r="H13" s="286"/>
      <c r="I13" s="114">
        <v>29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414</v>
      </c>
      <c r="I18" s="24">
        <f>H18/F18</f>
        <v>414</v>
      </c>
    </row>
    <row r="19" spans="2:9" s="201" customFormat="1" ht="12">
      <c r="B19" s="365" t="s">
        <v>2001</v>
      </c>
      <c r="C19" s="365"/>
      <c r="D19" s="365"/>
      <c r="E19" s="365"/>
      <c r="F19" s="365"/>
      <c r="G19" s="365"/>
      <c r="H19" s="365"/>
      <c r="I19" s="202">
        <f>SUM(I18:I18)</f>
        <v>414</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2069</v>
      </c>
      <c r="C22" s="368" t="s">
        <v>2073</v>
      </c>
      <c r="D22" s="368"/>
      <c r="E22" s="24" t="s">
        <v>780</v>
      </c>
      <c r="F22" s="24">
        <v>1</v>
      </c>
      <c r="G22" s="24"/>
      <c r="H22" s="24">
        <v>20778.86</v>
      </c>
      <c r="I22" s="24">
        <f>F22*H22</f>
        <v>20778.86</v>
      </c>
    </row>
    <row r="23" spans="2:9" s="201" customFormat="1" ht="15" customHeight="1">
      <c r="B23" s="24" t="s">
        <v>2070</v>
      </c>
      <c r="C23" s="368" t="s">
        <v>2071</v>
      </c>
      <c r="D23" s="368"/>
      <c r="E23" s="24" t="s">
        <v>390</v>
      </c>
      <c r="F23" s="24">
        <v>1</v>
      </c>
      <c r="G23" s="24"/>
      <c r="H23" s="24">
        <v>3666.86</v>
      </c>
      <c r="I23" s="24">
        <f>F23*H23</f>
        <v>3666.86</v>
      </c>
    </row>
    <row r="24" spans="2:9" s="201" customFormat="1" ht="12">
      <c r="B24" s="365" t="s">
        <v>2001</v>
      </c>
      <c r="C24" s="365"/>
      <c r="D24" s="365"/>
      <c r="E24" s="365"/>
      <c r="F24" s="365"/>
      <c r="G24" s="365"/>
      <c r="H24" s="365"/>
      <c r="I24" s="202">
        <f>SUM(I22:I23)</f>
        <v>24445.72</v>
      </c>
    </row>
    <row r="25" spans="2:9" s="201" customFormat="1" ht="12">
      <c r="B25" s="365" t="s">
        <v>1062</v>
      </c>
      <c r="C25" s="365"/>
      <c r="D25" s="365"/>
      <c r="E25" s="365"/>
      <c r="F25" s="365"/>
      <c r="G25" s="365"/>
      <c r="H25" s="24">
        <v>0.05</v>
      </c>
      <c r="I25" s="24">
        <f>I24*H25</f>
        <v>1222.2860000000001</v>
      </c>
    </row>
    <row r="26" spans="2:9" s="201" customFormat="1" ht="12">
      <c r="B26" s="365" t="s">
        <v>73</v>
      </c>
      <c r="C26" s="365"/>
      <c r="D26" s="365"/>
      <c r="E26" s="365"/>
      <c r="F26" s="365"/>
      <c r="G26" s="365"/>
      <c r="H26" s="365"/>
      <c r="I26" s="202">
        <f>I24+I25</f>
        <v>25668.006000000001</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4">
        <v>1</v>
      </c>
      <c r="F29" s="24">
        <v>1</v>
      </c>
      <c r="G29" s="24">
        <v>828</v>
      </c>
      <c r="H29" s="24">
        <f>E29*F29*G29</f>
        <v>828</v>
      </c>
      <c r="I29" s="24">
        <f>H29</f>
        <v>828</v>
      </c>
    </row>
    <row r="30" spans="2:9" s="201" customFormat="1" ht="12">
      <c r="B30" s="365" t="s">
        <v>2001</v>
      </c>
      <c r="C30" s="365"/>
      <c r="D30" s="365"/>
      <c r="E30" s="365"/>
      <c r="F30" s="365"/>
      <c r="G30" s="365"/>
      <c r="H30" s="365"/>
      <c r="I30" s="202">
        <f>SUM(I29:I29)</f>
        <v>828</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4">
        <v>0.38</v>
      </c>
      <c r="F33" s="24" t="s">
        <v>213</v>
      </c>
      <c r="G33" s="24">
        <v>19000</v>
      </c>
      <c r="H33" s="24">
        <f>E33*G33/I33</f>
        <v>0.49827487851271718</v>
      </c>
      <c r="I33" s="24">
        <f>41400-I19-I26-I30-0</f>
        <v>14489.993999999999</v>
      </c>
    </row>
    <row r="34" spans="2:9" s="201" customFormat="1" ht="12">
      <c r="B34" s="365" t="s">
        <v>2001</v>
      </c>
      <c r="C34" s="365"/>
      <c r="D34" s="365"/>
      <c r="E34" s="365"/>
      <c r="F34" s="365"/>
      <c r="G34" s="365"/>
      <c r="H34" s="365"/>
      <c r="I34" s="202">
        <f>SUM(I33:I33)</f>
        <v>14489.993999999999</v>
      </c>
    </row>
    <row r="35" spans="2:9" s="201" customFormat="1"/>
    <row r="36" spans="2:9" s="201" customFormat="1" ht="12">
      <c r="B36" s="366" t="s">
        <v>2026</v>
      </c>
      <c r="C36" s="366"/>
      <c r="D36" s="366"/>
      <c r="E36" s="366"/>
      <c r="F36" s="366"/>
      <c r="G36" s="366"/>
      <c r="H36" s="366"/>
      <c r="I36" s="206">
        <f>I19+I26+I30+I34</f>
        <v>41400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3CE2F-7DEC-454F-973F-BF5829B023D0}">
  <sheetPr codeName="Hoja150"/>
  <dimension ref="B3:I35"/>
  <sheetViews>
    <sheetView topLeftCell="A11" zoomScaleNormal="100" workbookViewId="0">
      <selection activeCell="J21" sqref="J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1770</v>
      </c>
      <c r="C13" s="355" t="s">
        <v>2074</v>
      </c>
      <c r="D13" s="355"/>
      <c r="E13" s="355"/>
      <c r="F13" s="355"/>
      <c r="G13" s="286" t="s">
        <v>136</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138</v>
      </c>
      <c r="I18" s="189">
        <f>H18/F18</f>
        <v>138</v>
      </c>
    </row>
    <row r="19" spans="2:9" s="193" customFormat="1" ht="12">
      <c r="B19" s="362" t="s">
        <v>2001</v>
      </c>
      <c r="C19" s="362"/>
      <c r="D19" s="362"/>
      <c r="E19" s="362"/>
      <c r="F19" s="362"/>
      <c r="G19" s="362"/>
      <c r="H19" s="362"/>
      <c r="I19" s="190">
        <f>SUM(I18:I18)</f>
        <v>138</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2075</v>
      </c>
      <c r="C22" s="361" t="s">
        <v>2074</v>
      </c>
      <c r="D22" s="361"/>
      <c r="E22" s="17" t="s">
        <v>780</v>
      </c>
      <c r="F22" s="17">
        <v>1</v>
      </c>
      <c r="G22" s="17"/>
      <c r="H22" s="189">
        <v>9200</v>
      </c>
      <c r="I22" s="189">
        <f>F22*H22</f>
        <v>9200</v>
      </c>
    </row>
    <row r="23" spans="2:9" s="193" customFormat="1" ht="12">
      <c r="B23" s="362" t="s">
        <v>2001</v>
      </c>
      <c r="C23" s="362"/>
      <c r="D23" s="362"/>
      <c r="E23" s="362"/>
      <c r="F23" s="362"/>
      <c r="G23" s="362"/>
      <c r="H23" s="362"/>
      <c r="I23" s="190">
        <f>SUM(I22:I22)</f>
        <v>9200</v>
      </c>
    </row>
    <row r="24" spans="2:9" s="193" customFormat="1" ht="12">
      <c r="B24" s="362" t="s">
        <v>1062</v>
      </c>
      <c r="C24" s="362"/>
      <c r="D24" s="362"/>
      <c r="E24" s="362"/>
      <c r="F24" s="362"/>
      <c r="G24" s="362"/>
      <c r="H24" s="191">
        <v>0.05</v>
      </c>
      <c r="I24" s="189">
        <f>I23*H24</f>
        <v>460</v>
      </c>
    </row>
    <row r="25" spans="2:9" s="193" customFormat="1" ht="12">
      <c r="B25" s="362" t="s">
        <v>73</v>
      </c>
      <c r="C25" s="362"/>
      <c r="D25" s="362"/>
      <c r="E25" s="362"/>
      <c r="F25" s="362"/>
      <c r="G25" s="362"/>
      <c r="H25" s="362"/>
      <c r="I25" s="190">
        <f>I23+I24</f>
        <v>9660</v>
      </c>
    </row>
    <row r="26" spans="2:9" s="193" customFormat="1" ht="15" customHeight="1">
      <c r="B26" s="360" t="s">
        <v>2016</v>
      </c>
      <c r="C26" s="360"/>
      <c r="D26" s="360"/>
      <c r="E26" s="360"/>
      <c r="F26" s="360"/>
      <c r="G26" s="360"/>
      <c r="H26" s="360"/>
      <c r="I26" s="360"/>
    </row>
    <row r="27" spans="2:9" s="193" customFormat="1" ht="12">
      <c r="B27" s="105" t="s">
        <v>42</v>
      </c>
      <c r="C27" s="105" t="s">
        <v>58</v>
      </c>
      <c r="D27" s="105" t="s">
        <v>136</v>
      </c>
      <c r="E27" s="105" t="s">
        <v>0</v>
      </c>
      <c r="F27" s="105" t="s">
        <v>2017</v>
      </c>
      <c r="G27" s="105" t="s">
        <v>345</v>
      </c>
      <c r="H27" s="105" t="s">
        <v>61</v>
      </c>
      <c r="I27" s="105" t="s">
        <v>79</v>
      </c>
    </row>
    <row r="28" spans="2:9" s="193" customFormat="1" ht="12">
      <c r="B28" s="17" t="s">
        <v>2018</v>
      </c>
      <c r="C28" s="188" t="s">
        <v>2049</v>
      </c>
      <c r="D28" s="17" t="s">
        <v>390</v>
      </c>
      <c r="E28" s="17">
        <v>1</v>
      </c>
      <c r="F28" s="17">
        <v>1</v>
      </c>
      <c r="G28" s="189">
        <v>276</v>
      </c>
      <c r="H28" s="189">
        <f>E28*F28*G28</f>
        <v>276</v>
      </c>
      <c r="I28" s="189">
        <f>H28</f>
        <v>276</v>
      </c>
    </row>
    <row r="29" spans="2:9" s="193" customFormat="1" ht="12">
      <c r="B29" s="362" t="s">
        <v>2001</v>
      </c>
      <c r="C29" s="362"/>
      <c r="D29" s="362"/>
      <c r="E29" s="362"/>
      <c r="F29" s="362"/>
      <c r="G29" s="362"/>
      <c r="H29" s="362"/>
      <c r="I29" s="190">
        <f>SUM(I28:I28)</f>
        <v>276</v>
      </c>
    </row>
    <row r="30" spans="2:9" s="193" customFormat="1" ht="15" customHeight="1">
      <c r="B30" s="360" t="s">
        <v>2020</v>
      </c>
      <c r="C30" s="360"/>
      <c r="D30" s="360"/>
      <c r="E30" s="360"/>
      <c r="F30" s="360"/>
      <c r="G30" s="360"/>
      <c r="H30" s="360"/>
      <c r="I30" s="360"/>
    </row>
    <row r="31" spans="2:9" s="193" customFormat="1" ht="28.35" customHeight="1">
      <c r="B31" s="105" t="s">
        <v>42</v>
      </c>
      <c r="C31" s="360" t="s">
        <v>84</v>
      </c>
      <c r="D31" s="360"/>
      <c r="E31" s="105" t="s">
        <v>2021</v>
      </c>
      <c r="F31" s="105" t="s">
        <v>1</v>
      </c>
      <c r="G31" s="105" t="s">
        <v>77</v>
      </c>
      <c r="H31" s="105" t="s">
        <v>78</v>
      </c>
      <c r="I31" s="105" t="s">
        <v>79</v>
      </c>
    </row>
    <row r="32" spans="2:9" s="193" customFormat="1" ht="15" customHeight="1">
      <c r="B32" s="17" t="s">
        <v>2022</v>
      </c>
      <c r="C32" s="361" t="s">
        <v>2050</v>
      </c>
      <c r="D32" s="361"/>
      <c r="E32" s="17">
        <v>0.5</v>
      </c>
      <c r="F32" s="17" t="s">
        <v>213</v>
      </c>
      <c r="G32" s="189">
        <v>13500</v>
      </c>
      <c r="H32" s="192">
        <f>E32*G32/I32</f>
        <v>1.8115942028985508</v>
      </c>
      <c r="I32" s="189">
        <f>13800-I19-I25-I29-0</f>
        <v>3726</v>
      </c>
    </row>
    <row r="33" spans="2:9" s="193" customFormat="1" ht="12">
      <c r="B33" s="362" t="s">
        <v>2001</v>
      </c>
      <c r="C33" s="362"/>
      <c r="D33" s="362"/>
      <c r="E33" s="362"/>
      <c r="F33" s="362"/>
      <c r="G33" s="362"/>
      <c r="H33" s="362"/>
      <c r="I33" s="190">
        <f>SUM(I32:I32)</f>
        <v>3726</v>
      </c>
    </row>
    <row r="34" spans="2:9" s="193" customFormat="1" ht="12"/>
    <row r="35" spans="2:9" s="193" customFormat="1" ht="12">
      <c r="B35" s="363" t="s">
        <v>2026</v>
      </c>
      <c r="C35" s="363"/>
      <c r="D35" s="363"/>
      <c r="E35" s="363"/>
      <c r="F35" s="363"/>
      <c r="G35" s="363"/>
      <c r="H35" s="363"/>
      <c r="I35" s="194">
        <f>I19+I25+I29+I33</f>
        <v>13800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C22:D22"/>
    <mergeCell ref="B23:H23"/>
    <mergeCell ref="B24:G24"/>
    <mergeCell ref="B25:H25"/>
    <mergeCell ref="B26:I26"/>
    <mergeCell ref="B29:H29"/>
    <mergeCell ref="B30:I30"/>
    <mergeCell ref="C31:D31"/>
    <mergeCell ref="B33:H33"/>
    <mergeCell ref="B35:H35"/>
    <mergeCell ref="C32:D32"/>
  </mergeCells>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5DC6-C2F8-40EC-9CCD-BA690E3AE616}">
  <sheetPr codeName="Hoja151"/>
  <dimension ref="B3:I35"/>
  <sheetViews>
    <sheetView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1771</v>
      </c>
      <c r="C13" s="355" t="s">
        <v>2076</v>
      </c>
      <c r="D13" s="355"/>
      <c r="E13" s="355"/>
      <c r="F13" s="355"/>
      <c r="G13" s="286" t="s">
        <v>136</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565</v>
      </c>
      <c r="I18" s="24">
        <f>H18/F18</f>
        <v>565</v>
      </c>
    </row>
    <row r="19" spans="2:9" s="201" customFormat="1" ht="12">
      <c r="B19" s="365" t="s">
        <v>2001</v>
      </c>
      <c r="C19" s="365"/>
      <c r="D19" s="365"/>
      <c r="E19" s="365"/>
      <c r="F19" s="365"/>
      <c r="G19" s="365"/>
      <c r="H19" s="365"/>
      <c r="I19" s="202">
        <f>SUM(I18:I18)</f>
        <v>565</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2077</v>
      </c>
      <c r="C22" s="368" t="s">
        <v>2076</v>
      </c>
      <c r="D22" s="368"/>
      <c r="E22" s="24" t="s">
        <v>780</v>
      </c>
      <c r="F22" s="24">
        <v>1</v>
      </c>
      <c r="G22" s="24"/>
      <c r="H22" s="24">
        <v>42004.11</v>
      </c>
      <c r="I22" s="24">
        <f>F22*H22</f>
        <v>42004.11</v>
      </c>
    </row>
    <row r="23" spans="2:9" s="201" customFormat="1" ht="12">
      <c r="B23" s="365" t="s">
        <v>2001</v>
      </c>
      <c r="C23" s="365"/>
      <c r="D23" s="365"/>
      <c r="E23" s="365"/>
      <c r="F23" s="365"/>
      <c r="G23" s="365"/>
      <c r="H23" s="365"/>
      <c r="I23" s="202">
        <f>SUM(I22:I22)</f>
        <v>42004.11</v>
      </c>
    </row>
    <row r="24" spans="2:9" s="201" customFormat="1" ht="12">
      <c r="B24" s="365" t="s">
        <v>1062</v>
      </c>
      <c r="C24" s="365"/>
      <c r="D24" s="365"/>
      <c r="E24" s="365"/>
      <c r="F24" s="365"/>
      <c r="G24" s="365"/>
      <c r="H24" s="24">
        <v>0.05</v>
      </c>
      <c r="I24" s="24">
        <f>I23*H24</f>
        <v>2100.2055</v>
      </c>
    </row>
    <row r="25" spans="2:9" s="201" customFormat="1" ht="12">
      <c r="B25" s="365" t="s">
        <v>73</v>
      </c>
      <c r="C25" s="365"/>
      <c r="D25" s="365"/>
      <c r="E25" s="365"/>
      <c r="F25" s="365"/>
      <c r="G25" s="365"/>
      <c r="H25" s="365"/>
      <c r="I25" s="202">
        <f>I23+I24</f>
        <v>44104.315499999997</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4">
        <v>1</v>
      </c>
      <c r="F28" s="24">
        <v>1</v>
      </c>
      <c r="G28" s="24">
        <v>1130.8800000000001</v>
      </c>
      <c r="H28" s="24">
        <f>E28*F28*G28</f>
        <v>1130.8800000000001</v>
      </c>
      <c r="I28" s="24">
        <f>H28</f>
        <v>1130.8800000000001</v>
      </c>
    </row>
    <row r="29" spans="2:9" s="201" customFormat="1" ht="12">
      <c r="B29" s="365" t="s">
        <v>2001</v>
      </c>
      <c r="C29" s="365"/>
      <c r="D29" s="365"/>
      <c r="E29" s="365"/>
      <c r="F29" s="365"/>
      <c r="G29" s="365"/>
      <c r="H29" s="365"/>
      <c r="I29" s="202">
        <f>SUM(I28:I28)</f>
        <v>1130.8800000000001</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2078</v>
      </c>
      <c r="D32" s="368"/>
      <c r="E32" s="24">
        <v>0.4</v>
      </c>
      <c r="F32" s="24" t="s">
        <v>213</v>
      </c>
      <c r="G32" s="24">
        <v>13500</v>
      </c>
      <c r="H32" s="24">
        <f>E32*G32/I32</f>
        <v>0.50261525142234287</v>
      </c>
      <c r="I32" s="24">
        <f>56544-I19-I25-I29-0</f>
        <v>10743.804500000002</v>
      </c>
    </row>
    <row r="33" spans="2:9" s="201" customFormat="1" ht="12">
      <c r="B33" s="365" t="s">
        <v>2001</v>
      </c>
      <c r="C33" s="365"/>
      <c r="D33" s="365"/>
      <c r="E33" s="365"/>
      <c r="F33" s="365"/>
      <c r="G33" s="365"/>
      <c r="H33" s="365"/>
      <c r="I33" s="202">
        <f>SUM(I32:I32)</f>
        <v>10743.804500000002</v>
      </c>
    </row>
    <row r="34" spans="2:9" s="201" customFormat="1"/>
    <row r="35" spans="2:9" s="201" customFormat="1" ht="12">
      <c r="B35" s="366" t="s">
        <v>2026</v>
      </c>
      <c r="C35" s="366"/>
      <c r="D35" s="366"/>
      <c r="E35" s="366"/>
      <c r="F35" s="366"/>
      <c r="G35" s="366"/>
      <c r="H35" s="366"/>
      <c r="I35" s="206">
        <f>I19+I25+I29+I33</f>
        <v>56544</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BAE6-EC7B-4C8F-89C6-2DAA46C3D37B}">
  <sheetPr codeName="Hoja152"/>
  <dimension ref="B3:I37"/>
  <sheetViews>
    <sheetView topLeftCell="A8"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1781</v>
      </c>
      <c r="C13" s="355" t="s">
        <v>2079</v>
      </c>
      <c r="D13" s="355"/>
      <c r="E13" s="355"/>
      <c r="F13" s="355"/>
      <c r="G13" s="286" t="s">
        <v>159</v>
      </c>
      <c r="H13" s="286"/>
      <c r="I13" s="114">
        <v>24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285</v>
      </c>
      <c r="I18" s="24">
        <f>H18/F18</f>
        <v>285</v>
      </c>
    </row>
    <row r="19" spans="2:9" s="201" customFormat="1" ht="12">
      <c r="B19" s="365" t="s">
        <v>2001</v>
      </c>
      <c r="C19" s="365"/>
      <c r="D19" s="365"/>
      <c r="E19" s="365"/>
      <c r="F19" s="365"/>
      <c r="G19" s="365"/>
      <c r="H19" s="365"/>
      <c r="I19" s="202">
        <f>SUM(I18:I18)</f>
        <v>285</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1881</v>
      </c>
      <c r="C22" s="368" t="s">
        <v>2079</v>
      </c>
      <c r="D22" s="368"/>
      <c r="E22" s="24" t="s">
        <v>159</v>
      </c>
      <c r="F22" s="24">
        <v>1</v>
      </c>
      <c r="G22" s="24"/>
      <c r="H22" s="24">
        <v>15304.11</v>
      </c>
      <c r="I22" s="24">
        <f>F22*H22</f>
        <v>15304.11</v>
      </c>
    </row>
    <row r="23" spans="2:9" s="201" customFormat="1" ht="28.35" customHeight="1">
      <c r="B23" s="24" t="s">
        <v>2064</v>
      </c>
      <c r="C23" s="368" t="s">
        <v>2065</v>
      </c>
      <c r="D23" s="368"/>
      <c r="E23" s="24" t="s">
        <v>390</v>
      </c>
      <c r="F23" s="24">
        <v>1</v>
      </c>
      <c r="G23" s="24"/>
      <c r="H23" s="24">
        <v>1679.72</v>
      </c>
      <c r="I23" s="24">
        <f>F23*H23</f>
        <v>1679.72</v>
      </c>
    </row>
    <row r="24" spans="2:9" s="201" customFormat="1" ht="15" customHeight="1">
      <c r="B24" s="24" t="s">
        <v>2066</v>
      </c>
      <c r="C24" s="368" t="s">
        <v>2037</v>
      </c>
      <c r="D24" s="368"/>
      <c r="E24" s="24" t="s">
        <v>390</v>
      </c>
      <c r="F24" s="24">
        <v>1</v>
      </c>
      <c r="G24" s="24"/>
      <c r="H24" s="24">
        <v>1679.72</v>
      </c>
      <c r="I24" s="24">
        <f>F24*H24</f>
        <v>1679.72</v>
      </c>
    </row>
    <row r="25" spans="2:9" s="201" customFormat="1" ht="12">
      <c r="B25" s="365" t="s">
        <v>2001</v>
      </c>
      <c r="C25" s="365"/>
      <c r="D25" s="365"/>
      <c r="E25" s="365"/>
      <c r="F25" s="365"/>
      <c r="G25" s="365"/>
      <c r="H25" s="365"/>
      <c r="I25" s="202">
        <f>SUM(I22:I24)</f>
        <v>18663.550000000003</v>
      </c>
    </row>
    <row r="26" spans="2:9" s="201" customFormat="1" ht="12">
      <c r="B26" s="365" t="s">
        <v>1062</v>
      </c>
      <c r="C26" s="365"/>
      <c r="D26" s="365"/>
      <c r="E26" s="365"/>
      <c r="F26" s="365"/>
      <c r="G26" s="365"/>
      <c r="H26" s="24">
        <v>0.05</v>
      </c>
      <c r="I26" s="24">
        <f>I25*H26</f>
        <v>933.17750000000024</v>
      </c>
    </row>
    <row r="27" spans="2:9" s="201" customFormat="1" ht="12">
      <c r="B27" s="365" t="s">
        <v>73</v>
      </c>
      <c r="C27" s="365"/>
      <c r="D27" s="365"/>
      <c r="E27" s="365"/>
      <c r="F27" s="365"/>
      <c r="G27" s="365"/>
      <c r="H27" s="365"/>
      <c r="I27" s="202">
        <f>I25+I26</f>
        <v>19596.727500000005</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4">
        <v>1</v>
      </c>
      <c r="F30" s="24">
        <v>1</v>
      </c>
      <c r="G30" s="24">
        <v>1068.912</v>
      </c>
      <c r="H30" s="24">
        <f>E30*F30*G30</f>
        <v>1068.912</v>
      </c>
      <c r="I30" s="24">
        <f>H30</f>
        <v>1068.912</v>
      </c>
    </row>
    <row r="31" spans="2:9" s="201" customFormat="1" ht="12">
      <c r="B31" s="365" t="s">
        <v>2001</v>
      </c>
      <c r="C31" s="365"/>
      <c r="D31" s="365"/>
      <c r="E31" s="365"/>
      <c r="F31" s="365"/>
      <c r="G31" s="365"/>
      <c r="H31" s="365"/>
      <c r="I31" s="202">
        <f>SUM(I30:I30)</f>
        <v>1068.912</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15" customHeight="1">
      <c r="B34" s="24" t="s">
        <v>2022</v>
      </c>
      <c r="C34" s="368" t="s">
        <v>2067</v>
      </c>
      <c r="D34" s="368"/>
      <c r="E34" s="24">
        <v>0.42</v>
      </c>
      <c r="F34" s="24" t="s">
        <v>213</v>
      </c>
      <c r="G34" s="24">
        <v>19000</v>
      </c>
      <c r="H34" s="24">
        <f>E34*G34/I34</f>
        <v>0.54360559901505212</v>
      </c>
      <c r="I34" s="24">
        <f>35630.4-I19-I27-I31-0</f>
        <v>14679.760499999997</v>
      </c>
    </row>
    <row r="35" spans="2:9" s="201" customFormat="1" ht="12">
      <c r="B35" s="365" t="s">
        <v>2001</v>
      </c>
      <c r="C35" s="365"/>
      <c r="D35" s="365"/>
      <c r="E35" s="365"/>
      <c r="F35" s="365"/>
      <c r="G35" s="365"/>
      <c r="H35" s="365"/>
      <c r="I35" s="202">
        <f>SUM(I34:I34)</f>
        <v>14679.760499999997</v>
      </c>
    </row>
    <row r="36" spans="2:9" s="201" customFormat="1"/>
    <row r="37" spans="2:9" s="201" customFormat="1" ht="12">
      <c r="B37" s="366" t="s">
        <v>2026</v>
      </c>
      <c r="C37" s="366"/>
      <c r="D37" s="366"/>
      <c r="E37" s="366"/>
      <c r="F37" s="366"/>
      <c r="G37" s="366"/>
      <c r="H37" s="366"/>
      <c r="I37" s="206">
        <f>I19+I27+I31+I35</f>
        <v>35630.400000000001</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B25:H25"/>
    <mergeCell ref="B16:I16"/>
    <mergeCell ref="C17:D17"/>
    <mergeCell ref="C18:D18"/>
    <mergeCell ref="B19:H19"/>
    <mergeCell ref="B20:I20"/>
    <mergeCell ref="C21:D21"/>
    <mergeCell ref="C23:D23"/>
    <mergeCell ref="C24:D24"/>
    <mergeCell ref="C33:D33"/>
    <mergeCell ref="C34:D34"/>
    <mergeCell ref="B37:H37"/>
    <mergeCell ref="B35:H35"/>
    <mergeCell ref="B26:G26"/>
    <mergeCell ref="B27:H27"/>
    <mergeCell ref="B28:I28"/>
    <mergeCell ref="B31:H31"/>
    <mergeCell ref="B32:I32"/>
  </mergeCells>
  <pageMargins left="0.7" right="0.7" top="0.75" bottom="0.75" header="0.3" footer="0.3"/>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952D-5EBD-468A-83F7-8C888A5DD455}">
  <sheetPr codeName="Hoja153"/>
  <dimension ref="B3:I36"/>
  <sheetViews>
    <sheetView topLeftCell="A7"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1782</v>
      </c>
      <c r="C13" s="355" t="s">
        <v>2080</v>
      </c>
      <c r="D13" s="355"/>
      <c r="E13" s="355"/>
      <c r="F13" s="355"/>
      <c r="G13" s="286" t="s">
        <v>342</v>
      </c>
      <c r="H13" s="286"/>
      <c r="I13" s="114">
        <v>12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154</v>
      </c>
      <c r="I18" s="24">
        <f>H18/F18</f>
        <v>154</v>
      </c>
    </row>
    <row r="19" spans="2:9" s="201" customFormat="1" ht="12">
      <c r="B19" s="365" t="s">
        <v>2001</v>
      </c>
      <c r="C19" s="365"/>
      <c r="D19" s="365"/>
      <c r="E19" s="365"/>
      <c r="F19" s="365"/>
      <c r="G19" s="365"/>
      <c r="H19" s="365"/>
      <c r="I19" s="202">
        <f>SUM(I18:I18)</f>
        <v>154</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2069</v>
      </c>
      <c r="C22" s="368" t="s">
        <v>2080</v>
      </c>
      <c r="D22" s="368"/>
      <c r="E22" s="24" t="s">
        <v>780</v>
      </c>
      <c r="F22" s="24">
        <v>1</v>
      </c>
      <c r="G22" s="24"/>
      <c r="H22" s="24">
        <v>7709.26</v>
      </c>
      <c r="I22" s="24">
        <f>F22*H22</f>
        <v>7709.26</v>
      </c>
    </row>
    <row r="23" spans="2:9" s="201" customFormat="1" ht="15" customHeight="1">
      <c r="B23" s="24" t="s">
        <v>2070</v>
      </c>
      <c r="C23" s="368" t="s">
        <v>2071</v>
      </c>
      <c r="D23" s="368"/>
      <c r="E23" s="24" t="s">
        <v>390</v>
      </c>
      <c r="F23" s="24">
        <v>1</v>
      </c>
      <c r="G23" s="24"/>
      <c r="H23" s="24">
        <v>1360.46</v>
      </c>
      <c r="I23" s="24">
        <f>F23*H23</f>
        <v>1360.46</v>
      </c>
    </row>
    <row r="24" spans="2:9" s="201" customFormat="1" ht="12">
      <c r="B24" s="365" t="s">
        <v>2001</v>
      </c>
      <c r="C24" s="365"/>
      <c r="D24" s="365"/>
      <c r="E24" s="365"/>
      <c r="F24" s="365"/>
      <c r="G24" s="365"/>
      <c r="H24" s="365"/>
      <c r="I24" s="202">
        <f>SUM(I22:I23)</f>
        <v>9069.7200000000012</v>
      </c>
    </row>
    <row r="25" spans="2:9" s="201" customFormat="1" ht="12">
      <c r="B25" s="365" t="s">
        <v>1062</v>
      </c>
      <c r="C25" s="365"/>
      <c r="D25" s="365"/>
      <c r="E25" s="365"/>
      <c r="F25" s="365"/>
      <c r="G25" s="365"/>
      <c r="H25" s="24">
        <v>0.05</v>
      </c>
      <c r="I25" s="24">
        <f>I24*H25</f>
        <v>453.4860000000001</v>
      </c>
    </row>
    <row r="26" spans="2:9" s="201" customFormat="1" ht="12">
      <c r="B26" s="365" t="s">
        <v>73</v>
      </c>
      <c r="C26" s="365"/>
      <c r="D26" s="365"/>
      <c r="E26" s="365"/>
      <c r="F26" s="365"/>
      <c r="G26" s="365"/>
      <c r="H26" s="365"/>
      <c r="I26" s="202">
        <f>I24+I25</f>
        <v>9523.2060000000019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4">
        <v>1</v>
      </c>
      <c r="F29" s="24">
        <v>1</v>
      </c>
      <c r="G29" s="24">
        <v>307.2</v>
      </c>
      <c r="H29" s="24">
        <f>E29*F29*G29</f>
        <v>307.2</v>
      </c>
      <c r="I29" s="24">
        <f>H29</f>
        <v>307.2</v>
      </c>
    </row>
    <row r="30" spans="2:9" s="201" customFormat="1" ht="12">
      <c r="B30" s="365" t="s">
        <v>2001</v>
      </c>
      <c r="C30" s="365"/>
      <c r="D30" s="365"/>
      <c r="E30" s="365"/>
      <c r="F30" s="365"/>
      <c r="G30" s="365"/>
      <c r="H30" s="365"/>
      <c r="I30" s="202">
        <f>SUM(I29:I29)</f>
        <v>307.2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4">
        <v>0.38</v>
      </c>
      <c r="F33" s="24" t="s">
        <v>213</v>
      </c>
      <c r="G33" s="24">
        <v>19000</v>
      </c>
      <c r="H33" s="24">
        <f>E33*G33/I33</f>
        <v>1.343107384969922</v>
      </c>
      <c r="I33" s="24">
        <f>15360-I19-I26-I30-0</f>
        <v>5375.5939999999982</v>
      </c>
    </row>
    <row r="34" spans="2:9" s="201" customFormat="1" ht="12">
      <c r="B34" s="365" t="s">
        <v>2001</v>
      </c>
      <c r="C34" s="365"/>
      <c r="D34" s="365"/>
      <c r="E34" s="365"/>
      <c r="F34" s="365"/>
      <c r="G34" s="365"/>
      <c r="H34" s="365"/>
      <c r="I34" s="202">
        <f>SUM(I33:I33)</f>
        <v>5375.5939999999982</v>
      </c>
    </row>
    <row r="35" spans="2:9" s="201" customFormat="1" ht="12"/>
    <row r="36" spans="2:9" s="201" customFormat="1" ht="12">
      <c r="B36" s="366" t="s">
        <v>2026</v>
      </c>
      <c r="C36" s="366"/>
      <c r="D36" s="366"/>
      <c r="E36" s="366"/>
      <c r="F36" s="366"/>
      <c r="G36" s="366"/>
      <c r="H36" s="366"/>
      <c r="I36" s="206">
        <f>I19+I26+I30+I34</f>
        <v>15360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A087-1A33-432D-986A-058199EAA1D1}">
  <sheetPr codeName="Hoja154"/>
  <dimension ref="B3:I35"/>
  <sheetViews>
    <sheetView topLeftCell="A7"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1783</v>
      </c>
      <c r="C13" s="355" t="s">
        <v>2081</v>
      </c>
      <c r="D13" s="355"/>
      <c r="E13" s="355"/>
      <c r="F13" s="355"/>
      <c r="G13" s="286" t="s">
        <v>342</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138</v>
      </c>
      <c r="I18" s="24">
        <f>H18/F18</f>
        <v>138</v>
      </c>
    </row>
    <row r="19" spans="2:9" s="201" customFormat="1" ht="12">
      <c r="B19" s="365" t="s">
        <v>2001</v>
      </c>
      <c r="C19" s="365"/>
      <c r="D19" s="365"/>
      <c r="E19" s="365"/>
      <c r="F19" s="365"/>
      <c r="G19" s="365"/>
      <c r="H19" s="365"/>
      <c r="I19" s="202">
        <f>SUM(I18:I18)</f>
        <v>138</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2075</v>
      </c>
      <c r="C22" s="368" t="s">
        <v>2081</v>
      </c>
      <c r="D22" s="368"/>
      <c r="E22" s="24" t="s">
        <v>780</v>
      </c>
      <c r="F22" s="24">
        <v>1</v>
      </c>
      <c r="G22" s="24"/>
      <c r="H22" s="24">
        <v>9200</v>
      </c>
      <c r="I22" s="24">
        <f>F22*H22</f>
        <v>9200</v>
      </c>
    </row>
    <row r="23" spans="2:9" s="201" customFormat="1" ht="12">
      <c r="B23" s="365" t="s">
        <v>2001</v>
      </c>
      <c r="C23" s="365"/>
      <c r="D23" s="365"/>
      <c r="E23" s="365"/>
      <c r="F23" s="365"/>
      <c r="G23" s="365"/>
      <c r="H23" s="365"/>
      <c r="I23" s="202">
        <f>SUM(I22:I22)</f>
        <v>9200</v>
      </c>
    </row>
    <row r="24" spans="2:9" s="201" customFormat="1" ht="12">
      <c r="B24" s="365" t="s">
        <v>1062</v>
      </c>
      <c r="C24" s="365"/>
      <c r="D24" s="365"/>
      <c r="E24" s="365"/>
      <c r="F24" s="365"/>
      <c r="G24" s="365"/>
      <c r="H24" s="24">
        <v>0.05</v>
      </c>
      <c r="I24" s="24">
        <f>I23*H24</f>
        <v>460</v>
      </c>
    </row>
    <row r="25" spans="2:9" s="201" customFormat="1" ht="12">
      <c r="B25" s="365" t="s">
        <v>73</v>
      </c>
      <c r="C25" s="365"/>
      <c r="D25" s="365"/>
      <c r="E25" s="365"/>
      <c r="F25" s="365"/>
      <c r="G25" s="365"/>
      <c r="H25" s="365"/>
      <c r="I25" s="202">
        <f>I23+I24</f>
        <v>9660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4">
        <v>1</v>
      </c>
      <c r="F28" s="24">
        <v>1</v>
      </c>
      <c r="G28" s="24">
        <v>276</v>
      </c>
      <c r="H28" s="24">
        <f>E28*F28*G28</f>
        <v>276</v>
      </c>
      <c r="I28" s="24">
        <f>H28</f>
        <v>276</v>
      </c>
    </row>
    <row r="29" spans="2:9" s="201" customFormat="1" ht="12">
      <c r="B29" s="365" t="s">
        <v>2001</v>
      </c>
      <c r="C29" s="365"/>
      <c r="D29" s="365"/>
      <c r="E29" s="365"/>
      <c r="F29" s="365"/>
      <c r="G29" s="365"/>
      <c r="H29" s="365"/>
      <c r="I29" s="202">
        <f>SUM(I28:I28)</f>
        <v>276</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2050</v>
      </c>
      <c r="D32" s="368"/>
      <c r="E32" s="24">
        <v>0.5</v>
      </c>
      <c r="F32" s="24" t="s">
        <v>213</v>
      </c>
      <c r="G32" s="24">
        <v>13500</v>
      </c>
      <c r="H32" s="24">
        <f>E32*G32/I32</f>
        <v>1.8115942028985508</v>
      </c>
      <c r="I32" s="24">
        <f>13800-I19-I25-I29-0</f>
        <v>3726</v>
      </c>
    </row>
    <row r="33" spans="2:9" s="201" customFormat="1" ht="12">
      <c r="B33" s="365" t="s">
        <v>2001</v>
      </c>
      <c r="C33" s="365"/>
      <c r="D33" s="365"/>
      <c r="E33" s="365"/>
      <c r="F33" s="365"/>
      <c r="G33" s="365"/>
      <c r="H33" s="365"/>
      <c r="I33" s="202">
        <f>SUM(I32:I32)</f>
        <v>3726</v>
      </c>
    </row>
    <row r="34" spans="2:9" s="201" customFormat="1" ht="12"/>
    <row r="35" spans="2:9" s="201" customFormat="1" ht="12">
      <c r="B35" s="366" t="s">
        <v>2026</v>
      </c>
      <c r="C35" s="366"/>
      <c r="D35" s="366"/>
      <c r="E35" s="366"/>
      <c r="F35" s="366"/>
      <c r="G35" s="366"/>
      <c r="H35" s="366"/>
      <c r="I35" s="206">
        <f>I19+I25+I29+I33</f>
        <v>13800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C22:D22"/>
    <mergeCell ref="B23:H23"/>
    <mergeCell ref="B24:G24"/>
    <mergeCell ref="B25:H25"/>
    <mergeCell ref="B26:I26"/>
    <mergeCell ref="B29:H29"/>
    <mergeCell ref="B30:I30"/>
    <mergeCell ref="C31:D31"/>
    <mergeCell ref="B33:H33"/>
    <mergeCell ref="B35:H35"/>
    <mergeCell ref="C32:D3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7C13-11F0-47AD-8829-BA680D9BF88E}">
  <sheetPr codeName="Hoja58"/>
  <dimension ref="B3:I41"/>
  <sheetViews>
    <sheetView zoomScale="106" zoomScaleNormal="106" workbookViewId="0">
      <selection activeCell="I13" sqref="I13"/>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3.75" customHeight="1">
      <c r="B13" s="13" t="s">
        <v>1572</v>
      </c>
      <c r="C13" s="283" t="s">
        <v>1896</v>
      </c>
      <c r="D13" s="284"/>
      <c r="E13" s="284"/>
      <c r="F13" s="285"/>
      <c r="G13" s="286" t="s">
        <v>1317</v>
      </c>
      <c r="H13" s="286"/>
      <c r="I13" s="114">
        <v>34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1267</v>
      </c>
      <c r="C18" s="288" t="str">
        <f>VLOOKUP(B18,'MAQUINARIA Y EQUIPOS  '!C6:F94,2,FALSE)</f>
        <v xml:space="preserve">Pluma grua </v>
      </c>
      <c r="D18" s="265"/>
      <c r="E18" s="88" t="str">
        <f>VLOOKUP(B18,'MAQUINARIA Y EQUIPOS  '!C6:F94,3,FALSE)</f>
        <v>HH</v>
      </c>
      <c r="F18" s="86">
        <f>VLOOKUP(B18,'MAQUINARIA Y EQUIPOS  '!C6:F94,4,FALSE)</f>
        <v>10500</v>
      </c>
      <c r="G18" s="71">
        <v>0.625</v>
      </c>
      <c r="H18" s="116">
        <f>F18*G18</f>
        <v>6562.5</v>
      </c>
      <c r="I18" s="287"/>
    </row>
    <row r="19" spans="2:9">
      <c r="B19" s="71" t="s">
        <v>62</v>
      </c>
      <c r="C19" s="288" t="str">
        <f>VLOOKUP(B19,'MAQUINARIA Y EQUIPOS  '!C7:F95,2,FALSE)</f>
        <v xml:space="preserve">HERRAMIENTAS MENORES </v>
      </c>
      <c r="D19" s="265"/>
      <c r="E19" s="71" t="str">
        <f>VLOOKUP(B19,'MAQUINARIA Y EQUIPOS  '!C7:F95,3,FALSE)</f>
        <v>GLB</v>
      </c>
      <c r="F19" s="86">
        <f>VLOOKUP(B19,'MAQUINARIA Y EQUIPOS  '!C7:F95,4,FALSE)</f>
        <v>10714</v>
      </c>
      <c r="G19" s="133">
        <v>0.1</v>
      </c>
      <c r="H19" s="116">
        <f>F19*G19</f>
        <v>1071.4000000000001</v>
      </c>
      <c r="I19" s="287"/>
    </row>
    <row r="20" spans="2:9">
      <c r="B20" s="71" t="s">
        <v>347</v>
      </c>
      <c r="C20" s="258" t="str">
        <f>VLOOKUP(B20,'MAQUINARIA Y EQUIPOS  '!C7:F95,2,FALSE)</f>
        <v>Andamio (2cuerpo)</v>
      </c>
      <c r="D20" s="258"/>
      <c r="E20" s="88" t="str">
        <f>VLOOKUP(B20,'MAQUINARIA Y EQUIPOS  '!C7:F95,3,FALSE)</f>
        <v>DIA</v>
      </c>
      <c r="F20" s="86">
        <f>VLOOKUP(B20,'MAQUINARIA Y EQUIPOS  '!C7:F95,4,FALSE)</f>
        <v>10000</v>
      </c>
      <c r="G20" s="131">
        <v>0.53300000000000003</v>
      </c>
      <c r="H20" s="130">
        <f>F20*G20</f>
        <v>5330</v>
      </c>
      <c r="I20" s="287"/>
    </row>
    <row r="21" spans="2:9" ht="12">
      <c r="B21" s="89"/>
      <c r="C21" s="89"/>
      <c r="D21" s="89"/>
      <c r="E21" s="89"/>
      <c r="F21" s="89"/>
      <c r="G21" s="89"/>
      <c r="H21" s="89" t="s">
        <v>64</v>
      </c>
      <c r="I21" s="90">
        <f>SUM(H18:H20)</f>
        <v>12963.9</v>
      </c>
    </row>
    <row r="22" spans="2:9" ht="12">
      <c r="B22" s="78"/>
      <c r="C22" s="289" t="s">
        <v>65</v>
      </c>
      <c r="D22" s="289"/>
      <c r="E22" s="78"/>
      <c r="F22" s="78"/>
      <c r="G22" s="78"/>
      <c r="H22" s="78"/>
      <c r="I22" s="79"/>
    </row>
    <row r="23" spans="2:9" ht="12">
      <c r="B23" s="70" t="s">
        <v>42</v>
      </c>
      <c r="C23" s="283" t="s">
        <v>58</v>
      </c>
      <c r="D23" s="285"/>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t="str">
        <f>VLOOKUP(B26,'INSUMOS '!C4:G951,2,FALSE)</f>
        <v xml:space="preserve">Cinta de enmascarar de alta adherencia </v>
      </c>
      <c r="D26" s="291"/>
      <c r="E26" s="97" t="str">
        <f>VLOOKUP(B26,'INSUMOS '!C4:G951,3,FALSE)</f>
        <v>m</v>
      </c>
      <c r="F26" s="98">
        <f>VLOOKUP(B26,'INSUMOS '!C4:G951,4,FALSE)</f>
        <v>500</v>
      </c>
      <c r="G26" s="71">
        <v>1.35</v>
      </c>
      <c r="H26" s="83">
        <f>+G26*F26</f>
        <v>675</v>
      </c>
      <c r="I26" s="287"/>
    </row>
    <row r="27" spans="2:9">
      <c r="B27" s="71" t="s">
        <v>798</v>
      </c>
      <c r="C27" s="290" t="str">
        <f>VLOOKUP(B27,'INSUMOS '!C5:G952,2,FALSE)</f>
        <v>CINTA AISLANTE X20MT</v>
      </c>
      <c r="D27" s="291"/>
      <c r="E27" s="97" t="str">
        <f>VLOOKUP(B27,'INSUMOS '!C5:G952,3,FALSE)</f>
        <v>rl</v>
      </c>
      <c r="F27" s="98">
        <f>VLOOKUP(B27,'INSUMOS '!C5:G952,4,FALSE)</f>
        <v>24900</v>
      </c>
      <c r="G27" s="71">
        <v>0.05</v>
      </c>
      <c r="H27" s="83">
        <f>+G27*F27</f>
        <v>1245</v>
      </c>
      <c r="I27" s="287"/>
    </row>
    <row r="28" spans="2:9" ht="12">
      <c r="B28" s="89"/>
      <c r="C28" s="89"/>
      <c r="D28" s="89"/>
      <c r="E28" s="89"/>
      <c r="F28" s="89"/>
      <c r="G28" s="258" t="s">
        <v>64</v>
      </c>
      <c r="H28" s="258"/>
      <c r="I28" s="85">
        <f>SUM(H24:H27)</f>
        <v>10420</v>
      </c>
    </row>
    <row r="29" spans="2:9" ht="12">
      <c r="B29" s="89"/>
      <c r="C29" s="89"/>
      <c r="D29" s="89"/>
      <c r="E29" s="89"/>
      <c r="F29" s="89"/>
      <c r="G29" s="99" t="s">
        <v>72</v>
      </c>
      <c r="H29" s="100">
        <v>0.05</v>
      </c>
      <c r="I29" s="101">
        <f>I28*H29</f>
        <v>521</v>
      </c>
    </row>
    <row r="30" spans="2:9" ht="12">
      <c r="B30" s="89"/>
      <c r="C30" s="89"/>
      <c r="D30" s="89"/>
      <c r="E30" s="89"/>
      <c r="F30" s="89"/>
      <c r="G30" s="258" t="s">
        <v>73</v>
      </c>
      <c r="H30" s="258"/>
      <c r="I30" s="90">
        <f>SUM(I28:I29)</f>
        <v>10941</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v>0.05</v>
      </c>
      <c r="F33" s="70">
        <v>19</v>
      </c>
      <c r="G33" s="102">
        <f>VLOOKUP(B33,'MAQUINARIA Y EQUIPOS  '!C7:F95,4,FALSE)</f>
        <v>1500</v>
      </c>
      <c r="H33" s="103">
        <f>+F33*G33*E33</f>
        <v>1425</v>
      </c>
      <c r="I33" s="301"/>
    </row>
    <row r="34" spans="2:9">
      <c r="B34" s="71"/>
      <c r="C34" s="71"/>
      <c r="D34" s="82"/>
      <c r="E34" s="71"/>
      <c r="F34" s="71"/>
      <c r="G34" s="86"/>
      <c r="H34" s="86"/>
      <c r="I34" s="301"/>
    </row>
    <row r="35" spans="2:9" ht="12">
      <c r="B35" s="89"/>
      <c r="C35" s="89"/>
      <c r="D35" s="89"/>
      <c r="E35" s="89"/>
      <c r="F35" s="89"/>
      <c r="G35" s="302" t="s">
        <v>64</v>
      </c>
      <c r="H35" s="302"/>
      <c r="I35" s="104">
        <f>+H33</f>
        <v>1425</v>
      </c>
    </row>
    <row r="36" spans="2:9" ht="12">
      <c r="B36" s="78"/>
      <c r="C36" s="289" t="s">
        <v>75</v>
      </c>
      <c r="D36" s="289"/>
      <c r="E36" s="78"/>
      <c r="F36" s="78"/>
      <c r="G36" s="78"/>
      <c r="H36" s="78"/>
      <c r="I36" s="79"/>
    </row>
    <row r="37" spans="2:9" ht="12">
      <c r="B37" s="105" t="s">
        <v>42</v>
      </c>
      <c r="C37" s="105" t="s">
        <v>76</v>
      </c>
      <c r="D37" s="105" t="s">
        <v>1221</v>
      </c>
      <c r="E37" s="105" t="s">
        <v>1</v>
      </c>
      <c r="F37" s="105" t="s">
        <v>77</v>
      </c>
      <c r="G37" s="105" t="s">
        <v>78</v>
      </c>
      <c r="H37" s="105" t="s">
        <v>79</v>
      </c>
      <c r="I37" s="294"/>
    </row>
    <row r="38" spans="2:9" ht="27.75" customHeight="1">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G38" s="121">
        <v>0.53300000000000003</v>
      </c>
      <c r="H38" s="94">
        <f>F38*G38*D38</f>
        <v>35277.9375</v>
      </c>
      <c r="I38" s="294"/>
    </row>
    <row r="39" spans="2:9">
      <c r="B39" s="106"/>
      <c r="C39" s="106"/>
      <c r="D39" s="106"/>
      <c r="E39" s="106"/>
      <c r="F39" s="86"/>
      <c r="G39" s="121"/>
      <c r="H39" s="94"/>
      <c r="I39" s="294"/>
    </row>
    <row r="40" spans="2:9" ht="12">
      <c r="B40" s="108"/>
      <c r="C40" s="109"/>
      <c r="D40" s="109"/>
      <c r="E40" s="109"/>
      <c r="F40" s="110"/>
      <c r="G40" s="110"/>
      <c r="H40" s="111" t="s">
        <v>64</v>
      </c>
      <c r="I40" s="112">
        <f>SUM(H38:H39)</f>
        <v>35277.9375</v>
      </c>
    </row>
    <row r="41" spans="2:9" ht="12">
      <c r="B41" s="295" t="s">
        <v>83</v>
      </c>
      <c r="C41" s="296"/>
      <c r="D41" s="297" t="s">
        <v>77</v>
      </c>
      <c r="E41" s="298"/>
      <c r="F41" s="298"/>
      <c r="G41" s="298"/>
      <c r="H41" s="299"/>
      <c r="I41" s="113">
        <f>SUM(I21+I35+I30+I40)</f>
        <v>60607.837500000001</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CEE57-8F16-4EB0-8103-83EAC1D90BEE}">
  <sheetPr codeName="Hoja155"/>
  <dimension ref="B3:I37"/>
  <sheetViews>
    <sheetView topLeftCell="A10" zoomScaleNormal="100" workbookViewId="0">
      <selection activeCell="I14" sqref="I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1784</v>
      </c>
      <c r="C13" s="355" t="s">
        <v>1788</v>
      </c>
      <c r="D13" s="355"/>
      <c r="E13" s="355"/>
      <c r="F13" s="355"/>
      <c r="G13" s="286" t="s">
        <v>342</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9" customFormat="1" ht="15" customHeight="1">
      <c r="B16" s="372" t="s">
        <v>57</v>
      </c>
      <c r="C16" s="372"/>
      <c r="D16" s="372"/>
      <c r="E16" s="372"/>
      <c r="F16" s="372"/>
      <c r="G16" s="372"/>
      <c r="H16" s="372"/>
      <c r="I16" s="372"/>
    </row>
    <row r="17" spans="2:9" s="209" customFormat="1" ht="15" customHeight="1">
      <c r="B17" s="210" t="s">
        <v>42</v>
      </c>
      <c r="C17" s="372" t="s">
        <v>58</v>
      </c>
      <c r="D17" s="372"/>
      <c r="E17" s="210" t="s">
        <v>1</v>
      </c>
      <c r="F17" s="210" t="s">
        <v>60</v>
      </c>
      <c r="G17" s="210"/>
      <c r="H17" s="210" t="s">
        <v>61</v>
      </c>
      <c r="I17" s="210" t="s">
        <v>79</v>
      </c>
    </row>
    <row r="18" spans="2:9" s="209" customFormat="1" ht="28.35" customHeight="1">
      <c r="B18" s="211" t="s">
        <v>2007</v>
      </c>
      <c r="C18" s="373" t="s">
        <v>2008</v>
      </c>
      <c r="D18" s="373"/>
      <c r="E18" s="211" t="s">
        <v>390</v>
      </c>
      <c r="F18" s="211">
        <v>1</v>
      </c>
      <c r="G18" s="211"/>
      <c r="H18" s="211">
        <v>3607</v>
      </c>
      <c r="I18" s="211">
        <f>H18/F18</f>
        <v>3607</v>
      </c>
    </row>
    <row r="19" spans="2:9" s="209" customFormat="1" ht="12">
      <c r="B19" s="371" t="s">
        <v>2001</v>
      </c>
      <c r="C19" s="371"/>
      <c r="D19" s="371"/>
      <c r="E19" s="371"/>
      <c r="F19" s="371"/>
      <c r="G19" s="371"/>
      <c r="H19" s="371"/>
      <c r="I19" s="210">
        <f>SUM(I18:I18)</f>
        <v>3607</v>
      </c>
    </row>
    <row r="20" spans="2:9" s="209" customFormat="1" ht="15" customHeight="1">
      <c r="B20" s="372" t="s">
        <v>2009</v>
      </c>
      <c r="C20" s="372"/>
      <c r="D20" s="372"/>
      <c r="E20" s="372"/>
      <c r="F20" s="372"/>
      <c r="G20" s="372"/>
      <c r="H20" s="372"/>
      <c r="I20" s="372"/>
    </row>
    <row r="21" spans="2:9" s="209" customFormat="1" ht="15" customHeight="1">
      <c r="B21" s="210" t="s">
        <v>42</v>
      </c>
      <c r="C21" s="372" t="s">
        <v>58</v>
      </c>
      <c r="D21" s="372"/>
      <c r="E21" s="210" t="s">
        <v>1</v>
      </c>
      <c r="F21" s="210" t="s">
        <v>67</v>
      </c>
      <c r="G21" s="210"/>
      <c r="H21" s="210" t="s">
        <v>61</v>
      </c>
      <c r="I21" s="210" t="s">
        <v>79</v>
      </c>
    </row>
    <row r="22" spans="2:9" s="209" customFormat="1" ht="15" customHeight="1">
      <c r="B22" s="211" t="s">
        <v>2082</v>
      </c>
      <c r="C22" s="373" t="s">
        <v>1788</v>
      </c>
      <c r="D22" s="373"/>
      <c r="E22" s="211" t="s">
        <v>780</v>
      </c>
      <c r="F22" s="211">
        <v>1</v>
      </c>
      <c r="G22" s="211"/>
      <c r="H22" s="211">
        <v>181390.63</v>
      </c>
      <c r="I22" s="211">
        <f>F22*H22</f>
        <v>181390.63</v>
      </c>
    </row>
    <row r="23" spans="2:9" s="209" customFormat="1" ht="15" customHeight="1">
      <c r="B23" s="211" t="s">
        <v>2083</v>
      </c>
      <c r="C23" s="373" t="s">
        <v>2084</v>
      </c>
      <c r="D23" s="373"/>
      <c r="E23" s="211" t="s">
        <v>390</v>
      </c>
      <c r="F23" s="211">
        <v>1</v>
      </c>
      <c r="G23" s="211"/>
      <c r="H23" s="211">
        <v>24735.09</v>
      </c>
      <c r="I23" s="211">
        <f>F23*H23</f>
        <v>24735.09</v>
      </c>
    </row>
    <row r="24" spans="2:9" s="209" customFormat="1" ht="12">
      <c r="B24" s="371" t="s">
        <v>2001</v>
      </c>
      <c r="C24" s="371"/>
      <c r="D24" s="371"/>
      <c r="E24" s="371"/>
      <c r="F24" s="371"/>
      <c r="G24" s="371"/>
      <c r="H24" s="371"/>
      <c r="I24" s="210">
        <f>SUM(I22:I23)</f>
        <v>206125.72</v>
      </c>
    </row>
    <row r="25" spans="2:9" s="209" customFormat="1" ht="12">
      <c r="B25" s="371" t="s">
        <v>1062</v>
      </c>
      <c r="C25" s="371"/>
      <c r="D25" s="371"/>
      <c r="E25" s="371"/>
      <c r="F25" s="371"/>
      <c r="G25" s="371"/>
      <c r="H25" s="211">
        <v>0.05</v>
      </c>
      <c r="I25" s="211">
        <f>I24*H25</f>
        <v>10306.286</v>
      </c>
    </row>
    <row r="26" spans="2:9" s="209" customFormat="1" ht="12">
      <c r="B26" s="371" t="s">
        <v>73</v>
      </c>
      <c r="C26" s="371"/>
      <c r="D26" s="371"/>
      <c r="E26" s="371"/>
      <c r="F26" s="371"/>
      <c r="G26" s="371"/>
      <c r="H26" s="371"/>
      <c r="I26" s="210">
        <f>I24+I25</f>
        <v>216432.00599999999</v>
      </c>
    </row>
    <row r="27" spans="2:9" s="209" customFormat="1" ht="15" customHeight="1">
      <c r="B27" s="372" t="s">
        <v>2016</v>
      </c>
      <c r="C27" s="372"/>
      <c r="D27" s="372"/>
      <c r="E27" s="372"/>
      <c r="F27" s="372"/>
      <c r="G27" s="372"/>
      <c r="H27" s="372"/>
      <c r="I27" s="372"/>
    </row>
    <row r="28" spans="2:9" s="209" customFormat="1" ht="12">
      <c r="B28" s="210" t="s">
        <v>42</v>
      </c>
      <c r="C28" s="210" t="s">
        <v>58</v>
      </c>
      <c r="D28" s="210" t="s">
        <v>136</v>
      </c>
      <c r="E28" s="210" t="s">
        <v>0</v>
      </c>
      <c r="F28" s="210" t="s">
        <v>2017</v>
      </c>
      <c r="G28" s="210" t="s">
        <v>345</v>
      </c>
      <c r="H28" s="210" t="s">
        <v>61</v>
      </c>
      <c r="I28" s="210" t="s">
        <v>79</v>
      </c>
    </row>
    <row r="29" spans="2:9" s="209" customFormat="1" ht="12">
      <c r="B29" s="211" t="s">
        <v>2018</v>
      </c>
      <c r="C29" s="212" t="s">
        <v>2049</v>
      </c>
      <c r="D29" s="211" t="s">
        <v>390</v>
      </c>
      <c r="E29" s="211">
        <v>1</v>
      </c>
      <c r="F29" s="211">
        <v>1</v>
      </c>
      <c r="G29" s="211">
        <v>6012</v>
      </c>
      <c r="H29" s="211">
        <f>E29*F29*G29</f>
        <v>6012</v>
      </c>
      <c r="I29" s="211">
        <f>H29</f>
        <v>6012</v>
      </c>
    </row>
    <row r="30" spans="2:9" s="209" customFormat="1" ht="12">
      <c r="B30" s="371" t="s">
        <v>2001</v>
      </c>
      <c r="C30" s="371"/>
      <c r="D30" s="371"/>
      <c r="E30" s="371"/>
      <c r="F30" s="371"/>
      <c r="G30" s="371"/>
      <c r="H30" s="371"/>
      <c r="I30" s="210">
        <f>SUM(I29:I29)</f>
        <v>6012</v>
      </c>
    </row>
    <row r="31" spans="2:9" s="209" customFormat="1" ht="15" customHeight="1">
      <c r="B31" s="372" t="s">
        <v>2020</v>
      </c>
      <c r="C31" s="372"/>
      <c r="D31" s="372"/>
      <c r="E31" s="372"/>
      <c r="F31" s="372"/>
      <c r="G31" s="372"/>
      <c r="H31" s="372"/>
      <c r="I31" s="372"/>
    </row>
    <row r="32" spans="2:9" s="209" customFormat="1" ht="28.35" customHeight="1">
      <c r="B32" s="210" t="s">
        <v>42</v>
      </c>
      <c r="C32" s="372" t="s">
        <v>84</v>
      </c>
      <c r="D32" s="372"/>
      <c r="E32" s="210" t="s">
        <v>2021</v>
      </c>
      <c r="F32" s="210" t="s">
        <v>1</v>
      </c>
      <c r="G32" s="210" t="s">
        <v>77</v>
      </c>
      <c r="H32" s="210" t="s">
        <v>78</v>
      </c>
      <c r="I32" s="210" t="s">
        <v>79</v>
      </c>
    </row>
    <row r="33" spans="2:9" s="209" customFormat="1" ht="15" customHeight="1">
      <c r="B33" s="211" t="s">
        <v>2022</v>
      </c>
      <c r="C33" s="373" t="s">
        <v>2085</v>
      </c>
      <c r="D33" s="373"/>
      <c r="E33" s="211">
        <v>1</v>
      </c>
      <c r="F33" s="211" t="s">
        <v>213</v>
      </c>
      <c r="G33" s="211">
        <v>21500</v>
      </c>
      <c r="H33" s="211">
        <f>E33*G33/I33</f>
        <v>0.28840094072899225</v>
      </c>
      <c r="I33" s="211">
        <f>300600-I19-I26-I30-0</f>
        <v>74548.994000000006</v>
      </c>
    </row>
    <row r="34" spans="2:9" s="209" customFormat="1" ht="12">
      <c r="B34" s="371" t="s">
        <v>2001</v>
      </c>
      <c r="C34" s="371"/>
      <c r="D34" s="371"/>
      <c r="E34" s="371"/>
      <c r="F34" s="371"/>
      <c r="G34" s="371"/>
      <c r="H34" s="371"/>
      <c r="I34" s="210">
        <f>SUM(I33:I33)</f>
        <v>74548.994000000006</v>
      </c>
    </row>
    <row r="35" spans="2:9" s="209" customFormat="1" ht="12"/>
    <row r="36" spans="2:9" s="209" customFormat="1" ht="12">
      <c r="B36" s="374" t="s">
        <v>2026</v>
      </c>
      <c r="C36" s="374"/>
      <c r="D36" s="374"/>
      <c r="E36" s="374"/>
      <c r="F36" s="374"/>
      <c r="G36" s="374"/>
      <c r="H36" s="374"/>
      <c r="I36" s="213">
        <f>I19+I26+I30+I34</f>
        <v>300600</v>
      </c>
    </row>
    <row r="37" spans="2:9" customFormat="1" ht="15" customHeight="1"/>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B16:I16"/>
    <mergeCell ref="C17:D17"/>
    <mergeCell ref="C18:D18"/>
    <mergeCell ref="B19:H19"/>
    <mergeCell ref="B20:I20"/>
    <mergeCell ref="C21:D21"/>
    <mergeCell ref="C23:D23"/>
    <mergeCell ref="B24:H24"/>
    <mergeCell ref="B25:G25"/>
    <mergeCell ref="B26:H26"/>
    <mergeCell ref="B27:I27"/>
    <mergeCell ref="B30:H30"/>
    <mergeCell ref="B31:I31"/>
    <mergeCell ref="C33:D33"/>
    <mergeCell ref="B34:H34"/>
    <mergeCell ref="B36:H36"/>
    <mergeCell ref="C32:D32"/>
  </mergeCells>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F215B-700A-44E4-B041-42F26A9FD14C}">
  <sheetPr codeName="Hoja156"/>
  <dimension ref="B3:I37"/>
  <sheetViews>
    <sheetView topLeftCell="A4"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1789</v>
      </c>
      <c r="C13" s="355" t="s">
        <v>2086</v>
      </c>
      <c r="D13" s="355"/>
      <c r="E13" s="355"/>
      <c r="F13" s="355"/>
      <c r="G13" s="286" t="s">
        <v>159</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272</v>
      </c>
      <c r="I18" s="24">
        <f>H18/F18</f>
        <v>272</v>
      </c>
    </row>
    <row r="19" spans="2:9" s="201" customFormat="1" ht="12">
      <c r="B19" s="365" t="s">
        <v>2001</v>
      </c>
      <c r="C19" s="365"/>
      <c r="D19" s="365"/>
      <c r="E19" s="365"/>
      <c r="F19" s="365"/>
      <c r="G19" s="365"/>
      <c r="H19" s="365"/>
      <c r="I19" s="202">
        <f>SUM(I18:I18)</f>
        <v>272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1881</v>
      </c>
      <c r="C22" s="368" t="s">
        <v>2086</v>
      </c>
      <c r="D22" s="368"/>
      <c r="E22" s="24" t="s">
        <v>159</v>
      </c>
      <c r="F22" s="204">
        <v>1</v>
      </c>
      <c r="G22" s="24"/>
      <c r="H22" s="24">
        <v>14618.07</v>
      </c>
      <c r="I22" s="24">
        <f>F22*H22</f>
        <v>14618.07</v>
      </c>
    </row>
    <row r="23" spans="2:9" s="201" customFormat="1" ht="28.35" customHeight="1">
      <c r="B23" s="24" t="s">
        <v>2064</v>
      </c>
      <c r="C23" s="368" t="s">
        <v>2065</v>
      </c>
      <c r="D23" s="368"/>
      <c r="E23" s="24" t="s">
        <v>390</v>
      </c>
      <c r="F23" s="204">
        <v>1</v>
      </c>
      <c r="G23" s="24"/>
      <c r="H23" s="24">
        <v>1604.42</v>
      </c>
      <c r="I23" s="24">
        <f>F23*H23</f>
        <v>1604.42</v>
      </c>
    </row>
    <row r="24" spans="2:9" s="201" customFormat="1" ht="15" customHeight="1">
      <c r="B24" s="24" t="s">
        <v>2066</v>
      </c>
      <c r="C24" s="368" t="s">
        <v>2037</v>
      </c>
      <c r="D24" s="368"/>
      <c r="E24" s="24" t="s">
        <v>390</v>
      </c>
      <c r="F24" s="204">
        <v>1</v>
      </c>
      <c r="G24" s="24"/>
      <c r="H24" s="24">
        <v>1604.42</v>
      </c>
      <c r="I24" s="24">
        <f>F24*H24</f>
        <v>1604.42</v>
      </c>
    </row>
    <row r="25" spans="2:9" s="201" customFormat="1" ht="12">
      <c r="B25" s="365" t="s">
        <v>2001</v>
      </c>
      <c r="C25" s="365"/>
      <c r="D25" s="365"/>
      <c r="E25" s="365"/>
      <c r="F25" s="365"/>
      <c r="G25" s="365"/>
      <c r="H25" s="365"/>
      <c r="I25" s="202">
        <f>SUM(I22:I24)</f>
        <v>17826.91</v>
      </c>
    </row>
    <row r="26" spans="2:9" s="201" customFormat="1" ht="12">
      <c r="B26" s="365" t="s">
        <v>1062</v>
      </c>
      <c r="C26" s="365"/>
      <c r="D26" s="365"/>
      <c r="E26" s="365"/>
      <c r="F26" s="365"/>
      <c r="G26" s="365"/>
      <c r="H26" s="24">
        <v>0.05</v>
      </c>
      <c r="I26" s="24">
        <f>I25*H26</f>
        <v>891.34550000000002</v>
      </c>
    </row>
    <row r="27" spans="2:9" s="201" customFormat="1" ht="12">
      <c r="B27" s="365" t="s">
        <v>73</v>
      </c>
      <c r="C27" s="365"/>
      <c r="D27" s="365"/>
      <c r="E27" s="365"/>
      <c r="F27" s="365"/>
      <c r="G27" s="365"/>
      <c r="H27" s="365"/>
      <c r="I27" s="202">
        <f>I25+I26</f>
        <v>18718.255499999999</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c r="B30" s="24" t="s">
        <v>2018</v>
      </c>
      <c r="C30" s="203" t="s">
        <v>2038</v>
      </c>
      <c r="D30" s="24" t="s">
        <v>390</v>
      </c>
      <c r="E30" s="204">
        <v>1</v>
      </c>
      <c r="F30" s="204">
        <v>1</v>
      </c>
      <c r="G30" s="24">
        <v>1020.996</v>
      </c>
      <c r="H30" s="24">
        <f>E30*F30*G30</f>
        <v>1020.996</v>
      </c>
      <c r="I30" s="24">
        <f>H30</f>
        <v>1020.996</v>
      </c>
    </row>
    <row r="31" spans="2:9" s="201" customFormat="1" ht="12">
      <c r="B31" s="365" t="s">
        <v>2001</v>
      </c>
      <c r="C31" s="365"/>
      <c r="D31" s="365"/>
      <c r="E31" s="365"/>
      <c r="F31" s="365"/>
      <c r="G31" s="365"/>
      <c r="H31" s="365"/>
      <c r="I31" s="202">
        <f>SUM(I30:I30)</f>
        <v>1020.996</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15" customHeight="1">
      <c r="B34" s="24" t="s">
        <v>2022</v>
      </c>
      <c r="C34" s="368" t="s">
        <v>2067</v>
      </c>
      <c r="D34" s="368"/>
      <c r="E34" s="204">
        <v>0.42</v>
      </c>
      <c r="F34" s="24" t="s">
        <v>213</v>
      </c>
      <c r="G34" s="24">
        <v>19000</v>
      </c>
      <c r="H34" s="205">
        <f>E34*G34/I34</f>
        <v>0.56910778127590478</v>
      </c>
      <c r="I34" s="24">
        <f>34033.2-I19-I27-I31-0</f>
        <v>14021.948499999999</v>
      </c>
    </row>
    <row r="35" spans="2:9" s="201" customFormat="1" ht="12">
      <c r="B35" s="365" t="s">
        <v>2001</v>
      </c>
      <c r="C35" s="365"/>
      <c r="D35" s="365"/>
      <c r="E35" s="365"/>
      <c r="F35" s="365"/>
      <c r="G35" s="365"/>
      <c r="H35" s="365"/>
      <c r="I35" s="202">
        <f>SUM(I34:I34)</f>
        <v>14021.948499999999</v>
      </c>
    </row>
    <row r="36" spans="2:9" s="201" customFormat="1"/>
    <row r="37" spans="2:9" s="201" customFormat="1" ht="12">
      <c r="B37" s="369" t="s">
        <v>2026</v>
      </c>
      <c r="C37" s="369"/>
      <c r="D37" s="369"/>
      <c r="E37" s="369"/>
      <c r="F37" s="369"/>
      <c r="G37" s="369"/>
      <c r="H37" s="369"/>
      <c r="I37" s="202">
        <f>I19+I27+I31+I35</f>
        <v>34033.199999999997</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7:H37"/>
    <mergeCell ref="C33:D33"/>
    <mergeCell ref="C22:D22"/>
    <mergeCell ref="C23:D23"/>
    <mergeCell ref="C24:D24"/>
    <mergeCell ref="B25:H25"/>
    <mergeCell ref="B26:G26"/>
    <mergeCell ref="B27:H27"/>
    <mergeCell ref="B28:I28"/>
    <mergeCell ref="B31:H31"/>
    <mergeCell ref="B32:I32"/>
    <mergeCell ref="C34:D34"/>
    <mergeCell ref="B35:H35"/>
  </mergeCell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FCF4-D818-4C8B-9C4C-A74852E962BD}">
  <sheetPr codeName="Hoja157"/>
  <dimension ref="B3:I36"/>
  <sheetViews>
    <sheetView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1790</v>
      </c>
      <c r="C13" s="355" t="s">
        <v>2087</v>
      </c>
      <c r="D13" s="355"/>
      <c r="E13" s="355"/>
      <c r="F13" s="355"/>
      <c r="G13" s="286" t="s">
        <v>780</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154</v>
      </c>
      <c r="I18" s="189">
        <f>H18/F18</f>
        <v>154</v>
      </c>
    </row>
    <row r="19" spans="2:9" s="193" customFormat="1" ht="12">
      <c r="B19" s="362" t="s">
        <v>2001</v>
      </c>
      <c r="C19" s="362"/>
      <c r="D19" s="362"/>
      <c r="E19" s="362"/>
      <c r="F19" s="362"/>
      <c r="G19" s="362"/>
      <c r="H19" s="362"/>
      <c r="I19" s="190">
        <f>SUM(I18:I18)</f>
        <v>154</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2069</v>
      </c>
      <c r="C22" s="361" t="s">
        <v>2087</v>
      </c>
      <c r="D22" s="361"/>
      <c r="E22" s="17" t="s">
        <v>780</v>
      </c>
      <c r="F22" s="17">
        <v>1</v>
      </c>
      <c r="G22" s="17"/>
      <c r="H22" s="189">
        <v>7709.26</v>
      </c>
      <c r="I22" s="189">
        <f>F22*H22</f>
        <v>7709.26</v>
      </c>
    </row>
    <row r="23" spans="2:9" s="193" customFormat="1" ht="15" customHeight="1">
      <c r="B23" s="17" t="s">
        <v>2070</v>
      </c>
      <c r="C23" s="361" t="s">
        <v>2071</v>
      </c>
      <c r="D23" s="361"/>
      <c r="E23" s="17" t="s">
        <v>390</v>
      </c>
      <c r="F23" s="17">
        <v>1</v>
      </c>
      <c r="G23" s="17"/>
      <c r="H23" s="189">
        <v>1360.46</v>
      </c>
      <c r="I23" s="189">
        <f>F23*H23</f>
        <v>1360.46</v>
      </c>
    </row>
    <row r="24" spans="2:9" s="193" customFormat="1" ht="12">
      <c r="B24" s="362" t="s">
        <v>2001</v>
      </c>
      <c r="C24" s="362"/>
      <c r="D24" s="362"/>
      <c r="E24" s="362"/>
      <c r="F24" s="362"/>
      <c r="G24" s="362"/>
      <c r="H24" s="362"/>
      <c r="I24" s="190">
        <f>SUM(I22:I23)</f>
        <v>9069.7200000000012</v>
      </c>
    </row>
    <row r="25" spans="2:9" s="193" customFormat="1" ht="12">
      <c r="B25" s="362" t="s">
        <v>1062</v>
      </c>
      <c r="C25" s="362"/>
      <c r="D25" s="362"/>
      <c r="E25" s="362"/>
      <c r="F25" s="362"/>
      <c r="G25" s="362"/>
      <c r="H25" s="191">
        <v>0.05</v>
      </c>
      <c r="I25" s="189">
        <f>I24*H25</f>
        <v>453.4860000000001</v>
      </c>
    </row>
    <row r="26" spans="2:9" s="193" customFormat="1" ht="12">
      <c r="B26" s="362" t="s">
        <v>73</v>
      </c>
      <c r="C26" s="362"/>
      <c r="D26" s="362"/>
      <c r="E26" s="362"/>
      <c r="F26" s="362"/>
      <c r="G26" s="362"/>
      <c r="H26" s="362"/>
      <c r="I26" s="190">
        <f>I24+I25</f>
        <v>9523.2060000000019</v>
      </c>
    </row>
    <row r="27" spans="2:9" s="193" customFormat="1" ht="15" customHeight="1">
      <c r="B27" s="360" t="s">
        <v>2016</v>
      </c>
      <c r="C27" s="360"/>
      <c r="D27" s="360"/>
      <c r="E27" s="360"/>
      <c r="F27" s="360"/>
      <c r="G27" s="360"/>
      <c r="H27" s="360"/>
      <c r="I27" s="360"/>
    </row>
    <row r="28" spans="2:9" s="193" customFormat="1" ht="12">
      <c r="B28" s="105" t="s">
        <v>42</v>
      </c>
      <c r="C28" s="105" t="s">
        <v>58</v>
      </c>
      <c r="D28" s="105" t="s">
        <v>136</v>
      </c>
      <c r="E28" s="105" t="s">
        <v>0</v>
      </c>
      <c r="F28" s="105" t="s">
        <v>2017</v>
      </c>
      <c r="G28" s="105" t="s">
        <v>345</v>
      </c>
      <c r="H28" s="105" t="s">
        <v>61</v>
      </c>
      <c r="I28" s="105" t="s">
        <v>79</v>
      </c>
    </row>
    <row r="29" spans="2:9" s="193" customFormat="1" ht="12">
      <c r="B29" s="17" t="s">
        <v>2018</v>
      </c>
      <c r="C29" s="188" t="s">
        <v>2042</v>
      </c>
      <c r="D29" s="17" t="s">
        <v>390</v>
      </c>
      <c r="E29" s="17">
        <v>1</v>
      </c>
      <c r="F29" s="17">
        <v>1</v>
      </c>
      <c r="G29" s="189">
        <v>307.2</v>
      </c>
      <c r="H29" s="189">
        <f>E29*F29*G29</f>
        <v>307.2</v>
      </c>
      <c r="I29" s="189">
        <f>H29</f>
        <v>307.2</v>
      </c>
    </row>
    <row r="30" spans="2:9" s="193" customFormat="1" ht="12">
      <c r="B30" s="362" t="s">
        <v>2001</v>
      </c>
      <c r="C30" s="362"/>
      <c r="D30" s="362"/>
      <c r="E30" s="362"/>
      <c r="F30" s="362"/>
      <c r="G30" s="362"/>
      <c r="H30" s="362"/>
      <c r="I30" s="190">
        <f>SUM(I29:I29)</f>
        <v>307.2</v>
      </c>
    </row>
    <row r="31" spans="2:9" s="193" customFormat="1" ht="15" customHeight="1">
      <c r="B31" s="360" t="s">
        <v>2020</v>
      </c>
      <c r="C31" s="360"/>
      <c r="D31" s="360"/>
      <c r="E31" s="360"/>
      <c r="F31" s="360"/>
      <c r="G31" s="360"/>
      <c r="H31" s="360"/>
      <c r="I31" s="360"/>
    </row>
    <row r="32" spans="2:9" s="193" customFormat="1" ht="28.35" customHeight="1">
      <c r="B32" s="105" t="s">
        <v>42</v>
      </c>
      <c r="C32" s="360" t="s">
        <v>84</v>
      </c>
      <c r="D32" s="360"/>
      <c r="E32" s="105" t="s">
        <v>2021</v>
      </c>
      <c r="F32" s="105" t="s">
        <v>1</v>
      </c>
      <c r="G32" s="105" t="s">
        <v>77</v>
      </c>
      <c r="H32" s="105" t="s">
        <v>78</v>
      </c>
      <c r="I32" s="105" t="s">
        <v>79</v>
      </c>
    </row>
    <row r="33" spans="2:9" s="193" customFormat="1" ht="15" customHeight="1">
      <c r="B33" s="17" t="s">
        <v>2022</v>
      </c>
      <c r="C33" s="361" t="s">
        <v>2043</v>
      </c>
      <c r="D33" s="361"/>
      <c r="E33" s="17">
        <v>0.38</v>
      </c>
      <c r="F33" s="17" t="s">
        <v>213</v>
      </c>
      <c r="G33" s="189">
        <v>19000</v>
      </c>
      <c r="H33" s="192">
        <f>E33*G33/I33</f>
        <v>1.343107384969922</v>
      </c>
      <c r="I33" s="189">
        <f>15360-I19-I26-I30-0</f>
        <v>5375.5939999999982</v>
      </c>
    </row>
    <row r="34" spans="2:9" s="193" customFormat="1" ht="12">
      <c r="B34" s="362" t="s">
        <v>2001</v>
      </c>
      <c r="C34" s="362"/>
      <c r="D34" s="362"/>
      <c r="E34" s="362"/>
      <c r="F34" s="362"/>
      <c r="G34" s="362"/>
      <c r="H34" s="362"/>
      <c r="I34" s="190">
        <f>SUM(I33:I33)</f>
        <v>5375.5939999999982</v>
      </c>
    </row>
    <row r="35" spans="2:9" s="193" customFormat="1"/>
    <row r="36" spans="2:9" s="193" customFormat="1" ht="12">
      <c r="B36" s="363" t="s">
        <v>2026</v>
      </c>
      <c r="C36" s="363"/>
      <c r="D36" s="363"/>
      <c r="E36" s="363"/>
      <c r="F36" s="363"/>
      <c r="G36" s="363"/>
      <c r="H36" s="363"/>
      <c r="I36" s="194">
        <f>I19+I26+I30+I34</f>
        <v>15360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6257-9B9F-447B-BE69-C0DA78680FFC}">
  <sheetPr codeName="Hoja158"/>
  <dimension ref="B3:I37"/>
  <sheetViews>
    <sheetView topLeftCell="A5"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1791</v>
      </c>
      <c r="C13" s="355" t="s">
        <v>2088</v>
      </c>
      <c r="D13" s="355"/>
      <c r="E13" s="355"/>
      <c r="F13" s="355"/>
      <c r="G13" s="286" t="s">
        <v>159</v>
      </c>
      <c r="H13" s="286"/>
      <c r="I13" s="114">
        <v>36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403</v>
      </c>
      <c r="I18" s="189">
        <f>H18/F18</f>
        <v>403</v>
      </c>
    </row>
    <row r="19" spans="2:9" s="193" customFormat="1" ht="12">
      <c r="B19" s="362" t="s">
        <v>2001</v>
      </c>
      <c r="C19" s="362"/>
      <c r="D19" s="362"/>
      <c r="E19" s="362"/>
      <c r="F19" s="362"/>
      <c r="G19" s="362"/>
      <c r="H19" s="362"/>
      <c r="I19" s="190">
        <f>SUM(I18:I18)</f>
        <v>403</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1881</v>
      </c>
      <c r="C22" s="361" t="s">
        <v>2088</v>
      </c>
      <c r="D22" s="361"/>
      <c r="E22" s="17" t="s">
        <v>159</v>
      </c>
      <c r="F22" s="17">
        <v>1</v>
      </c>
      <c r="G22" s="17"/>
      <c r="H22" s="189">
        <v>21644.91</v>
      </c>
      <c r="I22" s="189">
        <f>F22*H22</f>
        <v>21644.91</v>
      </c>
    </row>
    <row r="23" spans="2:9" s="193" customFormat="1" ht="28.35" customHeight="1">
      <c r="B23" s="17" t="s">
        <v>2064</v>
      </c>
      <c r="C23" s="361" t="s">
        <v>2065</v>
      </c>
      <c r="D23" s="361"/>
      <c r="E23" s="17" t="s">
        <v>390</v>
      </c>
      <c r="F23" s="17">
        <v>1</v>
      </c>
      <c r="G23" s="17"/>
      <c r="H23" s="189">
        <v>2375.66</v>
      </c>
      <c r="I23" s="189">
        <f>F23*H23</f>
        <v>2375.66</v>
      </c>
    </row>
    <row r="24" spans="2:9" s="193" customFormat="1" ht="15" customHeight="1">
      <c r="B24" s="17" t="s">
        <v>2066</v>
      </c>
      <c r="C24" s="361" t="s">
        <v>2037</v>
      </c>
      <c r="D24" s="361"/>
      <c r="E24" s="17" t="s">
        <v>390</v>
      </c>
      <c r="F24" s="17">
        <v>1</v>
      </c>
      <c r="G24" s="17"/>
      <c r="H24" s="189">
        <v>2375.66</v>
      </c>
      <c r="I24" s="189">
        <f>F24*H24</f>
        <v>2375.66</v>
      </c>
    </row>
    <row r="25" spans="2:9" s="193" customFormat="1" ht="12">
      <c r="B25" s="362" t="s">
        <v>2001</v>
      </c>
      <c r="C25" s="362"/>
      <c r="D25" s="362"/>
      <c r="E25" s="362"/>
      <c r="F25" s="362"/>
      <c r="G25" s="362"/>
      <c r="H25" s="362"/>
      <c r="I25" s="190">
        <f>SUM(I22:I24)</f>
        <v>26396.23</v>
      </c>
    </row>
    <row r="26" spans="2:9" s="193" customFormat="1" ht="12">
      <c r="B26" s="362" t="s">
        <v>1062</v>
      </c>
      <c r="C26" s="362"/>
      <c r="D26" s="362"/>
      <c r="E26" s="362"/>
      <c r="F26" s="362"/>
      <c r="G26" s="362"/>
      <c r="H26" s="191">
        <v>0.05</v>
      </c>
      <c r="I26" s="189">
        <f>I25*H26</f>
        <v>1319.8115</v>
      </c>
    </row>
    <row r="27" spans="2:9" s="193" customFormat="1" ht="12">
      <c r="B27" s="362" t="s">
        <v>73</v>
      </c>
      <c r="C27" s="362"/>
      <c r="D27" s="362"/>
      <c r="E27" s="362"/>
      <c r="F27" s="362"/>
      <c r="G27" s="362"/>
      <c r="H27" s="362"/>
      <c r="I27" s="190">
        <f>I25+I26</f>
        <v>27716.041499999999</v>
      </c>
    </row>
    <row r="28" spans="2:9" s="193" customFormat="1" ht="15" customHeight="1">
      <c r="B28" s="360" t="s">
        <v>2016</v>
      </c>
      <c r="C28" s="360"/>
      <c r="D28" s="360"/>
      <c r="E28" s="360"/>
      <c r="F28" s="360"/>
      <c r="G28" s="360"/>
      <c r="H28" s="360"/>
      <c r="I28" s="360"/>
    </row>
    <row r="29" spans="2:9" s="193" customFormat="1" ht="12">
      <c r="B29" s="105" t="s">
        <v>42</v>
      </c>
      <c r="C29" s="105" t="s">
        <v>58</v>
      </c>
      <c r="D29" s="105" t="s">
        <v>136</v>
      </c>
      <c r="E29" s="105" t="s">
        <v>0</v>
      </c>
      <c r="F29" s="105" t="s">
        <v>2017</v>
      </c>
      <c r="G29" s="105" t="s">
        <v>345</v>
      </c>
      <c r="H29" s="105" t="s">
        <v>61</v>
      </c>
      <c r="I29" s="105" t="s">
        <v>79</v>
      </c>
    </row>
    <row r="30" spans="2:9" s="193" customFormat="1">
      <c r="B30" s="17" t="s">
        <v>2018</v>
      </c>
      <c r="C30" s="188" t="s">
        <v>2038</v>
      </c>
      <c r="D30" s="17" t="s">
        <v>390</v>
      </c>
      <c r="E30" s="17">
        <v>1</v>
      </c>
      <c r="F30" s="17">
        <v>1</v>
      </c>
      <c r="G30" s="189">
        <v>1511.7840000000001</v>
      </c>
      <c r="H30" s="189">
        <f>E30*F30*G30</f>
        <v>1511.7840000000001</v>
      </c>
      <c r="I30" s="189">
        <f>H30</f>
        <v>1511.7840000000001</v>
      </c>
    </row>
    <row r="31" spans="2:9" s="193" customFormat="1" ht="12">
      <c r="B31" s="362" t="s">
        <v>2001</v>
      </c>
      <c r="C31" s="362"/>
      <c r="D31" s="362"/>
      <c r="E31" s="362"/>
      <c r="F31" s="362"/>
      <c r="G31" s="362"/>
      <c r="H31" s="362"/>
      <c r="I31" s="190">
        <f>SUM(I30:I30)</f>
        <v>1511.7840000000001</v>
      </c>
    </row>
    <row r="32" spans="2:9" s="193" customFormat="1" ht="15" customHeight="1">
      <c r="B32" s="360" t="s">
        <v>2020</v>
      </c>
      <c r="C32" s="360"/>
      <c r="D32" s="360"/>
      <c r="E32" s="360"/>
      <c r="F32" s="360"/>
      <c r="G32" s="360"/>
      <c r="H32" s="360"/>
      <c r="I32" s="360"/>
    </row>
    <row r="33" spans="2:9" s="193" customFormat="1" ht="28.35" customHeight="1">
      <c r="B33" s="105" t="s">
        <v>42</v>
      </c>
      <c r="C33" s="360" t="s">
        <v>84</v>
      </c>
      <c r="D33" s="360"/>
      <c r="E33" s="105" t="s">
        <v>2021</v>
      </c>
      <c r="F33" s="105" t="s">
        <v>1</v>
      </c>
      <c r="G33" s="105" t="s">
        <v>77</v>
      </c>
      <c r="H33" s="105" t="s">
        <v>78</v>
      </c>
      <c r="I33" s="105" t="s">
        <v>79</v>
      </c>
    </row>
    <row r="34" spans="2:9" s="193" customFormat="1" ht="15" customHeight="1">
      <c r="B34" s="17" t="s">
        <v>2022</v>
      </c>
      <c r="C34" s="361" t="s">
        <v>2067</v>
      </c>
      <c r="D34" s="361"/>
      <c r="E34" s="17">
        <v>0.42</v>
      </c>
      <c r="F34" s="17" t="s">
        <v>213</v>
      </c>
      <c r="G34" s="189">
        <v>19000</v>
      </c>
      <c r="H34" s="192">
        <f>E34*G34/I34</f>
        <v>0.3843565071327873</v>
      </c>
      <c r="I34" s="189">
        <f>50392.8-I19-I27-I31-0</f>
        <v>20761.974500000004</v>
      </c>
    </row>
    <row r="35" spans="2:9" s="193" customFormat="1" ht="12">
      <c r="B35" s="362" t="s">
        <v>2001</v>
      </c>
      <c r="C35" s="362"/>
      <c r="D35" s="362"/>
      <c r="E35" s="362"/>
      <c r="F35" s="362"/>
      <c r="G35" s="362"/>
      <c r="H35" s="362"/>
      <c r="I35" s="190">
        <f>SUM(I34:I34)</f>
        <v>20761.974500000004</v>
      </c>
    </row>
    <row r="36" spans="2:9" s="193" customFormat="1"/>
    <row r="37" spans="2:9" s="193" customFormat="1" ht="12">
      <c r="B37" s="363" t="s">
        <v>2026</v>
      </c>
      <c r="C37" s="363"/>
      <c r="D37" s="363"/>
      <c r="E37" s="363"/>
      <c r="F37" s="363"/>
      <c r="G37" s="363"/>
      <c r="H37" s="363"/>
      <c r="I37" s="194">
        <f>I19+I27+I31+I35</f>
        <v>50392.800000000003</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7:H37"/>
    <mergeCell ref="C33:D33"/>
    <mergeCell ref="C22:D22"/>
    <mergeCell ref="C23:D23"/>
    <mergeCell ref="C24:D24"/>
    <mergeCell ref="B25:H25"/>
    <mergeCell ref="B26:G26"/>
    <mergeCell ref="B27:H27"/>
    <mergeCell ref="B28:I28"/>
    <mergeCell ref="B31:H31"/>
    <mergeCell ref="B32:I32"/>
    <mergeCell ref="C34:D34"/>
    <mergeCell ref="B35:H35"/>
  </mergeCell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63EB-A387-4EBF-ABD5-F957FF4B3F00}">
  <sheetPr codeName="Hoja159"/>
  <dimension ref="B3:I36"/>
  <sheetViews>
    <sheetView topLeftCell="A7"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1792</v>
      </c>
      <c r="C13" s="355" t="s">
        <v>2089</v>
      </c>
      <c r="D13" s="355"/>
      <c r="E13" s="355"/>
      <c r="F13" s="355"/>
      <c r="G13" s="286" t="s">
        <v>780</v>
      </c>
      <c r="H13" s="286"/>
      <c r="I13" s="114">
        <v>12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414</v>
      </c>
      <c r="I18" s="24">
        <f>H18/F18</f>
        <v>414</v>
      </c>
    </row>
    <row r="19" spans="2:9" s="201" customFormat="1" ht="12">
      <c r="B19" s="365" t="s">
        <v>2001</v>
      </c>
      <c r="C19" s="365"/>
      <c r="D19" s="365"/>
      <c r="E19" s="365"/>
      <c r="F19" s="365"/>
      <c r="G19" s="365"/>
      <c r="H19" s="365"/>
      <c r="I19" s="202">
        <f>SUM(I18:I18)</f>
        <v>414</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2069</v>
      </c>
      <c r="C22" s="368" t="s">
        <v>2089</v>
      </c>
      <c r="D22" s="368"/>
      <c r="E22" s="24" t="s">
        <v>780</v>
      </c>
      <c r="F22" s="24">
        <v>1</v>
      </c>
      <c r="G22" s="24"/>
      <c r="H22" s="24">
        <v>20778.86</v>
      </c>
      <c r="I22" s="24">
        <f>F22*H22</f>
        <v>20778.86</v>
      </c>
    </row>
    <row r="23" spans="2:9" s="201" customFormat="1" ht="15" customHeight="1">
      <c r="B23" s="24" t="s">
        <v>2070</v>
      </c>
      <c r="C23" s="368" t="s">
        <v>2071</v>
      </c>
      <c r="D23" s="368"/>
      <c r="E23" s="24" t="s">
        <v>390</v>
      </c>
      <c r="F23" s="24">
        <v>1</v>
      </c>
      <c r="G23" s="24"/>
      <c r="H23" s="24">
        <v>3666.86</v>
      </c>
      <c r="I23" s="24">
        <f>F23*H23</f>
        <v>3666.86</v>
      </c>
    </row>
    <row r="24" spans="2:9" s="201" customFormat="1" ht="12">
      <c r="B24" s="365" t="s">
        <v>2001</v>
      </c>
      <c r="C24" s="365"/>
      <c r="D24" s="365"/>
      <c r="E24" s="365"/>
      <c r="F24" s="365"/>
      <c r="G24" s="365"/>
      <c r="H24" s="365"/>
      <c r="I24" s="202">
        <f>SUM(I22:I23)</f>
        <v>24445.72</v>
      </c>
    </row>
    <row r="25" spans="2:9" s="201" customFormat="1" ht="12">
      <c r="B25" s="365" t="s">
        <v>1062</v>
      </c>
      <c r="C25" s="365"/>
      <c r="D25" s="365"/>
      <c r="E25" s="365"/>
      <c r="F25" s="365"/>
      <c r="G25" s="365"/>
      <c r="H25" s="24">
        <v>0.05</v>
      </c>
      <c r="I25" s="24">
        <f>I24*H25</f>
        <v>1222.2860000000001</v>
      </c>
    </row>
    <row r="26" spans="2:9" s="201" customFormat="1" ht="12">
      <c r="B26" s="365" t="s">
        <v>73</v>
      </c>
      <c r="C26" s="365"/>
      <c r="D26" s="365"/>
      <c r="E26" s="365"/>
      <c r="F26" s="365"/>
      <c r="G26" s="365"/>
      <c r="H26" s="365"/>
      <c r="I26" s="202">
        <f>I24+I25</f>
        <v>25668.006000000001</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2042</v>
      </c>
      <c r="D29" s="24" t="s">
        <v>390</v>
      </c>
      <c r="E29" s="24">
        <v>1</v>
      </c>
      <c r="F29" s="24">
        <v>1</v>
      </c>
      <c r="G29" s="24">
        <v>828</v>
      </c>
      <c r="H29" s="24">
        <f>E29*F29*G29</f>
        <v>828</v>
      </c>
      <c r="I29" s="24">
        <f>H29</f>
        <v>828</v>
      </c>
    </row>
    <row r="30" spans="2:9" s="201" customFormat="1" ht="12">
      <c r="B30" s="365" t="s">
        <v>2001</v>
      </c>
      <c r="C30" s="365"/>
      <c r="D30" s="365"/>
      <c r="E30" s="365"/>
      <c r="F30" s="365"/>
      <c r="G30" s="365"/>
      <c r="H30" s="365"/>
      <c r="I30" s="202">
        <f>SUM(I29:I29)</f>
        <v>828</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2043</v>
      </c>
      <c r="D33" s="368"/>
      <c r="E33" s="24">
        <v>0.38</v>
      </c>
      <c r="F33" s="24" t="s">
        <v>213</v>
      </c>
      <c r="G33" s="24">
        <v>19000</v>
      </c>
      <c r="H33" s="24">
        <f>E33*G33/I33</f>
        <v>0.49827487851271718</v>
      </c>
      <c r="I33" s="24">
        <f>41400-I19-I26-I30-0</f>
        <v>14489.993999999999</v>
      </c>
    </row>
    <row r="34" spans="2:9" s="201" customFormat="1" ht="12">
      <c r="B34" s="365" t="s">
        <v>2001</v>
      </c>
      <c r="C34" s="365"/>
      <c r="D34" s="365"/>
      <c r="E34" s="365"/>
      <c r="F34" s="365"/>
      <c r="G34" s="365"/>
      <c r="H34" s="365"/>
      <c r="I34" s="202">
        <f>SUM(I33:I33)</f>
        <v>14489.993999999999</v>
      </c>
    </row>
    <row r="35" spans="2:9" s="201" customFormat="1" ht="12"/>
    <row r="36" spans="2:9" s="201" customFormat="1" ht="12">
      <c r="B36" s="366" t="s">
        <v>2026</v>
      </c>
      <c r="C36" s="366"/>
      <c r="D36" s="366"/>
      <c r="E36" s="366"/>
      <c r="F36" s="366"/>
      <c r="G36" s="366"/>
      <c r="H36" s="366"/>
      <c r="I36" s="206">
        <f>I19+I26+I30+I34</f>
        <v>41400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C23:D23"/>
    <mergeCell ref="B16:I16"/>
    <mergeCell ref="C17:D17"/>
    <mergeCell ref="C18:D18"/>
    <mergeCell ref="B19:H19"/>
    <mergeCell ref="B20:I20"/>
    <mergeCell ref="C21:D21"/>
    <mergeCell ref="B31:I31"/>
    <mergeCell ref="C32:D32"/>
    <mergeCell ref="B34:H34"/>
    <mergeCell ref="B36:H36"/>
    <mergeCell ref="C33:D33"/>
    <mergeCell ref="B24:H24"/>
    <mergeCell ref="B25:G25"/>
    <mergeCell ref="B26:H26"/>
    <mergeCell ref="B27:I27"/>
    <mergeCell ref="B30:H30"/>
  </mergeCell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0169A-254A-41BF-88A8-9088C33D5717}">
  <sheetPr codeName="Hoja160"/>
  <dimension ref="B3:I35"/>
  <sheetViews>
    <sheetView topLeftCell="A3"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1793</v>
      </c>
      <c r="C13" s="355" t="s">
        <v>2090</v>
      </c>
      <c r="D13" s="355"/>
      <c r="E13" s="355"/>
      <c r="F13" s="355"/>
      <c r="G13" s="286" t="s">
        <v>780</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210</v>
      </c>
      <c r="I18" s="24">
        <f>H18/F18</f>
        <v>210</v>
      </c>
    </row>
    <row r="19" spans="2:9" s="201" customFormat="1" ht="12">
      <c r="B19" s="365" t="s">
        <v>2001</v>
      </c>
      <c r="C19" s="365"/>
      <c r="D19" s="365"/>
      <c r="E19" s="365"/>
      <c r="F19" s="365"/>
      <c r="G19" s="365"/>
      <c r="H19" s="365"/>
      <c r="I19" s="202">
        <f>SUM(I18:I18)</f>
        <v>210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2075</v>
      </c>
      <c r="C22" s="368" t="s">
        <v>2090</v>
      </c>
      <c r="D22" s="368"/>
      <c r="E22" s="24" t="s">
        <v>780</v>
      </c>
      <c r="F22" s="24">
        <v>1</v>
      </c>
      <c r="G22" s="24"/>
      <c r="H22" s="24">
        <v>14000</v>
      </c>
      <c r="I22" s="24">
        <f>F22*H22</f>
        <v>14000</v>
      </c>
    </row>
    <row r="23" spans="2:9" s="201" customFormat="1" ht="12">
      <c r="B23" s="365" t="s">
        <v>2001</v>
      </c>
      <c r="C23" s="365"/>
      <c r="D23" s="365"/>
      <c r="E23" s="365"/>
      <c r="F23" s="365"/>
      <c r="G23" s="365"/>
      <c r="H23" s="365"/>
      <c r="I23" s="202">
        <f>SUM(I22:I22)</f>
        <v>14000</v>
      </c>
    </row>
    <row r="24" spans="2:9" s="201" customFormat="1" ht="12">
      <c r="B24" s="365" t="s">
        <v>1062</v>
      </c>
      <c r="C24" s="365"/>
      <c r="D24" s="365"/>
      <c r="E24" s="365"/>
      <c r="F24" s="365"/>
      <c r="G24" s="365"/>
      <c r="H24" s="24">
        <v>0.05</v>
      </c>
      <c r="I24" s="24">
        <f>I23*H24</f>
        <v>700</v>
      </c>
    </row>
    <row r="25" spans="2:9" s="201" customFormat="1" ht="12">
      <c r="B25" s="365" t="s">
        <v>73</v>
      </c>
      <c r="C25" s="365"/>
      <c r="D25" s="365"/>
      <c r="E25" s="365"/>
      <c r="F25" s="365"/>
      <c r="G25" s="365"/>
      <c r="H25" s="365"/>
      <c r="I25" s="202">
        <f>I23+I24</f>
        <v>14700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4">
        <v>1</v>
      </c>
      <c r="F28" s="24">
        <v>1</v>
      </c>
      <c r="G28" s="24">
        <v>420</v>
      </c>
      <c r="H28" s="24">
        <f>E28*F28*G28</f>
        <v>420</v>
      </c>
      <c r="I28" s="24">
        <f>H28</f>
        <v>420</v>
      </c>
    </row>
    <row r="29" spans="2:9" s="201" customFormat="1" ht="12">
      <c r="B29" s="365" t="s">
        <v>2001</v>
      </c>
      <c r="C29" s="365"/>
      <c r="D29" s="365"/>
      <c r="E29" s="365"/>
      <c r="F29" s="365"/>
      <c r="G29" s="365"/>
      <c r="H29" s="365"/>
      <c r="I29" s="202">
        <f>SUM(I28:I28)</f>
        <v>420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2050</v>
      </c>
      <c r="D32" s="368"/>
      <c r="E32" s="24">
        <v>0.5</v>
      </c>
      <c r="F32" s="24" t="s">
        <v>213</v>
      </c>
      <c r="G32" s="24">
        <v>13500</v>
      </c>
      <c r="H32" s="24">
        <f>E32*G32/I32</f>
        <v>1.1904761904761905</v>
      </c>
      <c r="I32" s="24">
        <f>21000-I19-I25-I29-0</f>
        <v>5670</v>
      </c>
    </row>
    <row r="33" spans="2:9" s="201" customFormat="1" ht="12">
      <c r="B33" s="365" t="s">
        <v>2001</v>
      </c>
      <c r="C33" s="365"/>
      <c r="D33" s="365"/>
      <c r="E33" s="365"/>
      <c r="F33" s="365"/>
      <c r="G33" s="365"/>
      <c r="H33" s="365"/>
      <c r="I33" s="202">
        <f>SUM(I32:I32)</f>
        <v>5670</v>
      </c>
    </row>
    <row r="34" spans="2:9" s="201" customFormat="1"/>
    <row r="35" spans="2:9" s="201" customFormat="1" ht="12">
      <c r="B35" s="366" t="s">
        <v>2026</v>
      </c>
      <c r="C35" s="366"/>
      <c r="D35" s="366"/>
      <c r="E35" s="366"/>
      <c r="F35" s="366"/>
      <c r="G35" s="366"/>
      <c r="H35" s="366"/>
      <c r="I35" s="206">
        <f>I19+I25+I29+I33</f>
        <v>21000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C22:D22"/>
    <mergeCell ref="B23:H23"/>
    <mergeCell ref="B24:G24"/>
    <mergeCell ref="B25:H25"/>
    <mergeCell ref="B26:I26"/>
    <mergeCell ref="B29:H29"/>
    <mergeCell ref="B30:I30"/>
    <mergeCell ref="C31:D31"/>
    <mergeCell ref="B33:H33"/>
    <mergeCell ref="B35:H35"/>
    <mergeCell ref="C32:D32"/>
  </mergeCell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5FEAD-F529-479A-ADF4-3A5A2064EB27}">
  <sheetPr codeName="Hoja161"/>
  <dimension ref="B3:I35"/>
  <sheetViews>
    <sheetView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1794</v>
      </c>
      <c r="C13" s="355" t="s">
        <v>2091</v>
      </c>
      <c r="D13" s="355"/>
      <c r="E13" s="355"/>
      <c r="F13" s="355"/>
      <c r="G13" s="286" t="s">
        <v>780</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210</v>
      </c>
      <c r="I18" s="24">
        <f>H18/F18</f>
        <v>210</v>
      </c>
    </row>
    <row r="19" spans="2:9" s="201" customFormat="1" ht="12">
      <c r="B19" s="365" t="s">
        <v>2001</v>
      </c>
      <c r="C19" s="365"/>
      <c r="D19" s="365"/>
      <c r="E19" s="365"/>
      <c r="F19" s="365"/>
      <c r="G19" s="365"/>
      <c r="H19" s="365"/>
      <c r="I19" s="202">
        <f>SUM(I18:I18)</f>
        <v>210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2075</v>
      </c>
      <c r="C22" s="368" t="s">
        <v>2091</v>
      </c>
      <c r="D22" s="368"/>
      <c r="E22" s="24" t="s">
        <v>780</v>
      </c>
      <c r="F22" s="24">
        <v>1</v>
      </c>
      <c r="G22" s="24"/>
      <c r="H22" s="24">
        <v>14000</v>
      </c>
      <c r="I22" s="24">
        <f>F22*H22</f>
        <v>14000</v>
      </c>
    </row>
    <row r="23" spans="2:9" s="201" customFormat="1" ht="12">
      <c r="B23" s="365" t="s">
        <v>2001</v>
      </c>
      <c r="C23" s="365"/>
      <c r="D23" s="365"/>
      <c r="E23" s="365"/>
      <c r="F23" s="365"/>
      <c r="G23" s="365"/>
      <c r="H23" s="365"/>
      <c r="I23" s="202">
        <f>SUM(I22:I22)</f>
        <v>14000</v>
      </c>
    </row>
    <row r="24" spans="2:9" s="201" customFormat="1" ht="12">
      <c r="B24" s="365" t="s">
        <v>1062</v>
      </c>
      <c r="C24" s="365"/>
      <c r="D24" s="365"/>
      <c r="E24" s="365"/>
      <c r="F24" s="365"/>
      <c r="G24" s="365"/>
      <c r="H24" s="24">
        <v>0.05</v>
      </c>
      <c r="I24" s="24">
        <f>I23*H24</f>
        <v>700</v>
      </c>
    </row>
    <row r="25" spans="2:9" s="201" customFormat="1" ht="12">
      <c r="B25" s="365" t="s">
        <v>73</v>
      </c>
      <c r="C25" s="365"/>
      <c r="D25" s="365"/>
      <c r="E25" s="365"/>
      <c r="F25" s="365"/>
      <c r="G25" s="365"/>
      <c r="H25" s="365"/>
      <c r="I25" s="202">
        <f>I23+I24</f>
        <v>14700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4">
        <v>1</v>
      </c>
      <c r="F28" s="24">
        <v>1</v>
      </c>
      <c r="G28" s="24">
        <v>420</v>
      </c>
      <c r="H28" s="24">
        <f>E28*F28*G28</f>
        <v>420</v>
      </c>
      <c r="I28" s="24">
        <f>H28</f>
        <v>420</v>
      </c>
    </row>
    <row r="29" spans="2:9" s="201" customFormat="1" ht="12">
      <c r="B29" s="365" t="s">
        <v>2001</v>
      </c>
      <c r="C29" s="365"/>
      <c r="D29" s="365"/>
      <c r="E29" s="365"/>
      <c r="F29" s="365"/>
      <c r="G29" s="365"/>
      <c r="H29" s="365"/>
      <c r="I29" s="202">
        <f>SUM(I28:I28)</f>
        <v>420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2050</v>
      </c>
      <c r="D32" s="368"/>
      <c r="E32" s="24">
        <v>0.5</v>
      </c>
      <c r="F32" s="24" t="s">
        <v>213</v>
      </c>
      <c r="G32" s="24">
        <v>13500</v>
      </c>
      <c r="H32" s="24">
        <f>E32*G32/I32</f>
        <v>1.1904761904761905</v>
      </c>
      <c r="I32" s="24">
        <f>21000-I19-I25-I29-0</f>
        <v>5670</v>
      </c>
    </row>
    <row r="33" spans="2:9" s="201" customFormat="1" ht="12">
      <c r="B33" s="365" t="s">
        <v>2001</v>
      </c>
      <c r="C33" s="365"/>
      <c r="D33" s="365"/>
      <c r="E33" s="365"/>
      <c r="F33" s="365"/>
      <c r="G33" s="365"/>
      <c r="H33" s="365"/>
      <c r="I33" s="202">
        <f>SUM(I32:I32)</f>
        <v>5670</v>
      </c>
    </row>
    <row r="34" spans="2:9" s="201" customFormat="1"/>
    <row r="35" spans="2:9" s="201" customFormat="1" ht="12">
      <c r="B35" s="366" t="s">
        <v>2026</v>
      </c>
      <c r="C35" s="366"/>
      <c r="D35" s="366"/>
      <c r="E35" s="366"/>
      <c r="F35" s="366"/>
      <c r="G35" s="366"/>
      <c r="H35" s="366"/>
      <c r="I35" s="206">
        <f>I19+I25+I29+I33</f>
        <v>21000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56105-1703-4175-BC50-E861EFA8F5B2}">
  <sheetPr codeName="Hoja162"/>
  <dimension ref="B3:I36"/>
  <sheetViews>
    <sheetView topLeftCell="A10"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1795</v>
      </c>
      <c r="C13" s="355" t="s">
        <v>1989</v>
      </c>
      <c r="D13" s="355"/>
      <c r="E13" s="355"/>
      <c r="F13" s="355"/>
      <c r="G13" s="286" t="s">
        <v>780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2220</v>
      </c>
      <c r="I18" s="24">
        <f>H18/F18</f>
        <v>2220</v>
      </c>
    </row>
    <row r="19" spans="2:9" s="201" customFormat="1" ht="12">
      <c r="B19" s="365" t="s">
        <v>2001</v>
      </c>
      <c r="C19" s="365"/>
      <c r="D19" s="365"/>
      <c r="E19" s="365"/>
      <c r="F19" s="365"/>
      <c r="G19" s="365"/>
      <c r="H19" s="365"/>
      <c r="I19" s="202">
        <f>SUM(I18:I18)</f>
        <v>2220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2092</v>
      </c>
      <c r="C22" s="368" t="s">
        <v>2093</v>
      </c>
      <c r="D22" s="368"/>
      <c r="E22" s="24" t="s">
        <v>390</v>
      </c>
      <c r="F22" s="24">
        <v>1</v>
      </c>
      <c r="G22" s="24"/>
      <c r="H22" s="24">
        <v>71040</v>
      </c>
      <c r="I22" s="24">
        <f>F22*H22</f>
        <v>71040</v>
      </c>
    </row>
    <row r="23" spans="2:9" s="201" customFormat="1" ht="15" customHeight="1">
      <c r="B23" s="24" t="s">
        <v>2094</v>
      </c>
      <c r="C23" s="368" t="s">
        <v>2095</v>
      </c>
      <c r="D23" s="368"/>
      <c r="E23" s="24" t="s">
        <v>390</v>
      </c>
      <c r="F23" s="24">
        <v>1</v>
      </c>
      <c r="G23" s="24"/>
      <c r="H23" s="24">
        <v>30445.71</v>
      </c>
      <c r="I23" s="24">
        <f>F23*H23</f>
        <v>30445.71</v>
      </c>
    </row>
    <row r="24" spans="2:9" s="201" customFormat="1" ht="12">
      <c r="B24" s="365" t="s">
        <v>2001</v>
      </c>
      <c r="C24" s="365"/>
      <c r="D24" s="365"/>
      <c r="E24" s="365"/>
      <c r="F24" s="365"/>
      <c r="G24" s="365"/>
      <c r="H24" s="365"/>
      <c r="I24" s="202">
        <f>SUM(I22:I23)</f>
        <v>101485.70999999999</v>
      </c>
    </row>
    <row r="25" spans="2:9" s="201" customFormat="1" ht="12">
      <c r="B25" s="365" t="s">
        <v>1062</v>
      </c>
      <c r="C25" s="365"/>
      <c r="D25" s="365"/>
      <c r="E25" s="365"/>
      <c r="F25" s="365"/>
      <c r="G25" s="365"/>
      <c r="H25" s="24">
        <v>0.05</v>
      </c>
      <c r="I25" s="24">
        <f>I24*H25</f>
        <v>5074.2855</v>
      </c>
    </row>
    <row r="26" spans="2:9" s="201" customFormat="1" ht="12">
      <c r="B26" s="365" t="s">
        <v>73</v>
      </c>
      <c r="C26" s="365"/>
      <c r="D26" s="365"/>
      <c r="E26" s="365"/>
      <c r="F26" s="365"/>
      <c r="G26" s="365"/>
      <c r="H26" s="365"/>
      <c r="I26" s="202">
        <f>I24+I25</f>
        <v>106559.99549999999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4440</v>
      </c>
      <c r="H29" s="24">
        <f>E29*F29*G29</f>
        <v>4440</v>
      </c>
      <c r="I29" s="24">
        <f>H29</f>
        <v>4440</v>
      </c>
    </row>
    <row r="30" spans="2:9" s="201" customFormat="1" ht="12">
      <c r="B30" s="365" t="s">
        <v>2001</v>
      </c>
      <c r="C30" s="365"/>
      <c r="D30" s="365"/>
      <c r="E30" s="365"/>
      <c r="F30" s="365"/>
      <c r="G30" s="365"/>
      <c r="H30" s="365"/>
      <c r="I30" s="202">
        <f>SUM(I29:I29)</f>
        <v>4440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2096</v>
      </c>
      <c r="D33" s="368"/>
      <c r="E33" s="24">
        <v>4</v>
      </c>
      <c r="F33" s="24" t="s">
        <v>213</v>
      </c>
      <c r="G33" s="24">
        <v>19000</v>
      </c>
      <c r="H33" s="24">
        <f>E33*G33/I33</f>
        <v>0.69865781261297877</v>
      </c>
      <c r="I33" s="24">
        <f>222000-I19-I26-I30-0</f>
        <v>108780.00450000001</v>
      </c>
    </row>
    <row r="34" spans="2:9" s="201" customFormat="1" ht="12">
      <c r="B34" s="365" t="s">
        <v>2001</v>
      </c>
      <c r="C34" s="365"/>
      <c r="D34" s="365"/>
      <c r="E34" s="365"/>
      <c r="F34" s="365"/>
      <c r="G34" s="365"/>
      <c r="H34" s="365"/>
      <c r="I34" s="202">
        <f>SUM(I33:I33)</f>
        <v>108780.00450000001</v>
      </c>
    </row>
    <row r="35" spans="2:9" s="201" customFormat="1" ht="12"/>
    <row r="36" spans="2:9" s="201" customFormat="1" ht="12">
      <c r="B36" s="366" t="s">
        <v>2026</v>
      </c>
      <c r="C36" s="366"/>
      <c r="D36" s="366"/>
      <c r="E36" s="366"/>
      <c r="F36" s="366"/>
      <c r="G36" s="366"/>
      <c r="H36" s="366"/>
      <c r="I36" s="206">
        <f>I19+I26+I30+I34</f>
        <v>222000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2:D22"/>
    <mergeCell ref="B16:I16"/>
    <mergeCell ref="C17:D17"/>
    <mergeCell ref="C18:D18"/>
    <mergeCell ref="B19:H19"/>
    <mergeCell ref="B20:I20"/>
    <mergeCell ref="C21:D21"/>
    <mergeCell ref="C23:D23"/>
    <mergeCell ref="B24:H24"/>
    <mergeCell ref="B25:G25"/>
    <mergeCell ref="B26:H26"/>
    <mergeCell ref="B27:I27"/>
    <mergeCell ref="B30:H30"/>
    <mergeCell ref="B31:I31"/>
    <mergeCell ref="C33:D33"/>
    <mergeCell ref="B34:H34"/>
    <mergeCell ref="B36:H36"/>
    <mergeCell ref="C32:D32"/>
  </mergeCell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D6DC0-BACB-498E-B44A-BE4C6684F40C}">
  <sheetPr codeName="Hoja163"/>
  <dimension ref="B3:I35"/>
  <sheetViews>
    <sheetView topLeftCell="A10"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1796</v>
      </c>
      <c r="C13" s="355" t="s">
        <v>2097</v>
      </c>
      <c r="D13" s="355"/>
      <c r="E13" s="355"/>
      <c r="F13" s="355"/>
      <c r="G13" s="286" t="s">
        <v>780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576</v>
      </c>
      <c r="I18" s="24">
        <f>H18/F18</f>
        <v>576</v>
      </c>
    </row>
    <row r="19" spans="2:9" s="201" customFormat="1" ht="12">
      <c r="B19" s="365" t="s">
        <v>2001</v>
      </c>
      <c r="C19" s="365"/>
      <c r="D19" s="365"/>
      <c r="E19" s="365"/>
      <c r="F19" s="365"/>
      <c r="G19" s="365"/>
      <c r="H19" s="365"/>
      <c r="I19" s="202">
        <f>SUM(I18:I18)</f>
        <v>576</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2098</v>
      </c>
      <c r="C22" s="368" t="s">
        <v>2097</v>
      </c>
      <c r="D22" s="368"/>
      <c r="E22" s="24" t="s">
        <v>780</v>
      </c>
      <c r="F22" s="24">
        <v>1</v>
      </c>
      <c r="G22" s="24"/>
      <c r="H22" s="24">
        <v>43885.71</v>
      </c>
      <c r="I22" s="24">
        <f>F22*H22</f>
        <v>43885.71</v>
      </c>
    </row>
    <row r="23" spans="2:9" s="201" customFormat="1" ht="12">
      <c r="B23" s="365" t="s">
        <v>2001</v>
      </c>
      <c r="C23" s="365"/>
      <c r="D23" s="365"/>
      <c r="E23" s="365"/>
      <c r="F23" s="365"/>
      <c r="G23" s="365"/>
      <c r="H23" s="365"/>
      <c r="I23" s="202">
        <f>SUM(I22:I22)</f>
        <v>43885.71</v>
      </c>
    </row>
    <row r="24" spans="2:9" s="201" customFormat="1" ht="12">
      <c r="B24" s="365" t="s">
        <v>1062</v>
      </c>
      <c r="C24" s="365"/>
      <c r="D24" s="365"/>
      <c r="E24" s="365"/>
      <c r="F24" s="365"/>
      <c r="G24" s="365"/>
      <c r="H24" s="24">
        <v>0.05</v>
      </c>
      <c r="I24" s="24">
        <f>I23*H24</f>
        <v>2194.2855</v>
      </c>
    </row>
    <row r="25" spans="2:9" s="201" customFormat="1" ht="12">
      <c r="B25" s="365" t="s">
        <v>73</v>
      </c>
      <c r="C25" s="365"/>
      <c r="D25" s="365"/>
      <c r="E25" s="365"/>
      <c r="F25" s="365"/>
      <c r="G25" s="365"/>
      <c r="H25" s="365"/>
      <c r="I25" s="202">
        <f>I23+I24</f>
        <v>46079.995499999997</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2049</v>
      </c>
      <c r="D28" s="24" t="s">
        <v>390</v>
      </c>
      <c r="E28" s="24">
        <v>1</v>
      </c>
      <c r="F28" s="24">
        <v>1</v>
      </c>
      <c r="G28" s="24">
        <v>1152</v>
      </c>
      <c r="H28" s="24">
        <f>E28*F28*G28</f>
        <v>1152</v>
      </c>
      <c r="I28" s="24">
        <f>H28</f>
        <v>1152</v>
      </c>
    </row>
    <row r="29" spans="2:9" s="201" customFormat="1" ht="12">
      <c r="B29" s="365" t="s">
        <v>2001</v>
      </c>
      <c r="C29" s="365"/>
      <c r="D29" s="365"/>
      <c r="E29" s="365"/>
      <c r="F29" s="365"/>
      <c r="G29" s="365"/>
      <c r="H29" s="365"/>
      <c r="I29" s="202">
        <f>SUM(I28:I28)</f>
        <v>1152</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2099</v>
      </c>
      <c r="D32" s="368"/>
      <c r="E32" s="24">
        <v>0.6</v>
      </c>
      <c r="F32" s="24" t="s">
        <v>213</v>
      </c>
      <c r="G32" s="24">
        <v>13500</v>
      </c>
      <c r="H32" s="24">
        <f>E32*G32/I32</f>
        <v>0.82720550220335354</v>
      </c>
      <c r="I32" s="24">
        <f>57600-I19-I25-I29-0</f>
        <v>9792.0045000000027</v>
      </c>
    </row>
    <row r="33" spans="2:9" s="201" customFormat="1" ht="12">
      <c r="B33" s="365" t="s">
        <v>2001</v>
      </c>
      <c r="C33" s="365"/>
      <c r="D33" s="365"/>
      <c r="E33" s="365"/>
      <c r="F33" s="365"/>
      <c r="G33" s="365"/>
      <c r="H33" s="365"/>
      <c r="I33" s="202">
        <f>SUM(I32:I32)</f>
        <v>9792.0045000000027</v>
      </c>
    </row>
    <row r="34" spans="2:9" s="201" customFormat="1" ht="12"/>
    <row r="35" spans="2:9" s="201" customFormat="1" ht="12">
      <c r="B35" s="366" t="s">
        <v>2026</v>
      </c>
      <c r="C35" s="366"/>
      <c r="D35" s="366"/>
      <c r="E35" s="366"/>
      <c r="F35" s="366"/>
      <c r="G35" s="366"/>
      <c r="H35" s="366"/>
      <c r="I35" s="206">
        <f>I19+I25+I29+I33</f>
        <v>57600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C22:D22"/>
    <mergeCell ref="B23:H23"/>
    <mergeCell ref="B24:G24"/>
    <mergeCell ref="B25:H25"/>
    <mergeCell ref="B26:I26"/>
    <mergeCell ref="B29:H29"/>
    <mergeCell ref="B30:I30"/>
    <mergeCell ref="C31:D31"/>
    <mergeCell ref="B33:H33"/>
    <mergeCell ref="B35:H35"/>
    <mergeCell ref="C32:D32"/>
  </mergeCell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A31F-4BB7-4E37-B81D-4406B412550F}">
  <sheetPr codeName="Hoja164"/>
  <dimension ref="B3:I35"/>
  <sheetViews>
    <sheetView topLeftCell="A4"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1797</v>
      </c>
      <c r="C13" s="355" t="s">
        <v>1803</v>
      </c>
      <c r="D13" s="355"/>
      <c r="E13" s="355"/>
      <c r="F13" s="355"/>
      <c r="G13" s="286" t="s">
        <v>780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1319</v>
      </c>
      <c r="I18" s="24">
        <f>H18/F18</f>
        <v>1319</v>
      </c>
    </row>
    <row r="19" spans="2:9" s="201" customFormat="1" ht="12">
      <c r="B19" s="365" t="s">
        <v>2001</v>
      </c>
      <c r="C19" s="365"/>
      <c r="D19" s="365"/>
      <c r="E19" s="365"/>
      <c r="F19" s="365"/>
      <c r="G19" s="365"/>
      <c r="H19" s="365"/>
      <c r="I19" s="202">
        <f>SUM(I18:I18)</f>
        <v>1319</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04">
        <v>1</v>
      </c>
      <c r="G22" s="24"/>
      <c r="H22" s="24">
        <v>3297</v>
      </c>
      <c r="I22" s="24">
        <f>F22*H22</f>
        <v>3297</v>
      </c>
    </row>
    <row r="23" spans="2:9" s="201" customFormat="1" ht="12">
      <c r="B23" s="365" t="s">
        <v>2001</v>
      </c>
      <c r="C23" s="365"/>
      <c r="D23" s="365"/>
      <c r="E23" s="365"/>
      <c r="F23" s="365"/>
      <c r="G23" s="365"/>
      <c r="H23" s="365"/>
      <c r="I23" s="202">
        <f>SUM(I22:I22)</f>
        <v>3297</v>
      </c>
    </row>
    <row r="24" spans="2:9" s="201" customFormat="1" ht="12">
      <c r="B24" s="365" t="s">
        <v>1062</v>
      </c>
      <c r="C24" s="365"/>
      <c r="D24" s="365"/>
      <c r="E24" s="365"/>
      <c r="F24" s="365"/>
      <c r="G24" s="365"/>
      <c r="H24" s="24">
        <v>0.05</v>
      </c>
      <c r="I24" s="24">
        <f>I23*H24</f>
        <v>164.85000000000002</v>
      </c>
    </row>
    <row r="25" spans="2:9" s="201" customFormat="1" ht="12">
      <c r="B25" s="365" t="s">
        <v>73</v>
      </c>
      <c r="C25" s="365"/>
      <c r="D25" s="365"/>
      <c r="E25" s="365"/>
      <c r="F25" s="365"/>
      <c r="G25" s="365"/>
      <c r="H25" s="365"/>
      <c r="I25" s="202">
        <f>I23+I24</f>
        <v>3461.85</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2024</v>
      </c>
      <c r="C32" s="368" t="s">
        <v>2102</v>
      </c>
      <c r="D32" s="368"/>
      <c r="E32" s="24">
        <v>2.4</v>
      </c>
      <c r="F32" s="24" t="s">
        <v>213</v>
      </c>
      <c r="G32" s="24">
        <v>21500</v>
      </c>
      <c r="H32" s="24">
        <f>E32*G32/I32</f>
        <v>0.84370041114044259</v>
      </c>
      <c r="I32" s="24">
        <f>65940-I19-I25-I29-0</f>
        <v>61159.15</v>
      </c>
    </row>
    <row r="33" spans="2:9" s="201" customFormat="1" ht="12">
      <c r="B33" s="365" t="s">
        <v>2001</v>
      </c>
      <c r="C33" s="365"/>
      <c r="D33" s="365"/>
      <c r="E33" s="365"/>
      <c r="F33" s="365"/>
      <c r="G33" s="365"/>
      <c r="H33" s="365"/>
      <c r="I33" s="202">
        <f>SUM(I32:I32)</f>
        <v>61159.15</v>
      </c>
    </row>
    <row r="34" spans="2:9" s="201" customFormat="1"/>
    <row r="35" spans="2:9" s="201" customFormat="1" ht="12">
      <c r="B35" s="366" t="s">
        <v>2026</v>
      </c>
      <c r="C35" s="366"/>
      <c r="D35" s="366"/>
      <c r="E35" s="366"/>
      <c r="F35" s="366"/>
      <c r="G35" s="366"/>
      <c r="H35" s="366"/>
      <c r="I35" s="206">
        <f>I19+I25+I29+I33</f>
        <v>65940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331FE-DCDC-4E7E-81A9-81415BBB1006}">
  <sheetPr codeName="Hoja77"/>
  <dimension ref="B3:I41"/>
  <sheetViews>
    <sheetView zoomScale="106" zoomScaleNormal="106" workbookViewId="0">
      <selection activeCell="J13" sqref="J13"/>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3.25" customHeight="1">
      <c r="B13" s="13" t="s">
        <v>1573</v>
      </c>
      <c r="C13" s="283" t="s">
        <v>1897</v>
      </c>
      <c r="D13" s="284"/>
      <c r="E13" s="284"/>
      <c r="F13" s="285"/>
      <c r="G13" s="286" t="s">
        <v>1408</v>
      </c>
      <c r="H13" s="286"/>
      <c r="I13" s="114">
        <v>34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1267</v>
      </c>
      <c r="C18" s="288" t="str">
        <f>VLOOKUP(B18,'MAQUINARIA Y EQUIPOS  '!C6:F94,2,FALSE)</f>
        <v xml:space="preserve">Pluma grua </v>
      </c>
      <c r="D18" s="265"/>
      <c r="E18" s="88" t="str">
        <f>VLOOKUP(B18,'MAQUINARIA Y EQUIPOS  '!C6:F94,3,FALSE)</f>
        <v>HH</v>
      </c>
      <c r="F18" s="86">
        <f>VLOOKUP(B18,'MAQUINARIA Y EQUIPOS  '!C6:F94,4,FALSE)</f>
        <v>10500</v>
      </c>
      <c r="G18" s="71">
        <v>0.71399999999999997</v>
      </c>
      <c r="H18" s="116">
        <f>F18*G18</f>
        <v>7497</v>
      </c>
      <c r="I18" s="287"/>
    </row>
    <row r="19" spans="2:9">
      <c r="B19" s="71" t="s">
        <v>62</v>
      </c>
      <c r="C19" s="288" t="str">
        <f>VLOOKUP(B19,'MAQUINARIA Y EQUIPOS  '!C7:F95,2,FALSE)</f>
        <v xml:space="preserve">HERRAMIENTAS MENORES </v>
      </c>
      <c r="D19" s="265"/>
      <c r="E19" s="71" t="str">
        <f>VLOOKUP(B19,'MAQUINARIA Y EQUIPOS  '!C7:F95,3,FALSE)</f>
        <v>GLB</v>
      </c>
      <c r="F19" s="86">
        <f>VLOOKUP(B19,'MAQUINARIA Y EQUIPOS  '!C7:F95,4,FALSE)</f>
        <v>10714</v>
      </c>
      <c r="G19" s="133">
        <v>0.1</v>
      </c>
      <c r="H19" s="116">
        <f>F19*G19</f>
        <v>1071.4000000000001</v>
      </c>
      <c r="I19" s="287"/>
    </row>
    <row r="20" spans="2:9">
      <c r="B20" s="71" t="s">
        <v>347</v>
      </c>
      <c r="C20" s="258" t="str">
        <f>VLOOKUP(B20,'MAQUINARIA Y EQUIPOS  '!C7:F95,2,FALSE)</f>
        <v>Andamio (2cuerpo)</v>
      </c>
      <c r="D20" s="258"/>
      <c r="E20" s="88" t="str">
        <f>VLOOKUP(B20,'MAQUINARIA Y EQUIPOS  '!C7:F95,3,FALSE)</f>
        <v>DIA</v>
      </c>
      <c r="F20" s="86">
        <f>VLOOKUP(B20,'MAQUINARIA Y EQUIPOS  '!C7:F95,4,FALSE)</f>
        <v>10000</v>
      </c>
      <c r="G20" s="131">
        <v>0.71399999999999997</v>
      </c>
      <c r="H20" s="130">
        <f>F20*G20</f>
        <v>7140</v>
      </c>
      <c r="I20" s="287"/>
    </row>
    <row r="21" spans="2:9" ht="12">
      <c r="B21" s="89"/>
      <c r="C21" s="89"/>
      <c r="D21" s="89"/>
      <c r="E21" s="89"/>
      <c r="F21" s="89"/>
      <c r="G21" s="89"/>
      <c r="H21" s="89" t="s">
        <v>64</v>
      </c>
      <c r="I21" s="90">
        <f>SUM(H18:H20)</f>
        <v>15708.4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t="str">
        <f>VLOOKUP(B26,'INSUMOS '!C4:G951,2,FALSE)</f>
        <v xml:space="preserve">Cinta de enmascarar de alta adherencia </v>
      </c>
      <c r="D26" s="291"/>
      <c r="E26" s="97" t="str">
        <f>VLOOKUP(B26,'INSUMOS '!C4:G951,3,FALSE)</f>
        <v>m</v>
      </c>
      <c r="F26" s="98">
        <f>VLOOKUP(B26,'INSUMOS '!C4:G951,4,FALSE)</f>
        <v>500</v>
      </c>
      <c r="G26" s="71">
        <v>1.35</v>
      </c>
      <c r="H26" s="83">
        <f>+G26*F26</f>
        <v>675</v>
      </c>
      <c r="I26" s="287"/>
    </row>
    <row r="27" spans="2:9">
      <c r="B27" s="71"/>
      <c r="C27" s="292"/>
      <c r="D27" s="293"/>
      <c r="E27" s="91"/>
      <c r="F27" s="94"/>
      <c r="G27" s="92"/>
      <c r="H27" s="83"/>
      <c r="I27" s="287"/>
    </row>
    <row r="28" spans="2:9" ht="12">
      <c r="B28" s="89"/>
      <c r="C28" s="89"/>
      <c r="D28" s="89"/>
      <c r="E28" s="89"/>
      <c r="F28" s="89"/>
      <c r="G28" s="258" t="s">
        <v>64</v>
      </c>
      <c r="H28" s="258"/>
      <c r="I28" s="85">
        <f>SUM(H24:H27)</f>
        <v>9175</v>
      </c>
    </row>
    <row r="29" spans="2:9" ht="12">
      <c r="B29" s="89"/>
      <c r="C29" s="89"/>
      <c r="D29" s="89"/>
      <c r="E29" s="89"/>
      <c r="F29" s="89"/>
      <c r="G29" s="99" t="s">
        <v>72</v>
      </c>
      <c r="H29" s="100">
        <v>0.05</v>
      </c>
      <c r="I29" s="101">
        <f>I28*H29</f>
        <v>458.75</v>
      </c>
    </row>
    <row r="30" spans="2:9" ht="12">
      <c r="B30" s="89"/>
      <c r="C30" s="89"/>
      <c r="D30" s="89"/>
      <c r="E30" s="89"/>
      <c r="F30" s="89"/>
      <c r="G30" s="258" t="s">
        <v>73</v>
      </c>
      <c r="H30" s="258"/>
      <c r="I30" s="90">
        <f>SUM(I28:I29)</f>
        <v>9633.75</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v>0.1</v>
      </c>
      <c r="F33" s="70">
        <v>19</v>
      </c>
      <c r="G33" s="102">
        <f>VLOOKUP(B33,'MAQUINARIA Y EQUIPOS  '!C7:F95,4,FALSE)</f>
        <v>1500</v>
      </c>
      <c r="H33" s="103">
        <f>+F33*G33*E33</f>
        <v>2850</v>
      </c>
      <c r="I33" s="301"/>
    </row>
    <row r="34" spans="2:9">
      <c r="B34" s="71"/>
      <c r="C34" s="71"/>
      <c r="D34" s="82"/>
      <c r="E34" s="71"/>
      <c r="F34" s="71"/>
      <c r="G34" s="86"/>
      <c r="H34" s="86"/>
      <c r="I34" s="301"/>
    </row>
    <row r="35" spans="2:9" ht="12">
      <c r="B35" s="89"/>
      <c r="C35" s="89"/>
      <c r="D35" s="89"/>
      <c r="E35" s="89"/>
      <c r="F35" s="89"/>
      <c r="G35" s="302" t="s">
        <v>64</v>
      </c>
      <c r="H35" s="302"/>
      <c r="I35" s="104">
        <f>+H33</f>
        <v>2850</v>
      </c>
    </row>
    <row r="36" spans="2:9" ht="12">
      <c r="B36" s="78"/>
      <c r="C36" s="289" t="s">
        <v>75</v>
      </c>
      <c r="D36" s="289"/>
      <c r="E36" s="78"/>
      <c r="F36" s="78"/>
      <c r="G36" s="78"/>
      <c r="H36" s="78"/>
      <c r="I36" s="79"/>
    </row>
    <row r="37" spans="2:9" ht="12">
      <c r="B37" s="105" t="s">
        <v>42</v>
      </c>
      <c r="C37" s="105" t="s">
        <v>76</v>
      </c>
      <c r="D37" s="105" t="s">
        <v>1221</v>
      </c>
      <c r="E37" s="105" t="s">
        <v>1</v>
      </c>
      <c r="F37" s="105" t="s">
        <v>77</v>
      </c>
      <c r="G37" s="105" t="s">
        <v>78</v>
      </c>
      <c r="H37" s="105" t="s">
        <v>79</v>
      </c>
      <c r="I37" s="294"/>
    </row>
    <row r="38" spans="2:9" ht="27.75" customHeight="1">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G38" s="121">
        <v>0.71399999999999997</v>
      </c>
      <c r="H38" s="94">
        <f>F38*G38*D38</f>
        <v>47257.875</v>
      </c>
      <c r="I38" s="294"/>
    </row>
    <row r="39" spans="2:9">
      <c r="B39" s="106"/>
      <c r="C39" s="106"/>
      <c r="D39" s="106"/>
      <c r="E39" s="106"/>
      <c r="F39" s="86"/>
      <c r="G39" s="121"/>
      <c r="H39" s="94"/>
      <c r="I39" s="294"/>
    </row>
    <row r="40" spans="2:9" ht="12">
      <c r="B40" s="108"/>
      <c r="C40" s="109"/>
      <c r="D40" s="109"/>
      <c r="E40" s="109"/>
      <c r="F40" s="110"/>
      <c r="G40" s="110"/>
      <c r="H40" s="111" t="s">
        <v>64</v>
      </c>
      <c r="I40" s="112">
        <f>SUM(H38:H39)</f>
        <v>47257.875</v>
      </c>
    </row>
    <row r="41" spans="2:9" ht="12">
      <c r="B41" s="295" t="s">
        <v>83</v>
      </c>
      <c r="C41" s="296"/>
      <c r="D41" s="297" t="s">
        <v>77</v>
      </c>
      <c r="E41" s="298"/>
      <c r="F41" s="298"/>
      <c r="G41" s="298"/>
      <c r="H41" s="299"/>
      <c r="I41" s="113">
        <f>SUM(I21+I35+I30+I40)</f>
        <v>75450.024999999994</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6AC0-80B5-46A5-96A5-2BDEF2B62F14}">
  <sheetPr codeName="Hoja165"/>
  <dimension ref="B3:I35"/>
  <sheetViews>
    <sheetView topLeftCell="A3"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1798</v>
      </c>
      <c r="C13" s="355" t="s">
        <v>1804</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1319</v>
      </c>
      <c r="I18" s="24">
        <f>H18/F18</f>
        <v>1319</v>
      </c>
    </row>
    <row r="19" spans="2:9" s="201" customFormat="1" ht="12">
      <c r="B19" s="365" t="s">
        <v>2001</v>
      </c>
      <c r="C19" s="365"/>
      <c r="D19" s="365"/>
      <c r="E19" s="365"/>
      <c r="F19" s="365"/>
      <c r="G19" s="365"/>
      <c r="H19" s="365"/>
      <c r="I19" s="202">
        <f>SUM(I18:I18)</f>
        <v>1319</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04">
        <v>1</v>
      </c>
      <c r="G22" s="24"/>
      <c r="H22" s="24">
        <v>3297</v>
      </c>
      <c r="I22" s="24">
        <f>F22*H22</f>
        <v>3297</v>
      </c>
    </row>
    <row r="23" spans="2:9" s="201" customFormat="1" ht="12">
      <c r="B23" s="365" t="s">
        <v>2001</v>
      </c>
      <c r="C23" s="365"/>
      <c r="D23" s="365"/>
      <c r="E23" s="365"/>
      <c r="F23" s="365"/>
      <c r="G23" s="365"/>
      <c r="H23" s="365"/>
      <c r="I23" s="202">
        <f>SUM(I22:I22)</f>
        <v>3297</v>
      </c>
    </row>
    <row r="24" spans="2:9" s="201" customFormat="1" ht="12">
      <c r="B24" s="365" t="s">
        <v>1062</v>
      </c>
      <c r="C24" s="365"/>
      <c r="D24" s="365"/>
      <c r="E24" s="365"/>
      <c r="F24" s="365"/>
      <c r="G24" s="365"/>
      <c r="H24" s="24">
        <v>0.05</v>
      </c>
      <c r="I24" s="24">
        <f>I23*H24</f>
        <v>164.85000000000002</v>
      </c>
    </row>
    <row r="25" spans="2:9" s="201" customFormat="1" ht="12">
      <c r="B25" s="365" t="s">
        <v>73</v>
      </c>
      <c r="C25" s="365"/>
      <c r="D25" s="365"/>
      <c r="E25" s="365"/>
      <c r="F25" s="365"/>
      <c r="G25" s="365"/>
      <c r="H25" s="365"/>
      <c r="I25" s="202">
        <f>I23+I24</f>
        <v>3461.85</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2024</v>
      </c>
      <c r="C32" s="368" t="s">
        <v>2102</v>
      </c>
      <c r="D32" s="368"/>
      <c r="E32" s="204">
        <v>2.4</v>
      </c>
      <c r="F32" s="24" t="s">
        <v>213</v>
      </c>
      <c r="G32" s="24">
        <v>21500</v>
      </c>
      <c r="H32" s="24">
        <f>E32*G32/I32</f>
        <v>0.84370041114044259</v>
      </c>
      <c r="I32" s="24">
        <f>65940-I19-I25-I29-0</f>
        <v>61159.15</v>
      </c>
    </row>
    <row r="33" spans="2:9" s="201" customFormat="1" ht="12">
      <c r="B33" s="365" t="s">
        <v>2001</v>
      </c>
      <c r="C33" s="365"/>
      <c r="D33" s="365"/>
      <c r="E33" s="365"/>
      <c r="F33" s="365"/>
      <c r="G33" s="365"/>
      <c r="H33" s="365"/>
      <c r="I33" s="202">
        <f>SUM(I32:I32)</f>
        <v>61159.15</v>
      </c>
    </row>
    <row r="34" spans="2:9" s="201" customFormat="1"/>
    <row r="35" spans="2:9" s="201" customFormat="1" ht="12">
      <c r="B35" s="366" t="s">
        <v>2026</v>
      </c>
      <c r="C35" s="366"/>
      <c r="D35" s="366"/>
      <c r="E35" s="366"/>
      <c r="F35" s="366"/>
      <c r="G35" s="366"/>
      <c r="H35" s="366"/>
      <c r="I35" s="206">
        <f>I19+I25+I29+I33</f>
        <v>65940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0EEC2-9D00-48E5-8807-05E666F90AD7}">
  <sheetPr codeName="Hoja166"/>
  <dimension ref="A3:I35"/>
  <sheetViews>
    <sheetView topLeftCell="A6"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1:9" ht="12" customHeight="1">
      <c r="B3" s="330"/>
      <c r="C3" s="330"/>
      <c r="D3" s="331" t="s">
        <v>2002</v>
      </c>
      <c r="E3" s="332"/>
      <c r="F3" s="71" t="s">
        <v>46</v>
      </c>
      <c r="G3" s="263">
        <v>46143</v>
      </c>
      <c r="H3" s="264"/>
      <c r="I3" s="265"/>
    </row>
    <row r="4" spans="1:9">
      <c r="B4" s="330"/>
      <c r="C4" s="330"/>
      <c r="D4" s="333"/>
      <c r="E4" s="334"/>
      <c r="F4" s="71" t="s">
        <v>47</v>
      </c>
      <c r="G4" s="71">
        <v>1</v>
      </c>
      <c r="H4" s="258"/>
      <c r="I4" s="258"/>
    </row>
    <row r="5" spans="1:9">
      <c r="B5" s="330"/>
      <c r="C5" s="330"/>
      <c r="D5" s="333"/>
      <c r="E5" s="334"/>
      <c r="F5" s="71" t="s">
        <v>48</v>
      </c>
      <c r="G5" s="258"/>
      <c r="H5" s="258"/>
      <c r="I5" s="258"/>
    </row>
    <row r="6" spans="1:9" ht="12" customHeight="1">
      <c r="B6" s="330"/>
      <c r="C6" s="330"/>
      <c r="D6" s="335" t="s">
        <v>49</v>
      </c>
      <c r="E6" s="336"/>
      <c r="F6" s="259"/>
      <c r="G6" s="270"/>
      <c r="H6" s="270"/>
      <c r="I6" s="260"/>
    </row>
    <row r="7" spans="1:9">
      <c r="B7" s="330"/>
      <c r="C7" s="330"/>
      <c r="D7" s="337"/>
      <c r="E7" s="338"/>
      <c r="F7" s="271"/>
      <c r="G7" s="272"/>
      <c r="H7" s="272"/>
      <c r="I7" s="273"/>
    </row>
    <row r="8" spans="1:9" ht="12">
      <c r="B8" s="89"/>
      <c r="C8" s="89"/>
      <c r="D8" s="89"/>
      <c r="E8" s="89"/>
      <c r="F8" s="89"/>
      <c r="G8" s="89"/>
      <c r="H8" s="89"/>
      <c r="I8" s="79"/>
    </row>
    <row r="9" spans="1:9">
      <c r="B9" s="258" t="s">
        <v>50</v>
      </c>
      <c r="C9" s="258"/>
      <c r="D9" s="274">
        <v>15</v>
      </c>
      <c r="E9" s="276" t="s">
        <v>2045</v>
      </c>
      <c r="F9" s="277"/>
      <c r="G9" s="277"/>
      <c r="H9" s="277"/>
      <c r="I9" s="278"/>
    </row>
    <row r="10" spans="1:9">
      <c r="B10" s="258"/>
      <c r="C10" s="258"/>
      <c r="D10" s="275"/>
      <c r="E10" s="268"/>
      <c r="F10" s="279"/>
      <c r="G10" s="279"/>
      <c r="H10" s="279"/>
      <c r="I10" s="269"/>
    </row>
    <row r="11" spans="1:9" ht="12">
      <c r="B11" s="258" t="s">
        <v>52</v>
      </c>
      <c r="C11" s="258"/>
      <c r="D11" s="258"/>
      <c r="E11" s="258"/>
      <c r="F11" s="258"/>
      <c r="G11" s="258"/>
      <c r="H11" s="258"/>
      <c r="I11" s="258"/>
    </row>
    <row r="12" spans="1:9" ht="12">
      <c r="B12" s="72" t="s">
        <v>53</v>
      </c>
      <c r="C12" s="280" t="s">
        <v>54</v>
      </c>
      <c r="D12" s="281"/>
      <c r="E12" s="281"/>
      <c r="F12" s="282"/>
      <c r="G12" s="280" t="s">
        <v>1</v>
      </c>
      <c r="H12" s="282"/>
      <c r="I12" s="73" t="s">
        <v>0</v>
      </c>
    </row>
    <row r="13" spans="1:9" ht="14.25" customHeight="1">
      <c r="B13" s="174" t="s">
        <v>1799</v>
      </c>
      <c r="C13" s="355" t="s">
        <v>2103</v>
      </c>
      <c r="D13" s="355"/>
      <c r="E13" s="355"/>
      <c r="F13" s="355"/>
      <c r="G13" s="286" t="s">
        <v>780</v>
      </c>
      <c r="H13" s="286"/>
      <c r="I13" s="114">
        <v>2</v>
      </c>
    </row>
    <row r="14" spans="1:9" ht="12">
      <c r="B14" s="70"/>
      <c r="C14" s="286"/>
      <c r="D14" s="286"/>
      <c r="E14" s="286"/>
      <c r="F14" s="286" t="s">
        <v>55</v>
      </c>
      <c r="G14" s="286"/>
      <c r="H14" s="286"/>
      <c r="I14" s="76"/>
    </row>
    <row r="15" spans="1:9" ht="12">
      <c r="B15" s="71"/>
      <c r="C15" s="258"/>
      <c r="D15" s="258"/>
      <c r="E15" s="258"/>
      <c r="F15" s="258" t="s">
        <v>56</v>
      </c>
      <c r="G15" s="258"/>
      <c r="H15" s="258"/>
      <c r="I15" s="77"/>
    </row>
    <row r="16" spans="1:9" s="201" customFormat="1" ht="15" customHeight="1">
      <c r="A16" s="201" t="s">
        <v>2104</v>
      </c>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1722</v>
      </c>
      <c r="I18" s="24">
        <f>H18/F18</f>
        <v>1722</v>
      </c>
    </row>
    <row r="19" spans="2:9" s="201" customFormat="1" ht="12">
      <c r="B19" s="365" t="s">
        <v>2001</v>
      </c>
      <c r="C19" s="365"/>
      <c r="D19" s="365"/>
      <c r="E19" s="365"/>
      <c r="F19" s="365"/>
      <c r="G19" s="365"/>
      <c r="H19" s="365"/>
      <c r="I19" s="202">
        <f>SUM(I18:I18)</f>
        <v>1722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4">
        <v>1</v>
      </c>
      <c r="G22" s="24"/>
      <c r="H22" s="24">
        <v>4304.3999999999996</v>
      </c>
      <c r="I22" s="24">
        <f>F22*H22</f>
        <v>4304.3999999999996</v>
      </c>
    </row>
    <row r="23" spans="2:9" s="201" customFormat="1" ht="12">
      <c r="B23" s="365" t="s">
        <v>2001</v>
      </c>
      <c r="C23" s="365"/>
      <c r="D23" s="365"/>
      <c r="E23" s="365"/>
      <c r="F23" s="365"/>
      <c r="G23" s="365"/>
      <c r="H23" s="365"/>
      <c r="I23" s="202">
        <f>SUM(I22:I22)</f>
        <v>4304.3999999999996</v>
      </c>
    </row>
    <row r="24" spans="2:9" s="201" customFormat="1" ht="12">
      <c r="B24" s="365" t="s">
        <v>1062</v>
      </c>
      <c r="C24" s="365"/>
      <c r="D24" s="365"/>
      <c r="E24" s="365"/>
      <c r="F24" s="365"/>
      <c r="G24" s="365"/>
      <c r="H24" s="24">
        <v>0.05</v>
      </c>
      <c r="I24" s="24">
        <f>I23*H24</f>
        <v>215.22</v>
      </c>
    </row>
    <row r="25" spans="2:9" s="201" customFormat="1" ht="12">
      <c r="B25" s="365" t="s">
        <v>73</v>
      </c>
      <c r="C25" s="365"/>
      <c r="D25" s="365"/>
      <c r="E25" s="365"/>
      <c r="F25" s="365"/>
      <c r="G25" s="365"/>
      <c r="H25" s="365"/>
      <c r="I25" s="202">
        <f>I23+I24</f>
        <v>4519.62</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2024</v>
      </c>
      <c r="C32" s="368" t="s">
        <v>2102</v>
      </c>
      <c r="D32" s="368"/>
      <c r="E32" s="24">
        <v>2.4</v>
      </c>
      <c r="F32" s="24" t="s">
        <v>213</v>
      </c>
      <c r="G32" s="24">
        <v>21500</v>
      </c>
      <c r="H32" s="24">
        <f>E32*G32/I32</f>
        <v>0.64624094417304823</v>
      </c>
      <c r="I32" s="24">
        <f>86088-I19-I25-I29-0</f>
        <v>79846.38</v>
      </c>
    </row>
    <row r="33" spans="2:9" s="201" customFormat="1" ht="12">
      <c r="B33" s="365" t="s">
        <v>2001</v>
      </c>
      <c r="C33" s="365"/>
      <c r="D33" s="365"/>
      <c r="E33" s="365"/>
      <c r="F33" s="365"/>
      <c r="G33" s="365"/>
      <c r="H33" s="365"/>
      <c r="I33" s="202">
        <f>SUM(I32:I32)</f>
        <v>79846.38</v>
      </c>
    </row>
    <row r="34" spans="2:9" s="201" customFormat="1"/>
    <row r="35" spans="2:9" s="201" customFormat="1" ht="12">
      <c r="B35" s="366" t="s">
        <v>2026</v>
      </c>
      <c r="C35" s="366"/>
      <c r="D35" s="366"/>
      <c r="E35" s="366"/>
      <c r="F35" s="366"/>
      <c r="G35" s="366"/>
      <c r="H35" s="366"/>
      <c r="I35" s="206">
        <f>I19+I25+I29+I33</f>
        <v>86088</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B525-9476-4202-806F-6A8996CFB611}">
  <sheetPr codeName="Hoja167"/>
  <dimension ref="B3:I35"/>
  <sheetViews>
    <sheetView topLeftCell="A8" zoomScaleNormal="100" workbookViewId="0">
      <selection activeCell="K22" sqref="K2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1800</v>
      </c>
      <c r="C13" s="355" t="s">
        <v>2105</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1080</v>
      </c>
      <c r="I18" s="24">
        <f>H18/F18</f>
        <v>1080</v>
      </c>
    </row>
    <row r="19" spans="2:9" s="201" customFormat="1" ht="12">
      <c r="B19" s="365" t="s">
        <v>2001</v>
      </c>
      <c r="C19" s="365"/>
      <c r="D19" s="365"/>
      <c r="E19" s="365"/>
      <c r="F19" s="365"/>
      <c r="G19" s="365"/>
      <c r="H19" s="365"/>
      <c r="I19" s="202">
        <f>SUM(I18:I18)</f>
        <v>1080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4">
        <v>1</v>
      </c>
      <c r="G22" s="24"/>
      <c r="H22" s="24">
        <v>2700</v>
      </c>
      <c r="I22" s="24">
        <f>F22*H22</f>
        <v>2700</v>
      </c>
    </row>
    <row r="23" spans="2:9" s="201" customFormat="1" ht="12">
      <c r="B23" s="365" t="s">
        <v>2001</v>
      </c>
      <c r="C23" s="365"/>
      <c r="D23" s="365"/>
      <c r="E23" s="365"/>
      <c r="F23" s="365"/>
      <c r="G23" s="365"/>
      <c r="H23" s="365"/>
      <c r="I23" s="202">
        <f>SUM(I22:I22)</f>
        <v>2700</v>
      </c>
    </row>
    <row r="24" spans="2:9" s="201" customFormat="1" ht="12">
      <c r="B24" s="365" t="s">
        <v>1062</v>
      </c>
      <c r="C24" s="365"/>
      <c r="D24" s="365"/>
      <c r="E24" s="365"/>
      <c r="F24" s="365"/>
      <c r="G24" s="365"/>
      <c r="H24" s="24">
        <v>0.05</v>
      </c>
      <c r="I24" s="24">
        <f>I23*H24</f>
        <v>135</v>
      </c>
    </row>
    <row r="25" spans="2:9" s="201" customFormat="1" ht="12">
      <c r="B25" s="365" t="s">
        <v>73</v>
      </c>
      <c r="C25" s="365"/>
      <c r="D25" s="365"/>
      <c r="E25" s="365"/>
      <c r="F25" s="365"/>
      <c r="G25" s="365"/>
      <c r="H25" s="365"/>
      <c r="I25" s="202">
        <f>I23+I24</f>
        <v>2835</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2024</v>
      </c>
      <c r="C32" s="368" t="s">
        <v>2102</v>
      </c>
      <c r="D32" s="368"/>
      <c r="E32" s="24">
        <v>2.4</v>
      </c>
      <c r="F32" s="24" t="s">
        <v>213</v>
      </c>
      <c r="G32" s="24">
        <v>21500</v>
      </c>
      <c r="H32" s="24">
        <f>E32*G32/I32</f>
        <v>1.0302485774183887</v>
      </c>
      <c r="I32" s="24">
        <f>54000-I19-I25-I29-0</f>
        <v>50085</v>
      </c>
    </row>
    <row r="33" spans="2:9" s="201" customFormat="1" ht="12">
      <c r="B33" s="365" t="s">
        <v>2001</v>
      </c>
      <c r="C33" s="365"/>
      <c r="D33" s="365"/>
      <c r="E33" s="365"/>
      <c r="F33" s="365"/>
      <c r="G33" s="365"/>
      <c r="H33" s="365"/>
      <c r="I33" s="202">
        <f>SUM(I32:I32)</f>
        <v>50085</v>
      </c>
    </row>
    <row r="34" spans="2:9" s="201" customFormat="1" ht="12"/>
    <row r="35" spans="2:9" s="201" customFormat="1" ht="12">
      <c r="B35" s="366" t="s">
        <v>2026</v>
      </c>
      <c r="C35" s="366"/>
      <c r="D35" s="366"/>
      <c r="E35" s="366"/>
      <c r="F35" s="366"/>
      <c r="G35" s="366"/>
      <c r="H35" s="366"/>
      <c r="I35" s="206">
        <f>I19+I25+I29+I33</f>
        <v>54000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A8D6-AAEC-4A0C-9C3E-6B7ED8A6F8AD}">
  <sheetPr codeName="Hoja168"/>
  <dimension ref="B3:I35"/>
  <sheetViews>
    <sheetView topLeftCell="A6"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1801</v>
      </c>
      <c r="C13" s="355" t="s">
        <v>2106</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1560</v>
      </c>
      <c r="I18" s="24">
        <f>H18/F18</f>
        <v>1560</v>
      </c>
    </row>
    <row r="19" spans="2:9" s="201" customFormat="1" ht="12">
      <c r="B19" s="365" t="s">
        <v>2001</v>
      </c>
      <c r="C19" s="365"/>
      <c r="D19" s="365"/>
      <c r="E19" s="365"/>
      <c r="F19" s="365"/>
      <c r="G19" s="365"/>
      <c r="H19" s="365"/>
      <c r="I19" s="202">
        <f>SUM(I18:I18)</f>
        <v>1560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4">
        <v>1</v>
      </c>
      <c r="G22" s="24"/>
      <c r="H22" s="24">
        <v>3900</v>
      </c>
      <c r="I22" s="24">
        <f>F22*H22</f>
        <v>3900</v>
      </c>
    </row>
    <row r="23" spans="2:9" s="201" customFormat="1" ht="12">
      <c r="B23" s="365" t="s">
        <v>2001</v>
      </c>
      <c r="C23" s="365"/>
      <c r="D23" s="365"/>
      <c r="E23" s="365"/>
      <c r="F23" s="365"/>
      <c r="G23" s="365"/>
      <c r="H23" s="365"/>
      <c r="I23" s="202">
        <f>SUM(I22:I22)</f>
        <v>3900</v>
      </c>
    </row>
    <row r="24" spans="2:9" s="201" customFormat="1" ht="12">
      <c r="B24" s="365" t="s">
        <v>1062</v>
      </c>
      <c r="C24" s="365"/>
      <c r="D24" s="365"/>
      <c r="E24" s="365"/>
      <c r="F24" s="365"/>
      <c r="G24" s="365"/>
      <c r="H24" s="24">
        <v>0.05</v>
      </c>
      <c r="I24" s="24">
        <f>I23*H24</f>
        <v>195</v>
      </c>
    </row>
    <row r="25" spans="2:9" s="201" customFormat="1" ht="12">
      <c r="B25" s="365" t="s">
        <v>73</v>
      </c>
      <c r="C25" s="365"/>
      <c r="D25" s="365"/>
      <c r="E25" s="365"/>
      <c r="F25" s="365"/>
      <c r="G25" s="365"/>
      <c r="H25" s="365"/>
      <c r="I25" s="202">
        <f>I23+I24</f>
        <v>4095</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2024</v>
      </c>
      <c r="C32" s="368" t="s">
        <v>2102</v>
      </c>
      <c r="D32" s="368"/>
      <c r="E32" s="24">
        <v>2.4</v>
      </c>
      <c r="F32" s="24" t="s">
        <v>213</v>
      </c>
      <c r="G32" s="24">
        <v>21500</v>
      </c>
      <c r="H32" s="24">
        <f>E32*G32/I32</f>
        <v>0.71324901513580763</v>
      </c>
      <c r="I32" s="24">
        <f>78000-I19-I25-I29-0</f>
        <v>72345</v>
      </c>
    </row>
    <row r="33" spans="2:9" s="201" customFormat="1" ht="12">
      <c r="B33" s="365" t="s">
        <v>2001</v>
      </c>
      <c r="C33" s="365"/>
      <c r="D33" s="365"/>
      <c r="E33" s="365"/>
      <c r="F33" s="365"/>
      <c r="G33" s="365"/>
      <c r="H33" s="365"/>
      <c r="I33" s="202">
        <f>SUM(I32:I32)</f>
        <v>72345</v>
      </c>
    </row>
    <row r="34" spans="2:9" s="201" customFormat="1"/>
    <row r="35" spans="2:9" s="201" customFormat="1" ht="12">
      <c r="B35" s="366" t="s">
        <v>2026</v>
      </c>
      <c r="C35" s="366"/>
      <c r="D35" s="366"/>
      <c r="E35" s="366"/>
      <c r="F35" s="366"/>
      <c r="G35" s="366"/>
      <c r="H35" s="366"/>
      <c r="I35" s="206">
        <f>I19+I25+I29+I33</f>
        <v>78000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88685-1F0B-4CBC-BC1D-A9FE35B84B1A}">
  <sheetPr codeName="Hoja169"/>
  <dimension ref="B3:I36"/>
  <sheetViews>
    <sheetView topLeftCell="A9"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1802</v>
      </c>
      <c r="C13" s="355" t="s">
        <v>1807</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10800</v>
      </c>
      <c r="I18" s="24">
        <f>H18/F18</f>
        <v>10800</v>
      </c>
    </row>
    <row r="19" spans="2:9" s="201" customFormat="1" ht="12">
      <c r="B19" s="365" t="s">
        <v>2001</v>
      </c>
      <c r="C19" s="365"/>
      <c r="D19" s="365"/>
      <c r="E19" s="365"/>
      <c r="F19" s="365"/>
      <c r="G19" s="365"/>
      <c r="H19" s="365"/>
      <c r="I19" s="202">
        <f>SUM(I18:I18)</f>
        <v>10800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4">
        <v>1</v>
      </c>
      <c r="G22" s="24"/>
      <c r="H22" s="24">
        <v>27000</v>
      </c>
      <c r="I22" s="24">
        <f>F22*H22</f>
        <v>27000</v>
      </c>
    </row>
    <row r="23" spans="2:9" s="201" customFormat="1" ht="12">
      <c r="B23" s="365" t="s">
        <v>2001</v>
      </c>
      <c r="C23" s="365"/>
      <c r="D23" s="365"/>
      <c r="E23" s="365"/>
      <c r="F23" s="365"/>
      <c r="G23" s="365"/>
      <c r="H23" s="365"/>
      <c r="I23" s="202">
        <f>SUM(I22:I22)</f>
        <v>27000</v>
      </c>
    </row>
    <row r="24" spans="2:9" s="201" customFormat="1" ht="12">
      <c r="B24" s="365" t="s">
        <v>1062</v>
      </c>
      <c r="C24" s="365"/>
      <c r="D24" s="365"/>
      <c r="E24" s="365"/>
      <c r="F24" s="365"/>
      <c r="G24" s="365"/>
      <c r="H24" s="24">
        <v>0.05</v>
      </c>
      <c r="I24" s="24">
        <f>I23*H24</f>
        <v>1350</v>
      </c>
    </row>
    <row r="25" spans="2:9" s="201" customFormat="1" ht="12">
      <c r="B25" s="365" t="s">
        <v>73</v>
      </c>
      <c r="C25" s="365"/>
      <c r="D25" s="365"/>
      <c r="E25" s="365"/>
      <c r="F25" s="365"/>
      <c r="G25" s="365"/>
      <c r="H25" s="365"/>
      <c r="I25" s="202">
        <f>I23+I24</f>
        <v>28350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2107</v>
      </c>
      <c r="D32" s="368"/>
      <c r="E32" s="24">
        <v>8</v>
      </c>
      <c r="F32" s="24" t="s">
        <v>213</v>
      </c>
      <c r="G32" s="24">
        <v>13500</v>
      </c>
      <c r="H32" s="24">
        <v>1</v>
      </c>
      <c r="I32" s="24">
        <f>E32*G32/H32</f>
        <v>108000</v>
      </c>
    </row>
    <row r="33" spans="2:9" s="201" customFormat="1" ht="15" customHeight="1">
      <c r="B33" s="24" t="s">
        <v>2024</v>
      </c>
      <c r="C33" s="368" t="s">
        <v>2108</v>
      </c>
      <c r="D33" s="368"/>
      <c r="E33" s="24">
        <v>8</v>
      </c>
      <c r="F33" s="24" t="s">
        <v>213</v>
      </c>
      <c r="G33" s="24">
        <v>21500</v>
      </c>
      <c r="H33" s="24">
        <f>E33*G33/I33</f>
        <v>0.43782614229349626</v>
      </c>
      <c r="I33" s="24">
        <f>540000-I19-I25-I29-SUM(I32:I32)</f>
        <v>392850</v>
      </c>
    </row>
    <row r="34" spans="2:9" s="201" customFormat="1" ht="12">
      <c r="B34" s="365" t="s">
        <v>2001</v>
      </c>
      <c r="C34" s="365"/>
      <c r="D34" s="365"/>
      <c r="E34" s="365"/>
      <c r="F34" s="365"/>
      <c r="G34" s="365"/>
      <c r="H34" s="365"/>
      <c r="I34" s="202">
        <f>SUM(I32:I33)</f>
        <v>500850</v>
      </c>
    </row>
    <row r="35" spans="2:9" s="201" customFormat="1" ht="12"/>
    <row r="36" spans="2:9" s="201" customFormat="1" ht="12">
      <c r="B36" s="366" t="s">
        <v>2026</v>
      </c>
      <c r="C36" s="366"/>
      <c r="D36" s="366"/>
      <c r="E36" s="366"/>
      <c r="F36" s="366"/>
      <c r="G36" s="366"/>
      <c r="H36" s="366"/>
      <c r="I36" s="206">
        <f>I19+I25+I29+I34</f>
        <v>540000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6:H36"/>
    <mergeCell ref="B30:I30"/>
    <mergeCell ref="C31:D31"/>
    <mergeCell ref="C32:D32"/>
    <mergeCell ref="C33:D33"/>
    <mergeCell ref="B34:H34"/>
  </mergeCell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D42A-738D-44E0-ACB1-ECB949916D83}">
  <sheetPr codeName="Hoja170"/>
  <dimension ref="B3:I36"/>
  <sheetViews>
    <sheetView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1805</v>
      </c>
      <c r="C13" s="355" t="s">
        <v>1808</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21120</v>
      </c>
      <c r="I18" s="24">
        <f>H18/F18</f>
        <v>21120</v>
      </c>
    </row>
    <row r="19" spans="2:9" s="201" customFormat="1" ht="12">
      <c r="B19" s="365" t="s">
        <v>2001</v>
      </c>
      <c r="C19" s="365"/>
      <c r="D19" s="365"/>
      <c r="E19" s="365"/>
      <c r="F19" s="365"/>
      <c r="G19" s="365"/>
      <c r="H19" s="365"/>
      <c r="I19" s="202">
        <f>SUM(I18:I18)</f>
        <v>21120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2100</v>
      </c>
      <c r="C22" s="368" t="s">
        <v>2101</v>
      </c>
      <c r="D22" s="368"/>
      <c r="E22" s="24" t="s">
        <v>390</v>
      </c>
      <c r="F22" s="24">
        <v>1</v>
      </c>
      <c r="G22" s="24"/>
      <c r="H22" s="24">
        <v>52800</v>
      </c>
      <c r="I22" s="24">
        <f>F22*H22</f>
        <v>52800</v>
      </c>
    </row>
    <row r="23" spans="2:9" s="201" customFormat="1" ht="12">
      <c r="B23" s="365" t="s">
        <v>2001</v>
      </c>
      <c r="C23" s="365"/>
      <c r="D23" s="365"/>
      <c r="E23" s="365"/>
      <c r="F23" s="365"/>
      <c r="G23" s="365"/>
      <c r="H23" s="365"/>
      <c r="I23" s="202">
        <f>SUM(I22:I22)</f>
        <v>52800</v>
      </c>
    </row>
    <row r="24" spans="2:9" s="201" customFormat="1" ht="12">
      <c r="B24" s="365" t="s">
        <v>1062</v>
      </c>
      <c r="C24" s="365"/>
      <c r="D24" s="365"/>
      <c r="E24" s="365"/>
      <c r="F24" s="365"/>
      <c r="G24" s="365"/>
      <c r="H24" s="24">
        <v>0.05</v>
      </c>
      <c r="I24" s="24">
        <f>I23*H24</f>
        <v>2640</v>
      </c>
    </row>
    <row r="25" spans="2:9" s="201" customFormat="1" ht="12">
      <c r="B25" s="365" t="s">
        <v>73</v>
      </c>
      <c r="C25" s="365"/>
      <c r="D25" s="365"/>
      <c r="E25" s="365"/>
      <c r="F25" s="365"/>
      <c r="G25" s="365"/>
      <c r="H25" s="365"/>
      <c r="I25" s="202">
        <f>I23+I24</f>
        <v>55440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2109</v>
      </c>
      <c r="D32" s="368"/>
      <c r="E32" s="24">
        <v>10</v>
      </c>
      <c r="F32" s="24" t="s">
        <v>213</v>
      </c>
      <c r="G32" s="24">
        <v>13500</v>
      </c>
      <c r="H32" s="24">
        <v>1</v>
      </c>
      <c r="I32" s="24">
        <f>E32*G32/H32</f>
        <v>135000</v>
      </c>
    </row>
    <row r="33" spans="2:9" s="201" customFormat="1" ht="28.35" customHeight="1">
      <c r="B33" s="24" t="s">
        <v>2024</v>
      </c>
      <c r="C33" s="368" t="s">
        <v>2110</v>
      </c>
      <c r="D33" s="368"/>
      <c r="E33" s="24">
        <v>10</v>
      </c>
      <c r="F33" s="24" t="s">
        <v>213</v>
      </c>
      <c r="G33" s="24">
        <v>27500</v>
      </c>
      <c r="H33" s="24">
        <f>E33*G33/I33</f>
        <v>0.32565960873478283</v>
      </c>
      <c r="I33" s="24">
        <f>1056000-I19-I25-I29-SUM(I32:I32)</f>
        <v>844440</v>
      </c>
    </row>
    <row r="34" spans="2:9" s="201" customFormat="1" ht="12">
      <c r="B34" s="365" t="s">
        <v>2001</v>
      </c>
      <c r="C34" s="365"/>
      <c r="D34" s="365"/>
      <c r="E34" s="365"/>
      <c r="F34" s="365"/>
      <c r="G34" s="365"/>
      <c r="H34" s="365"/>
      <c r="I34" s="202">
        <f>SUM(I32:I33)</f>
        <v>979440</v>
      </c>
    </row>
    <row r="35" spans="2:9" s="201" customFormat="1"/>
    <row r="36" spans="2:9" s="201" customFormat="1" ht="12">
      <c r="B36" s="366" t="s">
        <v>2026</v>
      </c>
      <c r="C36" s="366"/>
      <c r="D36" s="366"/>
      <c r="E36" s="366"/>
      <c r="F36" s="366"/>
      <c r="G36" s="366"/>
      <c r="H36" s="366"/>
      <c r="I36" s="206">
        <f>I19+I25+I29+I34</f>
        <v>1056000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B23:H23"/>
    <mergeCell ref="B24:G24"/>
    <mergeCell ref="B25:H25"/>
    <mergeCell ref="B26:I26"/>
    <mergeCell ref="B29:H29"/>
    <mergeCell ref="B30:I30"/>
    <mergeCell ref="C31:D31"/>
    <mergeCell ref="C32:D32"/>
    <mergeCell ref="C33:D33"/>
    <mergeCell ref="B34:H34"/>
  </mergeCell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4C3F-6DB1-42C4-A7D7-A5524CDC8913}">
  <sheetPr codeName="Hoja171"/>
  <dimension ref="B3:I36"/>
  <sheetViews>
    <sheetView topLeftCell="A7" zoomScaleNormal="100" workbookViewId="0">
      <selection activeCell="K17" sqref="K1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1806</v>
      </c>
      <c r="C13" s="355" t="s">
        <v>1809</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193" customFormat="1" ht="15" customHeight="1">
      <c r="B16" s="360" t="s">
        <v>57</v>
      </c>
      <c r="C16" s="360"/>
      <c r="D16" s="360"/>
      <c r="E16" s="360"/>
      <c r="F16" s="360"/>
      <c r="G16" s="360"/>
      <c r="H16" s="360"/>
      <c r="I16" s="360"/>
    </row>
    <row r="17" spans="2:9" s="193" customFormat="1" ht="15" customHeight="1">
      <c r="B17" s="105" t="s">
        <v>42</v>
      </c>
      <c r="C17" s="360" t="s">
        <v>58</v>
      </c>
      <c r="D17" s="360"/>
      <c r="E17" s="105" t="s">
        <v>1</v>
      </c>
      <c r="F17" s="105" t="s">
        <v>60</v>
      </c>
      <c r="G17" s="105"/>
      <c r="H17" s="105" t="s">
        <v>61</v>
      </c>
      <c r="I17" s="105" t="s">
        <v>79</v>
      </c>
    </row>
    <row r="18" spans="2:9" s="193" customFormat="1" ht="28.35" customHeight="1">
      <c r="B18" s="17" t="s">
        <v>2007</v>
      </c>
      <c r="C18" s="361" t="s">
        <v>2008</v>
      </c>
      <c r="D18" s="361"/>
      <c r="E18" s="17" t="s">
        <v>390</v>
      </c>
      <c r="F18" s="17">
        <v>1</v>
      </c>
      <c r="G18" s="17"/>
      <c r="H18" s="189">
        <v>21900</v>
      </c>
      <c r="I18" s="189">
        <f>H18/F18</f>
        <v>21900</v>
      </c>
    </row>
    <row r="19" spans="2:9" s="193" customFormat="1" ht="12">
      <c r="B19" s="362" t="s">
        <v>2001</v>
      </c>
      <c r="C19" s="362"/>
      <c r="D19" s="362"/>
      <c r="E19" s="362"/>
      <c r="F19" s="362"/>
      <c r="G19" s="362"/>
      <c r="H19" s="362"/>
      <c r="I19" s="190">
        <f>SUM(I18:I18)</f>
        <v>21900</v>
      </c>
    </row>
    <row r="20" spans="2:9" s="193" customFormat="1" ht="15" customHeight="1">
      <c r="B20" s="360" t="s">
        <v>2009</v>
      </c>
      <c r="C20" s="360"/>
      <c r="D20" s="360"/>
      <c r="E20" s="360"/>
      <c r="F20" s="360"/>
      <c r="G20" s="360"/>
      <c r="H20" s="360"/>
      <c r="I20" s="360"/>
    </row>
    <row r="21" spans="2:9" s="193" customFormat="1" ht="15" customHeight="1">
      <c r="B21" s="105" t="s">
        <v>42</v>
      </c>
      <c r="C21" s="360" t="s">
        <v>58</v>
      </c>
      <c r="D21" s="360"/>
      <c r="E21" s="105" t="s">
        <v>1</v>
      </c>
      <c r="F21" s="105" t="s">
        <v>67</v>
      </c>
      <c r="G21" s="105"/>
      <c r="H21" s="105" t="s">
        <v>61</v>
      </c>
      <c r="I21" s="105" t="s">
        <v>79</v>
      </c>
    </row>
    <row r="22" spans="2:9" s="193" customFormat="1" ht="15" customHeight="1">
      <c r="B22" s="17" t="s">
        <v>2111</v>
      </c>
      <c r="C22" s="361" t="s">
        <v>2112</v>
      </c>
      <c r="D22" s="361"/>
      <c r="E22" s="17" t="s">
        <v>780</v>
      </c>
      <c r="F22" s="17">
        <v>1</v>
      </c>
      <c r="G22" s="17"/>
      <c r="H22" s="189">
        <v>1539257.14</v>
      </c>
      <c r="I22" s="189">
        <f>F22*H22</f>
        <v>1539257.14</v>
      </c>
    </row>
    <row r="23" spans="2:9" s="193" customFormat="1" ht="15" customHeight="1">
      <c r="B23" s="17" t="s">
        <v>2113</v>
      </c>
      <c r="C23" s="361" t="s">
        <v>2114</v>
      </c>
      <c r="D23" s="361"/>
      <c r="E23" s="17" t="s">
        <v>390</v>
      </c>
      <c r="F23" s="17">
        <v>1</v>
      </c>
      <c r="G23" s="17"/>
      <c r="H23" s="189">
        <v>171028.57</v>
      </c>
      <c r="I23" s="189">
        <f>F23*H23</f>
        <v>171028.57</v>
      </c>
    </row>
    <row r="24" spans="2:9" s="193" customFormat="1" ht="12">
      <c r="B24" s="362" t="s">
        <v>2001</v>
      </c>
      <c r="C24" s="362"/>
      <c r="D24" s="362"/>
      <c r="E24" s="362"/>
      <c r="F24" s="362"/>
      <c r="G24" s="362"/>
      <c r="H24" s="362"/>
      <c r="I24" s="190">
        <f>SUM(I22:I23)</f>
        <v>1710285.71</v>
      </c>
    </row>
    <row r="25" spans="2:9" s="193" customFormat="1" ht="12">
      <c r="B25" s="362" t="s">
        <v>1062</v>
      </c>
      <c r="C25" s="362"/>
      <c r="D25" s="362"/>
      <c r="E25" s="362"/>
      <c r="F25" s="362"/>
      <c r="G25" s="362"/>
      <c r="H25" s="191">
        <v>0.05</v>
      </c>
      <c r="I25" s="189">
        <f>I24*H25</f>
        <v>85514.285499999998</v>
      </c>
    </row>
    <row r="26" spans="2:9" s="193" customFormat="1" ht="12">
      <c r="B26" s="362" t="s">
        <v>73</v>
      </c>
      <c r="C26" s="362"/>
      <c r="D26" s="362"/>
      <c r="E26" s="362"/>
      <c r="F26" s="362"/>
      <c r="G26" s="362"/>
      <c r="H26" s="362"/>
      <c r="I26" s="190">
        <f>I24+I25</f>
        <v>1795799.9955</v>
      </c>
    </row>
    <row r="27" spans="2:9" s="193" customFormat="1" ht="15" customHeight="1">
      <c r="B27" s="360" t="s">
        <v>2016</v>
      </c>
      <c r="C27" s="360"/>
      <c r="D27" s="360"/>
      <c r="E27" s="360"/>
      <c r="F27" s="360"/>
      <c r="G27" s="360"/>
      <c r="H27" s="360"/>
      <c r="I27" s="360"/>
    </row>
    <row r="28" spans="2:9" s="193" customFormat="1" ht="12">
      <c r="B28" s="105" t="s">
        <v>42</v>
      </c>
      <c r="C28" s="105" t="s">
        <v>58</v>
      </c>
      <c r="D28" s="105" t="s">
        <v>136</v>
      </c>
      <c r="E28" s="105" t="s">
        <v>0</v>
      </c>
      <c r="F28" s="105" t="s">
        <v>2017</v>
      </c>
      <c r="G28" s="105" t="s">
        <v>345</v>
      </c>
      <c r="H28" s="105" t="s">
        <v>61</v>
      </c>
      <c r="I28" s="105" t="s">
        <v>79</v>
      </c>
    </row>
    <row r="29" spans="2:9" s="193" customFormat="1" ht="12">
      <c r="B29" s="17" t="s">
        <v>2018</v>
      </c>
      <c r="C29" s="188" t="s">
        <v>2049</v>
      </c>
      <c r="D29" s="17" t="s">
        <v>390</v>
      </c>
      <c r="E29" s="17">
        <v>1</v>
      </c>
      <c r="F29" s="17">
        <v>1</v>
      </c>
      <c r="G29" s="189">
        <v>43800</v>
      </c>
      <c r="H29" s="189">
        <f>E29*F29*G29</f>
        <v>43800</v>
      </c>
      <c r="I29" s="189">
        <f>H29</f>
        <v>43800</v>
      </c>
    </row>
    <row r="30" spans="2:9" s="193" customFormat="1" ht="12">
      <c r="B30" s="362" t="s">
        <v>2001</v>
      </c>
      <c r="C30" s="362"/>
      <c r="D30" s="362"/>
      <c r="E30" s="362"/>
      <c r="F30" s="362"/>
      <c r="G30" s="362"/>
      <c r="H30" s="362"/>
      <c r="I30" s="190">
        <f>SUM(I29:I29)</f>
        <v>43800</v>
      </c>
    </row>
    <row r="31" spans="2:9" s="193" customFormat="1" ht="15" customHeight="1">
      <c r="B31" s="360" t="s">
        <v>2020</v>
      </c>
      <c r="C31" s="360"/>
      <c r="D31" s="360"/>
      <c r="E31" s="360"/>
      <c r="F31" s="360"/>
      <c r="G31" s="360"/>
      <c r="H31" s="360"/>
      <c r="I31" s="360"/>
    </row>
    <row r="32" spans="2:9" s="193" customFormat="1" ht="28.35" customHeight="1">
      <c r="B32" s="105" t="s">
        <v>42</v>
      </c>
      <c r="C32" s="360" t="s">
        <v>84</v>
      </c>
      <c r="D32" s="360"/>
      <c r="E32" s="105" t="s">
        <v>2021</v>
      </c>
      <c r="F32" s="105" t="s">
        <v>1</v>
      </c>
      <c r="G32" s="105" t="s">
        <v>77</v>
      </c>
      <c r="H32" s="105" t="s">
        <v>78</v>
      </c>
      <c r="I32" s="105" t="s">
        <v>79</v>
      </c>
    </row>
    <row r="33" spans="2:9" s="193" customFormat="1" ht="15" customHeight="1">
      <c r="B33" s="17" t="s">
        <v>2022</v>
      </c>
      <c r="C33" s="361" t="s">
        <v>2115</v>
      </c>
      <c r="D33" s="361"/>
      <c r="E33" s="17">
        <v>8</v>
      </c>
      <c r="F33" s="17" t="s">
        <v>213</v>
      </c>
      <c r="G33" s="189">
        <v>21500</v>
      </c>
      <c r="H33" s="192">
        <f>E33*G33/I33</f>
        <v>0.52359207806342656</v>
      </c>
      <c r="I33" s="189">
        <f>2190000-I19-I26-I30-0</f>
        <v>328500.00450000004</v>
      </c>
    </row>
    <row r="34" spans="2:9" s="193" customFormat="1" ht="12">
      <c r="B34" s="362" t="s">
        <v>2001</v>
      </c>
      <c r="C34" s="362"/>
      <c r="D34" s="362"/>
      <c r="E34" s="362"/>
      <c r="F34" s="362"/>
      <c r="G34" s="362"/>
      <c r="H34" s="362"/>
      <c r="I34" s="190">
        <f>SUM(I33:I33)</f>
        <v>328500.00450000004</v>
      </c>
    </row>
    <row r="35" spans="2:9" s="193" customFormat="1" ht="12"/>
    <row r="36" spans="2:9" s="193" customFormat="1" ht="12">
      <c r="B36" s="363" t="s">
        <v>2026</v>
      </c>
      <c r="C36" s="363"/>
      <c r="D36" s="363"/>
      <c r="E36" s="363"/>
      <c r="F36" s="363"/>
      <c r="G36" s="363"/>
      <c r="H36" s="363"/>
      <c r="I36" s="194">
        <f>I19+I26+I30+I34</f>
        <v>2190000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4:H34"/>
    <mergeCell ref="B36:H36"/>
    <mergeCell ref="C22:D22"/>
    <mergeCell ref="C23:D23"/>
    <mergeCell ref="B24:H24"/>
    <mergeCell ref="B25:G25"/>
    <mergeCell ref="B26:H26"/>
    <mergeCell ref="B27:I27"/>
    <mergeCell ref="B30:H30"/>
    <mergeCell ref="B31:I31"/>
    <mergeCell ref="C32:D32"/>
    <mergeCell ref="C33:D33"/>
  </mergeCell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521F8-BE98-4984-B831-48F48540FFE7}">
  <sheetPr codeName="Hoja172"/>
  <dimension ref="B3:I41"/>
  <sheetViews>
    <sheetView zoomScaleNormal="100" workbookViewId="0">
      <selection activeCell="L21" sqref="L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1810</v>
      </c>
      <c r="C13" s="355" t="s">
        <v>2116</v>
      </c>
      <c r="D13" s="355"/>
      <c r="E13" s="355"/>
      <c r="F13" s="355"/>
      <c r="G13" s="286" t="s">
        <v>780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9955</v>
      </c>
      <c r="I18" s="24">
        <f>H18/F18</f>
        <v>9955</v>
      </c>
    </row>
    <row r="19" spans="2:9" s="201" customFormat="1" ht="15" customHeight="1">
      <c r="B19" s="24" t="s">
        <v>2118</v>
      </c>
      <c r="C19" s="368" t="s">
        <v>2119</v>
      </c>
      <c r="D19" s="368"/>
      <c r="E19" s="24" t="s">
        <v>213</v>
      </c>
      <c r="F19" s="24">
        <v>1</v>
      </c>
      <c r="G19" s="24"/>
      <c r="H19" s="24">
        <v>9955</v>
      </c>
      <c r="I19" s="24">
        <f>H19/F19</f>
        <v>9955</v>
      </c>
    </row>
    <row r="20" spans="2:9" s="201" customFormat="1" ht="12">
      <c r="B20" s="365" t="s">
        <v>2001</v>
      </c>
      <c r="C20" s="365"/>
      <c r="D20" s="365"/>
      <c r="E20" s="365"/>
      <c r="F20" s="365"/>
      <c r="G20" s="365"/>
      <c r="H20" s="365"/>
      <c r="I20" s="202">
        <f>SUM(I18:I19)</f>
        <v>19910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15" customHeight="1">
      <c r="B23" s="24" t="s">
        <v>2120</v>
      </c>
      <c r="C23" s="368" t="s">
        <v>2121</v>
      </c>
      <c r="D23" s="368"/>
      <c r="E23" s="24" t="s">
        <v>346</v>
      </c>
      <c r="F23" s="24">
        <v>0.35</v>
      </c>
      <c r="G23" s="24"/>
      <c r="H23" s="24">
        <v>511981.71</v>
      </c>
      <c r="I23" s="24">
        <f>F23*H23</f>
        <v>179193.59849999999</v>
      </c>
    </row>
    <row r="24" spans="2:9" s="201" customFormat="1" ht="15" customHeight="1">
      <c r="B24" s="24" t="s">
        <v>2122</v>
      </c>
      <c r="C24" s="368" t="s">
        <v>2123</v>
      </c>
      <c r="D24" s="368"/>
      <c r="E24" s="24" t="s">
        <v>350</v>
      </c>
      <c r="F24" s="24">
        <v>12</v>
      </c>
      <c r="G24" s="24"/>
      <c r="H24" s="24">
        <v>6399.77</v>
      </c>
      <c r="I24" s="24">
        <f>F24*H24</f>
        <v>76797.240000000005</v>
      </c>
    </row>
    <row r="25" spans="2:9" s="201" customFormat="1" ht="15" customHeight="1">
      <c r="B25" s="24" t="s">
        <v>2124</v>
      </c>
      <c r="C25" s="368" t="s">
        <v>2125</v>
      </c>
      <c r="D25" s="368"/>
      <c r="E25" s="24" t="s">
        <v>196</v>
      </c>
      <c r="F25" s="24">
        <v>2</v>
      </c>
      <c r="G25" s="24"/>
      <c r="H25" s="24">
        <v>21332.57</v>
      </c>
      <c r="I25" s="24">
        <f>F25*H25</f>
        <v>42665.14</v>
      </c>
    </row>
    <row r="26" spans="2:9" s="201" customFormat="1" ht="15" customHeight="1">
      <c r="B26" s="24" t="s">
        <v>2126</v>
      </c>
      <c r="C26" s="368" t="s">
        <v>2127</v>
      </c>
      <c r="D26" s="368"/>
      <c r="E26" s="24" t="s">
        <v>390</v>
      </c>
      <c r="F26" s="24">
        <v>1</v>
      </c>
      <c r="G26" s="24"/>
      <c r="H26" s="24">
        <v>42665.14</v>
      </c>
      <c r="I26" s="24">
        <f>F26*H26</f>
        <v>42665.14</v>
      </c>
    </row>
    <row r="27" spans="2:9" s="201" customFormat="1" ht="15" customHeight="1">
      <c r="B27" s="24" t="s">
        <v>2128</v>
      </c>
      <c r="C27" s="368" t="s">
        <v>2129</v>
      </c>
      <c r="D27" s="368"/>
      <c r="E27" s="24" t="s">
        <v>780</v>
      </c>
      <c r="F27" s="24">
        <v>1</v>
      </c>
      <c r="G27" s="24"/>
      <c r="H27" s="24">
        <v>85330.29</v>
      </c>
      <c r="I27" s="24">
        <f>F27*H27</f>
        <v>85330.29</v>
      </c>
    </row>
    <row r="28" spans="2:9" s="201" customFormat="1" ht="12">
      <c r="B28" s="365" t="s">
        <v>2001</v>
      </c>
      <c r="C28" s="365"/>
      <c r="D28" s="365"/>
      <c r="E28" s="365"/>
      <c r="F28" s="365"/>
      <c r="G28" s="365"/>
      <c r="H28" s="365"/>
      <c r="I28" s="202">
        <f>SUM(I23:I27)</f>
        <v>426651.40850000002</v>
      </c>
    </row>
    <row r="29" spans="2:9" s="201" customFormat="1" ht="12">
      <c r="B29" s="365" t="s">
        <v>1062</v>
      </c>
      <c r="C29" s="365"/>
      <c r="D29" s="365"/>
      <c r="E29" s="365"/>
      <c r="F29" s="365"/>
      <c r="G29" s="365"/>
      <c r="H29" s="24">
        <v>0.05</v>
      </c>
      <c r="I29" s="24">
        <f>I28*H29</f>
        <v>21332.570425000002</v>
      </c>
    </row>
    <row r="30" spans="2:9" s="201" customFormat="1" ht="12">
      <c r="B30" s="365" t="s">
        <v>73</v>
      </c>
      <c r="C30" s="365"/>
      <c r="D30" s="365"/>
      <c r="E30" s="365"/>
      <c r="F30" s="365"/>
      <c r="G30" s="365"/>
      <c r="H30" s="365"/>
      <c r="I30" s="202">
        <f>I28+I29</f>
        <v>447983.978925</v>
      </c>
    </row>
    <row r="31" spans="2:9" s="201" customFormat="1" ht="15" customHeight="1">
      <c r="B31" s="367" t="s">
        <v>2016</v>
      </c>
      <c r="C31" s="367"/>
      <c r="D31" s="367"/>
      <c r="E31" s="367"/>
      <c r="F31" s="367"/>
      <c r="G31" s="367"/>
      <c r="H31" s="367"/>
      <c r="I31" s="367"/>
    </row>
    <row r="32" spans="2:9" s="201" customFormat="1" ht="12">
      <c r="B32" s="202" t="s">
        <v>42</v>
      </c>
      <c r="C32" s="202" t="s">
        <v>58</v>
      </c>
      <c r="D32" s="202" t="s">
        <v>136</v>
      </c>
      <c r="E32" s="202" t="s">
        <v>0</v>
      </c>
      <c r="F32" s="202" t="s">
        <v>2017</v>
      </c>
      <c r="G32" s="202" t="s">
        <v>345</v>
      </c>
      <c r="H32" s="202" t="s">
        <v>61</v>
      </c>
      <c r="I32" s="202" t="s">
        <v>79</v>
      </c>
    </row>
    <row r="33" spans="2:9" s="201" customFormat="1">
      <c r="B33" s="24" t="s">
        <v>2018</v>
      </c>
      <c r="C33" s="203" t="s">
        <v>2130</v>
      </c>
      <c r="D33" s="24" t="s">
        <v>390</v>
      </c>
      <c r="E33" s="24">
        <v>1</v>
      </c>
      <c r="F33" s="24">
        <v>1</v>
      </c>
      <c r="G33" s="24">
        <v>29865.599999999999</v>
      </c>
      <c r="H33" s="24">
        <f>E33*F33*G33</f>
        <v>29865.599999999999</v>
      </c>
      <c r="I33" s="24">
        <f>H33</f>
        <v>29865.599999999999</v>
      </c>
    </row>
    <row r="34" spans="2:9" s="201" customFormat="1" ht="12">
      <c r="B34" s="365" t="s">
        <v>2001</v>
      </c>
      <c r="C34" s="365"/>
      <c r="D34" s="365"/>
      <c r="E34" s="365"/>
      <c r="F34" s="365"/>
      <c r="G34" s="365"/>
      <c r="H34" s="365"/>
      <c r="I34" s="202">
        <f>SUM(I33:I33)</f>
        <v>29865.599999999999</v>
      </c>
    </row>
    <row r="35" spans="2:9" s="201" customFormat="1" ht="15" customHeight="1">
      <c r="B35" s="367" t="s">
        <v>2020</v>
      </c>
      <c r="C35" s="367"/>
      <c r="D35" s="367"/>
      <c r="E35" s="367"/>
      <c r="F35" s="367"/>
      <c r="G35" s="367"/>
      <c r="H35" s="367"/>
      <c r="I35" s="367"/>
    </row>
    <row r="36" spans="2:9" s="201" customFormat="1" ht="28.35" customHeight="1">
      <c r="B36" s="202" t="s">
        <v>42</v>
      </c>
      <c r="C36" s="367" t="s">
        <v>84</v>
      </c>
      <c r="D36" s="367"/>
      <c r="E36" s="202" t="s">
        <v>2021</v>
      </c>
      <c r="F36" s="202" t="s">
        <v>1</v>
      </c>
      <c r="G36" s="202" t="s">
        <v>77</v>
      </c>
      <c r="H36" s="202" t="s">
        <v>78</v>
      </c>
      <c r="I36" s="202" t="s">
        <v>79</v>
      </c>
    </row>
    <row r="37" spans="2:9" s="201" customFormat="1" ht="15" customHeight="1">
      <c r="B37" s="24" t="s">
        <v>2022</v>
      </c>
      <c r="C37" s="368" t="s">
        <v>2131</v>
      </c>
      <c r="D37" s="368"/>
      <c r="E37" s="24">
        <v>8</v>
      </c>
      <c r="F37" s="24" t="s">
        <v>213</v>
      </c>
      <c r="G37" s="24">
        <v>13500</v>
      </c>
      <c r="H37" s="24">
        <v>1</v>
      </c>
      <c r="I37" s="24">
        <f>E37*G37/H37</f>
        <v>108000</v>
      </c>
    </row>
    <row r="38" spans="2:9" s="201" customFormat="1" ht="28.35" customHeight="1">
      <c r="B38" s="24" t="s">
        <v>2024</v>
      </c>
      <c r="C38" s="368" t="s">
        <v>2132</v>
      </c>
      <c r="D38" s="368"/>
      <c r="E38" s="24">
        <v>8</v>
      </c>
      <c r="F38" s="24" t="s">
        <v>213</v>
      </c>
      <c r="G38" s="24">
        <v>21500</v>
      </c>
      <c r="H38" s="24">
        <f>E38*G38/I38</f>
        <v>0.44129673178617257</v>
      </c>
      <c r="I38" s="24">
        <f>995520-I20-I30-I34-SUM(I37:I37)</f>
        <v>389760.42107500008</v>
      </c>
    </row>
    <row r="39" spans="2:9" s="201" customFormat="1" ht="12">
      <c r="B39" s="365" t="s">
        <v>2001</v>
      </c>
      <c r="C39" s="365"/>
      <c r="D39" s="365"/>
      <c r="E39" s="365"/>
      <c r="F39" s="365"/>
      <c r="G39" s="365"/>
      <c r="H39" s="365"/>
      <c r="I39" s="202">
        <f>SUM(I37:I38)</f>
        <v>497760.42107500008</v>
      </c>
    </row>
    <row r="40" spans="2:9" s="201" customFormat="1"/>
    <row r="41" spans="2:9" s="201" customFormat="1" ht="12">
      <c r="B41" s="366" t="s">
        <v>2026</v>
      </c>
      <c r="C41" s="366"/>
      <c r="D41" s="366"/>
      <c r="E41" s="366"/>
      <c r="F41" s="366"/>
      <c r="G41" s="366"/>
      <c r="H41" s="366"/>
      <c r="I41" s="206">
        <f>I20+I30+I34+I39</f>
        <v>995520</v>
      </c>
    </row>
  </sheetData>
  <mergeCells count="42">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7:D27"/>
    <mergeCell ref="B16:I16"/>
    <mergeCell ref="C17:D17"/>
    <mergeCell ref="C18:D18"/>
    <mergeCell ref="C19:D19"/>
    <mergeCell ref="B20:H20"/>
    <mergeCell ref="B21:I21"/>
    <mergeCell ref="C22:D22"/>
    <mergeCell ref="C23:D23"/>
    <mergeCell ref="C24:D24"/>
    <mergeCell ref="C25:D25"/>
    <mergeCell ref="C26:D26"/>
    <mergeCell ref="B39:H39"/>
    <mergeCell ref="B41:H41"/>
    <mergeCell ref="B28:H28"/>
    <mergeCell ref="B29:G29"/>
    <mergeCell ref="B35:I35"/>
    <mergeCell ref="C36:D36"/>
    <mergeCell ref="C37:D37"/>
    <mergeCell ref="C38:D38"/>
    <mergeCell ref="B30:H30"/>
    <mergeCell ref="B31:I31"/>
    <mergeCell ref="B34:H34"/>
  </mergeCells>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24853-2841-46AA-B626-565B2B27AD2C}">
  <sheetPr codeName="Hoja173"/>
  <dimension ref="B3:I41"/>
  <sheetViews>
    <sheetView topLeftCell="A7" zoomScaleNormal="100" workbookViewId="0">
      <selection activeCell="K19" sqref="K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1811</v>
      </c>
      <c r="C13" s="355" t="s">
        <v>2133</v>
      </c>
      <c r="D13" s="355"/>
      <c r="E13" s="355"/>
      <c r="F13" s="355"/>
      <c r="G13" s="286" t="s">
        <v>780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04">
        <v>1</v>
      </c>
      <c r="G18" s="24"/>
      <c r="H18" s="24">
        <v>10782</v>
      </c>
      <c r="I18" s="24">
        <f>H18/F18</f>
        <v>10782</v>
      </c>
    </row>
    <row r="19" spans="2:9" s="201" customFormat="1" ht="15" customHeight="1">
      <c r="B19" s="24" t="s">
        <v>2118</v>
      </c>
      <c r="C19" s="368" t="s">
        <v>2119</v>
      </c>
      <c r="D19" s="368"/>
      <c r="E19" s="24" t="s">
        <v>213</v>
      </c>
      <c r="F19" s="204">
        <v>1</v>
      </c>
      <c r="G19" s="24"/>
      <c r="H19" s="24">
        <v>10782</v>
      </c>
      <c r="I19" s="24">
        <f>H19/F19</f>
        <v>10782</v>
      </c>
    </row>
    <row r="20" spans="2:9" s="201" customFormat="1" ht="12">
      <c r="B20" s="365" t="s">
        <v>2001</v>
      </c>
      <c r="C20" s="365"/>
      <c r="D20" s="365"/>
      <c r="E20" s="365"/>
      <c r="F20" s="365"/>
      <c r="G20" s="365"/>
      <c r="H20" s="365"/>
      <c r="I20" s="202">
        <f>SUM(I18:I19)</f>
        <v>21564</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15" customHeight="1">
      <c r="B23" s="24" t="s">
        <v>2120</v>
      </c>
      <c r="C23" s="368" t="s">
        <v>2121</v>
      </c>
      <c r="D23" s="368"/>
      <c r="E23" s="24" t="s">
        <v>346</v>
      </c>
      <c r="F23" s="204">
        <v>0.35</v>
      </c>
      <c r="G23" s="24"/>
      <c r="H23" s="24">
        <v>554502.86</v>
      </c>
      <c r="I23" s="24">
        <f>F23*H23</f>
        <v>194076.00099999999</v>
      </c>
    </row>
    <row r="24" spans="2:9" s="201" customFormat="1" ht="15" customHeight="1">
      <c r="B24" s="24" t="s">
        <v>2122</v>
      </c>
      <c r="C24" s="368" t="s">
        <v>2123</v>
      </c>
      <c r="D24" s="368"/>
      <c r="E24" s="24" t="s">
        <v>350</v>
      </c>
      <c r="F24" s="204">
        <v>12</v>
      </c>
      <c r="G24" s="24"/>
      <c r="H24" s="24">
        <v>6931.29</v>
      </c>
      <c r="I24" s="24">
        <f>F24*H24</f>
        <v>83175.48</v>
      </c>
    </row>
    <row r="25" spans="2:9" s="201" customFormat="1" ht="15" customHeight="1">
      <c r="B25" s="24" t="s">
        <v>2124</v>
      </c>
      <c r="C25" s="368" t="s">
        <v>2125</v>
      </c>
      <c r="D25" s="368"/>
      <c r="E25" s="24" t="s">
        <v>196</v>
      </c>
      <c r="F25" s="204">
        <v>2</v>
      </c>
      <c r="G25" s="24"/>
      <c r="H25" s="24">
        <v>23104.29</v>
      </c>
      <c r="I25" s="24">
        <f>F25*H25</f>
        <v>46208.58</v>
      </c>
    </row>
    <row r="26" spans="2:9" s="201" customFormat="1" ht="15" customHeight="1">
      <c r="B26" s="24" t="s">
        <v>2126</v>
      </c>
      <c r="C26" s="368" t="s">
        <v>2127</v>
      </c>
      <c r="D26" s="368"/>
      <c r="E26" s="24" t="s">
        <v>390</v>
      </c>
      <c r="F26" s="204">
        <v>1</v>
      </c>
      <c r="G26" s="24"/>
      <c r="H26" s="24">
        <v>46208.57</v>
      </c>
      <c r="I26" s="24">
        <f>F26*H26</f>
        <v>46208.57</v>
      </c>
    </row>
    <row r="27" spans="2:9" s="201" customFormat="1" ht="15" customHeight="1">
      <c r="B27" s="24" t="s">
        <v>2128</v>
      </c>
      <c r="C27" s="368" t="s">
        <v>2129</v>
      </c>
      <c r="D27" s="368"/>
      <c r="E27" s="24" t="s">
        <v>780</v>
      </c>
      <c r="F27" s="204">
        <v>1</v>
      </c>
      <c r="G27" s="24"/>
      <c r="H27" s="24">
        <v>92417.14</v>
      </c>
      <c r="I27" s="24">
        <f>F27*H27</f>
        <v>92417.14</v>
      </c>
    </row>
    <row r="28" spans="2:9" s="201" customFormat="1" ht="12">
      <c r="B28" s="365" t="s">
        <v>2001</v>
      </c>
      <c r="C28" s="365"/>
      <c r="D28" s="365"/>
      <c r="E28" s="365"/>
      <c r="F28" s="365"/>
      <c r="G28" s="365"/>
      <c r="H28" s="365"/>
      <c r="I28" s="202">
        <f>SUM(I23:I27)</f>
        <v>462085.77100000001</v>
      </c>
    </row>
    <row r="29" spans="2:9" s="201" customFormat="1" ht="12">
      <c r="B29" s="365" t="s">
        <v>1062</v>
      </c>
      <c r="C29" s="365"/>
      <c r="D29" s="365"/>
      <c r="E29" s="365"/>
      <c r="F29" s="365"/>
      <c r="G29" s="365"/>
      <c r="H29" s="24">
        <v>0.05</v>
      </c>
      <c r="I29" s="24">
        <f>I28*H29</f>
        <v>23104.288550000001</v>
      </c>
    </row>
    <row r="30" spans="2:9" s="201" customFormat="1" ht="12">
      <c r="B30" s="365" t="s">
        <v>73</v>
      </c>
      <c r="C30" s="365"/>
      <c r="D30" s="365"/>
      <c r="E30" s="365"/>
      <c r="F30" s="365"/>
      <c r="G30" s="365"/>
      <c r="H30" s="365"/>
      <c r="I30" s="202">
        <f>I28+I29</f>
        <v>485190.05955000001</v>
      </c>
    </row>
    <row r="31" spans="2:9" s="201" customFormat="1" ht="15" customHeight="1">
      <c r="B31" s="367" t="s">
        <v>2016</v>
      </c>
      <c r="C31" s="367"/>
      <c r="D31" s="367"/>
      <c r="E31" s="367"/>
      <c r="F31" s="367"/>
      <c r="G31" s="367"/>
      <c r="H31" s="367"/>
      <c r="I31" s="367"/>
    </row>
    <row r="32" spans="2:9" s="201" customFormat="1" ht="12">
      <c r="B32" s="202" t="s">
        <v>42</v>
      </c>
      <c r="C32" s="202" t="s">
        <v>58</v>
      </c>
      <c r="D32" s="202" t="s">
        <v>136</v>
      </c>
      <c r="E32" s="202" t="s">
        <v>0</v>
      </c>
      <c r="F32" s="202" t="s">
        <v>2017</v>
      </c>
      <c r="G32" s="202" t="s">
        <v>345</v>
      </c>
      <c r="H32" s="202" t="s">
        <v>61</v>
      </c>
      <c r="I32" s="202" t="s">
        <v>79</v>
      </c>
    </row>
    <row r="33" spans="2:9" s="201" customFormat="1">
      <c r="B33" s="24" t="s">
        <v>2018</v>
      </c>
      <c r="C33" s="203" t="s">
        <v>2130</v>
      </c>
      <c r="D33" s="24" t="s">
        <v>390</v>
      </c>
      <c r="E33" s="204">
        <v>1</v>
      </c>
      <c r="F33" s="204">
        <v>1</v>
      </c>
      <c r="G33" s="24">
        <v>32346</v>
      </c>
      <c r="H33" s="24">
        <f>E33*F33*G33</f>
        <v>32346</v>
      </c>
      <c r="I33" s="24">
        <f>H33</f>
        <v>32346</v>
      </c>
    </row>
    <row r="34" spans="2:9" s="201" customFormat="1" ht="12">
      <c r="B34" s="365" t="s">
        <v>2001</v>
      </c>
      <c r="C34" s="365"/>
      <c r="D34" s="365"/>
      <c r="E34" s="365"/>
      <c r="F34" s="365"/>
      <c r="G34" s="365"/>
      <c r="H34" s="365"/>
      <c r="I34" s="202">
        <f>SUM(I33:I33)</f>
        <v>32346</v>
      </c>
    </row>
    <row r="35" spans="2:9" s="201" customFormat="1" ht="15" customHeight="1">
      <c r="B35" s="367" t="s">
        <v>2020</v>
      </c>
      <c r="C35" s="367"/>
      <c r="D35" s="367"/>
      <c r="E35" s="367"/>
      <c r="F35" s="367"/>
      <c r="G35" s="367"/>
      <c r="H35" s="367"/>
      <c r="I35" s="367"/>
    </row>
    <row r="36" spans="2:9" s="201" customFormat="1" ht="28.35" customHeight="1">
      <c r="B36" s="202" t="s">
        <v>42</v>
      </c>
      <c r="C36" s="367" t="s">
        <v>84</v>
      </c>
      <c r="D36" s="367"/>
      <c r="E36" s="202" t="s">
        <v>2021</v>
      </c>
      <c r="F36" s="202" t="s">
        <v>1</v>
      </c>
      <c r="G36" s="202" t="s">
        <v>77</v>
      </c>
      <c r="H36" s="202" t="s">
        <v>78</v>
      </c>
      <c r="I36" s="202" t="s">
        <v>79</v>
      </c>
    </row>
    <row r="37" spans="2:9" s="201" customFormat="1" ht="15" customHeight="1">
      <c r="B37" s="24" t="s">
        <v>2022</v>
      </c>
      <c r="C37" s="368" t="s">
        <v>2131</v>
      </c>
      <c r="D37" s="368"/>
      <c r="E37" s="204">
        <v>8</v>
      </c>
      <c r="F37" s="24" t="s">
        <v>213</v>
      </c>
      <c r="G37" s="24">
        <v>13500</v>
      </c>
      <c r="H37" s="204">
        <v>1</v>
      </c>
      <c r="I37" s="24">
        <f>E37*G37/H37</f>
        <v>108000</v>
      </c>
    </row>
    <row r="38" spans="2:9" s="201" customFormat="1" ht="28.35" customHeight="1">
      <c r="B38" s="24" t="s">
        <v>2024</v>
      </c>
      <c r="C38" s="368" t="s">
        <v>2132</v>
      </c>
      <c r="D38" s="368"/>
      <c r="E38" s="204">
        <v>8</v>
      </c>
      <c r="F38" s="24" t="s">
        <v>213</v>
      </c>
      <c r="G38" s="24">
        <v>21500</v>
      </c>
      <c r="H38" s="205">
        <f>E38*G38/I38</f>
        <v>0.39897941025104122</v>
      </c>
      <c r="I38" s="24">
        <f>1078200-I20-I30-I34-SUM(I37:I37)</f>
        <v>431099.94044999999</v>
      </c>
    </row>
    <row r="39" spans="2:9" s="201" customFormat="1" ht="12">
      <c r="B39" s="365" t="s">
        <v>2001</v>
      </c>
      <c r="C39" s="365"/>
      <c r="D39" s="365"/>
      <c r="E39" s="365"/>
      <c r="F39" s="365"/>
      <c r="G39" s="365"/>
      <c r="H39" s="365"/>
      <c r="I39" s="202">
        <f>SUM(I37:I38)</f>
        <v>539099.94044999999</v>
      </c>
    </row>
    <row r="40" spans="2:9" s="201" customFormat="1"/>
    <row r="41" spans="2:9" s="201" customFormat="1" ht="12">
      <c r="B41" s="369" t="s">
        <v>2026</v>
      </c>
      <c r="C41" s="369"/>
      <c r="D41" s="369"/>
      <c r="E41" s="369"/>
      <c r="F41" s="369"/>
      <c r="G41" s="369"/>
      <c r="H41" s="369"/>
      <c r="I41" s="202">
        <f>I20+I30+I34+I39</f>
        <v>1078200</v>
      </c>
    </row>
  </sheetData>
  <mergeCells count="42">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5:I35"/>
    <mergeCell ref="C22:D22"/>
    <mergeCell ref="C23:D23"/>
    <mergeCell ref="C24:D24"/>
    <mergeCell ref="C25:D25"/>
    <mergeCell ref="C26:D26"/>
    <mergeCell ref="C27:D27"/>
    <mergeCell ref="B28:H28"/>
    <mergeCell ref="B29:G29"/>
    <mergeCell ref="B30:H30"/>
    <mergeCell ref="B31:I31"/>
    <mergeCell ref="B34:H34"/>
    <mergeCell ref="C36:D36"/>
    <mergeCell ref="C37:D37"/>
    <mergeCell ref="C38:D38"/>
    <mergeCell ref="B39:H39"/>
    <mergeCell ref="B41:H41"/>
  </mergeCell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AA2F-CDDB-4CDA-8EDA-D26E95BAA1DE}">
  <sheetPr codeName="Hoja174"/>
  <dimension ref="B3:I41"/>
  <sheetViews>
    <sheetView topLeftCell="A11" zoomScaleNormal="100" workbookViewId="0">
      <selection activeCell="M19" sqref="M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1812</v>
      </c>
      <c r="C13" s="355" t="s">
        <v>1990</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04">
        <v>1</v>
      </c>
      <c r="G18" s="24"/>
      <c r="H18" s="24">
        <v>11850</v>
      </c>
      <c r="I18" s="24">
        <f>H18/F18</f>
        <v>11850</v>
      </c>
    </row>
    <row r="19" spans="2:9" s="201" customFormat="1" ht="15" customHeight="1">
      <c r="B19" s="24" t="s">
        <v>2118</v>
      </c>
      <c r="C19" s="368" t="s">
        <v>2119</v>
      </c>
      <c r="D19" s="368"/>
      <c r="E19" s="24" t="s">
        <v>213</v>
      </c>
      <c r="F19" s="204">
        <v>1</v>
      </c>
      <c r="G19" s="24"/>
      <c r="H19" s="24">
        <v>11850</v>
      </c>
      <c r="I19" s="24">
        <f>H19/F19</f>
        <v>11850</v>
      </c>
    </row>
    <row r="20" spans="2:9" s="201" customFormat="1" ht="12">
      <c r="B20" s="365" t="s">
        <v>2001</v>
      </c>
      <c r="C20" s="365"/>
      <c r="D20" s="365"/>
      <c r="E20" s="365"/>
      <c r="F20" s="365"/>
      <c r="G20" s="365"/>
      <c r="H20" s="365"/>
      <c r="I20" s="202">
        <f>SUM(I18:I19)</f>
        <v>23700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15" customHeight="1">
      <c r="B23" s="24" t="s">
        <v>2120</v>
      </c>
      <c r="C23" s="368" t="s">
        <v>2121</v>
      </c>
      <c r="D23" s="368"/>
      <c r="E23" s="24" t="s">
        <v>346</v>
      </c>
      <c r="F23" s="204">
        <v>0.35</v>
      </c>
      <c r="G23" s="24"/>
      <c r="H23" s="24">
        <v>609428.56999999995</v>
      </c>
      <c r="I23" s="24">
        <f>F23*H23</f>
        <v>213299.99949999998</v>
      </c>
    </row>
    <row r="24" spans="2:9" s="201" customFormat="1" ht="15" customHeight="1">
      <c r="B24" s="24" t="s">
        <v>2122</v>
      </c>
      <c r="C24" s="368" t="s">
        <v>2123</v>
      </c>
      <c r="D24" s="368"/>
      <c r="E24" s="24" t="s">
        <v>350</v>
      </c>
      <c r="F24" s="204">
        <v>12</v>
      </c>
      <c r="G24" s="24"/>
      <c r="H24" s="24">
        <v>7617.86</v>
      </c>
      <c r="I24" s="24">
        <f>F24*H24</f>
        <v>91414.319999999992</v>
      </c>
    </row>
    <row r="25" spans="2:9" s="201" customFormat="1" ht="15" customHeight="1">
      <c r="B25" s="24" t="s">
        <v>2124</v>
      </c>
      <c r="C25" s="368" t="s">
        <v>2125</v>
      </c>
      <c r="D25" s="368"/>
      <c r="E25" s="24" t="s">
        <v>196</v>
      </c>
      <c r="F25" s="204">
        <v>2</v>
      </c>
      <c r="G25" s="24"/>
      <c r="H25" s="24">
        <v>25392.86</v>
      </c>
      <c r="I25" s="24">
        <f>F25*H25</f>
        <v>50785.72</v>
      </c>
    </row>
    <row r="26" spans="2:9" s="201" customFormat="1" ht="15" customHeight="1">
      <c r="B26" s="24" t="s">
        <v>2126</v>
      </c>
      <c r="C26" s="368" t="s">
        <v>2127</v>
      </c>
      <c r="D26" s="368"/>
      <c r="E26" s="24" t="s">
        <v>390</v>
      </c>
      <c r="F26" s="204">
        <v>1</v>
      </c>
      <c r="G26" s="24"/>
      <c r="H26" s="24">
        <v>50785.71</v>
      </c>
      <c r="I26" s="24">
        <f>F26*H26</f>
        <v>50785.71</v>
      </c>
    </row>
    <row r="27" spans="2:9" s="201" customFormat="1" ht="15" customHeight="1">
      <c r="B27" s="24" t="s">
        <v>2128</v>
      </c>
      <c r="C27" s="368" t="s">
        <v>2129</v>
      </c>
      <c r="D27" s="368"/>
      <c r="E27" s="24" t="s">
        <v>780</v>
      </c>
      <c r="F27" s="204">
        <v>1</v>
      </c>
      <c r="G27" s="24"/>
      <c r="H27" s="24">
        <v>101571.43</v>
      </c>
      <c r="I27" s="24">
        <f>F27*H27</f>
        <v>101571.43</v>
      </c>
    </row>
    <row r="28" spans="2:9" s="201" customFormat="1" ht="12">
      <c r="B28" s="365" t="s">
        <v>2001</v>
      </c>
      <c r="C28" s="365"/>
      <c r="D28" s="365"/>
      <c r="E28" s="365"/>
      <c r="F28" s="365"/>
      <c r="G28" s="365"/>
      <c r="H28" s="365"/>
      <c r="I28" s="202">
        <f>SUM(I23:I27)</f>
        <v>507857.17949999997</v>
      </c>
    </row>
    <row r="29" spans="2:9" s="201" customFormat="1" ht="12">
      <c r="B29" s="365" t="s">
        <v>1062</v>
      </c>
      <c r="C29" s="365"/>
      <c r="D29" s="365"/>
      <c r="E29" s="365"/>
      <c r="F29" s="365"/>
      <c r="G29" s="365"/>
      <c r="H29" s="24">
        <v>0.05</v>
      </c>
      <c r="I29" s="24">
        <f>I28*H29</f>
        <v>25392.858974999999</v>
      </c>
    </row>
    <row r="30" spans="2:9" s="201" customFormat="1" ht="12">
      <c r="B30" s="365" t="s">
        <v>73</v>
      </c>
      <c r="C30" s="365"/>
      <c r="D30" s="365"/>
      <c r="E30" s="365"/>
      <c r="F30" s="365"/>
      <c r="G30" s="365"/>
      <c r="H30" s="365"/>
      <c r="I30" s="202">
        <f>I28+I29</f>
        <v>533250.03847499995</v>
      </c>
    </row>
    <row r="31" spans="2:9" s="201" customFormat="1" ht="15" customHeight="1">
      <c r="B31" s="367" t="s">
        <v>2016</v>
      </c>
      <c r="C31" s="367"/>
      <c r="D31" s="367"/>
      <c r="E31" s="367"/>
      <c r="F31" s="367"/>
      <c r="G31" s="367"/>
      <c r="H31" s="367"/>
      <c r="I31" s="367"/>
    </row>
    <row r="32" spans="2:9" s="201" customFormat="1" ht="12">
      <c r="B32" s="202" t="s">
        <v>42</v>
      </c>
      <c r="C32" s="202" t="s">
        <v>58</v>
      </c>
      <c r="D32" s="202" t="s">
        <v>136</v>
      </c>
      <c r="E32" s="202" t="s">
        <v>0</v>
      </c>
      <c r="F32" s="202" t="s">
        <v>2017</v>
      </c>
      <c r="G32" s="202" t="s">
        <v>345</v>
      </c>
      <c r="H32" s="202" t="s">
        <v>61</v>
      </c>
      <c r="I32" s="202" t="s">
        <v>79</v>
      </c>
    </row>
    <row r="33" spans="2:9" s="201" customFormat="1">
      <c r="B33" s="24" t="s">
        <v>2018</v>
      </c>
      <c r="C33" s="203" t="s">
        <v>2130</v>
      </c>
      <c r="D33" s="24" t="s">
        <v>390</v>
      </c>
      <c r="E33" s="204">
        <v>1</v>
      </c>
      <c r="F33" s="204">
        <v>1</v>
      </c>
      <c r="G33" s="24">
        <v>35550</v>
      </c>
      <c r="H33" s="24">
        <f>E33*F33*G33</f>
        <v>35550</v>
      </c>
      <c r="I33" s="24">
        <f>H33</f>
        <v>35550</v>
      </c>
    </row>
    <row r="34" spans="2:9" s="201" customFormat="1" ht="12">
      <c r="B34" s="365" t="s">
        <v>2001</v>
      </c>
      <c r="C34" s="365"/>
      <c r="D34" s="365"/>
      <c r="E34" s="365"/>
      <c r="F34" s="365"/>
      <c r="G34" s="365"/>
      <c r="H34" s="365"/>
      <c r="I34" s="202">
        <f>SUM(I33:I33)</f>
        <v>35550</v>
      </c>
    </row>
    <row r="35" spans="2:9" s="201" customFormat="1" ht="15" customHeight="1">
      <c r="B35" s="367" t="s">
        <v>2020</v>
      </c>
      <c r="C35" s="367"/>
      <c r="D35" s="367"/>
      <c r="E35" s="367"/>
      <c r="F35" s="367"/>
      <c r="G35" s="367"/>
      <c r="H35" s="367"/>
      <c r="I35" s="367"/>
    </row>
    <row r="36" spans="2:9" s="201" customFormat="1" ht="28.35" customHeight="1">
      <c r="B36" s="202" t="s">
        <v>42</v>
      </c>
      <c r="C36" s="367" t="s">
        <v>84</v>
      </c>
      <c r="D36" s="367"/>
      <c r="E36" s="202" t="s">
        <v>2021</v>
      </c>
      <c r="F36" s="202" t="s">
        <v>1</v>
      </c>
      <c r="G36" s="202" t="s">
        <v>77</v>
      </c>
      <c r="H36" s="202" t="s">
        <v>78</v>
      </c>
      <c r="I36" s="202" t="s">
        <v>79</v>
      </c>
    </row>
    <row r="37" spans="2:9" s="201" customFormat="1" ht="15" customHeight="1">
      <c r="B37" s="24" t="s">
        <v>2022</v>
      </c>
      <c r="C37" s="368" t="s">
        <v>2131</v>
      </c>
      <c r="D37" s="368"/>
      <c r="E37" s="204">
        <v>8</v>
      </c>
      <c r="F37" s="24" t="s">
        <v>213</v>
      </c>
      <c r="G37" s="24">
        <v>13500</v>
      </c>
      <c r="H37" s="204">
        <v>1</v>
      </c>
      <c r="I37" s="24">
        <f>E37*G37/H37</f>
        <v>108000</v>
      </c>
    </row>
    <row r="38" spans="2:9" s="201" customFormat="1" ht="28.35" customHeight="1">
      <c r="B38" s="24" t="s">
        <v>2024</v>
      </c>
      <c r="C38" s="368" t="s">
        <v>2132</v>
      </c>
      <c r="D38" s="368"/>
      <c r="E38" s="204">
        <v>8</v>
      </c>
      <c r="F38" s="24" t="s">
        <v>213</v>
      </c>
      <c r="G38" s="24">
        <v>21500</v>
      </c>
      <c r="H38" s="205">
        <f>E38*G38/I38</f>
        <v>0.35500518815030874</v>
      </c>
      <c r="I38" s="24">
        <f>1185000-I20-I30-I34-SUM(I37:I37)</f>
        <v>484499.96152500005</v>
      </c>
    </row>
    <row r="39" spans="2:9" s="201" customFormat="1" ht="12">
      <c r="B39" s="365" t="s">
        <v>2001</v>
      </c>
      <c r="C39" s="365"/>
      <c r="D39" s="365"/>
      <c r="E39" s="365"/>
      <c r="F39" s="365"/>
      <c r="G39" s="365"/>
      <c r="H39" s="365"/>
      <c r="I39" s="202">
        <f>SUM(I37:I38)</f>
        <v>592499.96152500005</v>
      </c>
    </row>
    <row r="40" spans="2:9" s="201" customFormat="1"/>
    <row r="41" spans="2:9" s="201" customFormat="1" ht="12">
      <c r="B41" s="366" t="s">
        <v>2026</v>
      </c>
      <c r="C41" s="366"/>
      <c r="D41" s="366"/>
      <c r="E41" s="366"/>
      <c r="F41" s="366"/>
      <c r="G41" s="366"/>
      <c r="H41" s="366"/>
      <c r="I41" s="206">
        <f>I20+I30+I34+I39</f>
        <v>1185000</v>
      </c>
    </row>
  </sheetData>
  <mergeCells count="42">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5:I35"/>
    <mergeCell ref="C22:D22"/>
    <mergeCell ref="C23:D23"/>
    <mergeCell ref="C24:D24"/>
    <mergeCell ref="C25:D25"/>
    <mergeCell ref="C26:D26"/>
    <mergeCell ref="C27:D27"/>
    <mergeCell ref="B28:H28"/>
    <mergeCell ref="B29:G29"/>
    <mergeCell ref="B30:H30"/>
    <mergeCell ref="B31:I31"/>
    <mergeCell ref="B34:H34"/>
    <mergeCell ref="C36:D36"/>
    <mergeCell ref="C37:D37"/>
    <mergeCell ref="C38:D38"/>
    <mergeCell ref="B39:H39"/>
    <mergeCell ref="B41:H4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12D60-274F-4F72-97BA-40D71BDC1A06}">
  <sheetPr codeName="Hoja78"/>
  <dimension ref="B3:I42"/>
  <sheetViews>
    <sheetView topLeftCell="A7" zoomScale="106" zoomScaleNormal="106" workbookViewId="0">
      <selection activeCell="I13" sqref="I13"/>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t="e">
        <f>+#REF!</f>
        <v>#REF!</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0" customHeight="1">
      <c r="B13" s="13" t="s">
        <v>1574</v>
      </c>
      <c r="C13" s="283" t="s">
        <v>1898</v>
      </c>
      <c r="D13" s="284"/>
      <c r="E13" s="284"/>
      <c r="F13" s="285"/>
      <c r="G13" s="286" t="s">
        <v>1317</v>
      </c>
      <c r="H13" s="286"/>
      <c r="I13" s="114">
        <v>34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1267</v>
      </c>
      <c r="C18" s="288" t="str">
        <f>VLOOKUP(B18,'MAQUINARIA Y EQUIPOS  '!C6:F94,2,FALSE)</f>
        <v xml:space="preserve">Pluma grua </v>
      </c>
      <c r="D18" s="265"/>
      <c r="E18" s="88" t="str">
        <f>VLOOKUP(B18,'MAQUINARIA Y EQUIPOS  '!C6:F94,3,FALSE)</f>
        <v>HH</v>
      </c>
      <c r="F18" s="86">
        <f>VLOOKUP(B18,'MAQUINARIA Y EQUIPOS  '!C6:F94,4,FALSE)</f>
        <v>10500</v>
      </c>
      <c r="G18" s="71">
        <v>0.4</v>
      </c>
      <c r="H18" s="116">
        <f>F18*G18</f>
        <v>4200</v>
      </c>
      <c r="I18" s="287"/>
    </row>
    <row r="19" spans="2:9">
      <c r="B19" s="71" t="s">
        <v>62</v>
      </c>
      <c r="C19" s="288" t="str">
        <f>VLOOKUP(B19,'MAQUINARIA Y EQUIPOS  '!C7:F95,2,FALSE)</f>
        <v xml:space="preserve">HERRAMIENTAS MENORES </v>
      </c>
      <c r="D19" s="265"/>
      <c r="E19" s="71" t="str">
        <f>VLOOKUP(B19,'MAQUINARIA Y EQUIPOS  '!C7:F95,3,FALSE)</f>
        <v>GLB</v>
      </c>
      <c r="F19" s="86">
        <f>VLOOKUP(B19,'MAQUINARIA Y EQUIPOS  '!C7:F95,4,FALSE)</f>
        <v>10714</v>
      </c>
      <c r="G19" s="133">
        <v>0.1</v>
      </c>
      <c r="H19" s="116">
        <f>F19*G19</f>
        <v>1071.4000000000001</v>
      </c>
      <c r="I19" s="287"/>
    </row>
    <row r="20" spans="2:9">
      <c r="B20" s="71" t="s">
        <v>347</v>
      </c>
      <c r="C20" s="258" t="str">
        <f>VLOOKUP(B20,'MAQUINARIA Y EQUIPOS  '!C7:F95,2,FALSE)</f>
        <v>Andamio (2cuerpo)</v>
      </c>
      <c r="D20" s="258"/>
      <c r="E20" s="88" t="str">
        <f>VLOOKUP(B20,'MAQUINARIA Y EQUIPOS  '!C7:F95,3,FALSE)</f>
        <v>DIA</v>
      </c>
      <c r="F20" s="86">
        <f>VLOOKUP(B20,'MAQUINARIA Y EQUIPOS  '!C7:F95,4,FALSE)</f>
        <v>10000</v>
      </c>
      <c r="G20" s="131">
        <v>4.2000000000000003E-2</v>
      </c>
      <c r="H20" s="130">
        <f>F20*G20</f>
        <v>420</v>
      </c>
      <c r="I20" s="287"/>
    </row>
    <row r="21" spans="2:9" ht="12">
      <c r="B21" s="89"/>
      <c r="C21" s="89"/>
      <c r="D21" s="89"/>
      <c r="E21" s="89"/>
      <c r="F21" s="89"/>
      <c r="G21" s="89"/>
      <c r="H21" s="89" t="s">
        <v>64</v>
      </c>
      <c r="I21" s="90">
        <f>SUM(H18:H20)</f>
        <v>5691.4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0.05</v>
      </c>
      <c r="H24" s="83">
        <f>+G24*F24</f>
        <v>125</v>
      </c>
      <c r="I24" s="287"/>
    </row>
    <row r="25" spans="2:9">
      <c r="B25" s="71" t="s">
        <v>1584</v>
      </c>
      <c r="C25" s="290" t="str">
        <f>VLOOKUP(B25,'INSUMOS '!C3:G950,2,FALSE)</f>
        <v xml:space="preserve">Cinta de enmascarar de alta adherencia </v>
      </c>
      <c r="D25" s="291"/>
      <c r="E25" s="97" t="str">
        <f>VLOOKUP(B25,'INSUMOS '!C3:G950,3,FALSE)</f>
        <v>m</v>
      </c>
      <c r="F25" s="98">
        <f>VLOOKUP(B25,'INSUMOS '!C3:G950,4,FALSE)</f>
        <v>500</v>
      </c>
      <c r="G25" s="71">
        <v>0.1</v>
      </c>
      <c r="H25" s="83">
        <f>+G25*F25</f>
        <v>50</v>
      </c>
      <c r="I25" s="287"/>
    </row>
    <row r="26" spans="2:9">
      <c r="B26" s="71" t="s">
        <v>1586</v>
      </c>
      <c r="C26" s="290" t="str">
        <f>VLOOKUP(B26,'INSUMOS '!C4:G951,2,FALSE)</f>
        <v xml:space="preserve">Tapon pvc </v>
      </c>
      <c r="D26" s="291"/>
      <c r="E26" s="97" t="str">
        <f>VLOOKUP(B26,'INSUMOS '!C4:G951,3,FALSE)</f>
        <v xml:space="preserve">und </v>
      </c>
      <c r="F26" s="98">
        <f>VLOOKUP(B26,'INSUMOS '!C4:G951,4,FALSE)</f>
        <v>4500</v>
      </c>
      <c r="G26" s="71">
        <v>0.02</v>
      </c>
      <c r="H26" s="83">
        <f>+G26*F26</f>
        <v>90</v>
      </c>
      <c r="I26" s="287"/>
    </row>
    <row r="27" spans="2:9">
      <c r="B27" s="71" t="s">
        <v>1073</v>
      </c>
      <c r="C27" s="290" t="str">
        <f>VLOOKUP(B27,'INSUMOS '!C4:G951,2,FALSE)</f>
        <v>SOLDADURA PVC LIQUIDA 1/4</v>
      </c>
      <c r="D27" s="291"/>
      <c r="E27" s="97" t="str">
        <f>VLOOKUP(B27,'INSUMOS '!C4:G951,3,FALSE)</f>
        <v>UND</v>
      </c>
      <c r="F27" s="98">
        <f>VLOOKUP(B27,'INSUMOS '!C4:G951,4,FALSE)</f>
        <v>77194</v>
      </c>
      <c r="G27" s="71">
        <v>0.01</v>
      </c>
      <c r="H27" s="83">
        <f>+G27*F27</f>
        <v>771.94</v>
      </c>
      <c r="I27" s="287"/>
    </row>
    <row r="28" spans="2:9">
      <c r="B28" s="71" t="s">
        <v>798</v>
      </c>
      <c r="C28" s="290" t="str">
        <f>VLOOKUP(B28,'INSUMOS '!C5:G952,2,FALSE)</f>
        <v>CINTA AISLANTE X20MT</v>
      </c>
      <c r="D28" s="291"/>
      <c r="E28" s="97" t="str">
        <f>VLOOKUP(B28,'INSUMOS '!C5:G952,3,FALSE)</f>
        <v>rl</v>
      </c>
      <c r="F28" s="98">
        <f>VLOOKUP(B28,'INSUMOS '!C5:G952,4,FALSE)</f>
        <v>24900</v>
      </c>
      <c r="G28" s="71">
        <v>0.03</v>
      </c>
      <c r="H28" s="83">
        <f>+G28*F28</f>
        <v>747</v>
      </c>
      <c r="I28" s="287"/>
    </row>
    <row r="29" spans="2:9" ht="12">
      <c r="B29" s="89"/>
      <c r="C29" s="89"/>
      <c r="D29" s="89"/>
      <c r="E29" s="89"/>
      <c r="F29" s="89"/>
      <c r="G29" s="258" t="s">
        <v>64</v>
      </c>
      <c r="H29" s="258"/>
      <c r="I29" s="85">
        <f>SUM(H24:H28)</f>
        <v>1783.94</v>
      </c>
    </row>
    <row r="30" spans="2:9" ht="12">
      <c r="B30" s="89"/>
      <c r="C30" s="89"/>
      <c r="D30" s="89"/>
      <c r="E30" s="89"/>
      <c r="F30" s="89"/>
      <c r="G30" s="99" t="s">
        <v>72</v>
      </c>
      <c r="H30" s="100">
        <v>0.05</v>
      </c>
      <c r="I30" s="101">
        <f>I29*H30</f>
        <v>89.197000000000003</v>
      </c>
    </row>
    <row r="31" spans="2:9" ht="12">
      <c r="B31" s="89"/>
      <c r="C31" s="89"/>
      <c r="D31" s="89"/>
      <c r="E31" s="89"/>
      <c r="F31" s="89"/>
      <c r="G31" s="258" t="s">
        <v>73</v>
      </c>
      <c r="H31" s="258"/>
      <c r="I31" s="90">
        <f>SUM(I29:I30)</f>
        <v>1873.1370000000002</v>
      </c>
    </row>
    <row r="32" spans="2:9"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t="s">
        <v>192</v>
      </c>
      <c r="C34" s="70" t="str">
        <f>VLOOKUP(B34,'MAQUINARIA Y EQUIPOS  '!C7:F95,2,FALSE)</f>
        <v>Volqueta de 8 m3</v>
      </c>
      <c r="D34" s="75" t="str">
        <f>VLOOKUP(B34,'MAQUINARIA Y EQUIPOS  '!C7:F95,3,FALSE)</f>
        <v>m3/km</v>
      </c>
      <c r="E34" s="70">
        <v>0.1</v>
      </c>
      <c r="F34" s="70">
        <v>19</v>
      </c>
      <c r="G34" s="102">
        <f>VLOOKUP(B34,'MAQUINARIA Y EQUIPOS  '!C7:F95,4,FALSE)</f>
        <v>1500</v>
      </c>
      <c r="H34" s="103">
        <f>+F34*G34*E34</f>
        <v>2850</v>
      </c>
      <c r="I34" s="301"/>
    </row>
    <row r="35" spans="2:9">
      <c r="B35" s="71"/>
      <c r="C35" s="71"/>
      <c r="D35" s="82"/>
      <c r="E35" s="71"/>
      <c r="F35" s="71"/>
      <c r="G35" s="86"/>
      <c r="H35" s="86"/>
      <c r="I35" s="301"/>
    </row>
    <row r="36" spans="2:9" ht="12">
      <c r="B36" s="89"/>
      <c r="C36" s="89"/>
      <c r="D36" s="89"/>
      <c r="E36" s="89"/>
      <c r="F36" s="89"/>
      <c r="G36" s="302" t="s">
        <v>64</v>
      </c>
      <c r="H36" s="302"/>
      <c r="I36" s="104">
        <f>+H34</f>
        <v>2850</v>
      </c>
    </row>
    <row r="37" spans="2:9" ht="12">
      <c r="B37" s="78"/>
      <c r="C37" s="289" t="s">
        <v>75</v>
      </c>
      <c r="D37" s="289"/>
      <c r="E37" s="78"/>
      <c r="F37" s="78"/>
      <c r="G37" s="78"/>
      <c r="H37" s="78"/>
      <c r="I37" s="79"/>
    </row>
    <row r="38" spans="2:9" ht="12">
      <c r="B38" s="105" t="s">
        <v>42</v>
      </c>
      <c r="C38" s="105" t="s">
        <v>76</v>
      </c>
      <c r="D38" s="105" t="s">
        <v>1221</v>
      </c>
      <c r="E38" s="105" t="s">
        <v>1</v>
      </c>
      <c r="F38" s="105" t="s">
        <v>77</v>
      </c>
      <c r="G38" s="105" t="s">
        <v>78</v>
      </c>
      <c r="H38" s="105" t="s">
        <v>79</v>
      </c>
      <c r="I38" s="294"/>
    </row>
    <row r="39" spans="2:9" ht="27.75" customHeight="1">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0.4</v>
      </c>
      <c r="H39" s="94">
        <f>F39*G39*D39</f>
        <v>26475</v>
      </c>
      <c r="I39" s="294"/>
    </row>
    <row r="40" spans="2:9">
      <c r="B40" s="106"/>
      <c r="C40" s="106"/>
      <c r="D40" s="106"/>
      <c r="E40" s="106"/>
      <c r="F40" s="86"/>
      <c r="G40" s="121"/>
      <c r="H40" s="94"/>
      <c r="I40" s="294"/>
    </row>
    <row r="41" spans="2:9" ht="12">
      <c r="B41" s="108"/>
      <c r="C41" s="109"/>
      <c r="D41" s="109"/>
      <c r="E41" s="109"/>
      <c r="F41" s="110"/>
      <c r="G41" s="110"/>
      <c r="H41" s="111" t="s">
        <v>64</v>
      </c>
      <c r="I41" s="112">
        <f>SUM(H39:H40)</f>
        <v>26475</v>
      </c>
    </row>
    <row r="42" spans="2:9" ht="12">
      <c r="B42" s="295" t="s">
        <v>83</v>
      </c>
      <c r="C42" s="296"/>
      <c r="D42" s="297" t="s">
        <v>77</v>
      </c>
      <c r="E42" s="298"/>
      <c r="F42" s="298"/>
      <c r="G42" s="298"/>
      <c r="H42" s="299"/>
      <c r="I42" s="113">
        <f>SUM(I21+I36+I31+I41)</f>
        <v>36889.536999999997</v>
      </c>
    </row>
  </sheetData>
  <mergeCells count="41">
    <mergeCell ref="I38:I40"/>
    <mergeCell ref="B42:C42"/>
    <mergeCell ref="D42:H42"/>
    <mergeCell ref="G29:H29"/>
    <mergeCell ref="G31:H31"/>
    <mergeCell ref="C32:D32"/>
    <mergeCell ref="I33:I35"/>
    <mergeCell ref="G36:H36"/>
    <mergeCell ref="C37:D37"/>
    <mergeCell ref="I17:I20"/>
    <mergeCell ref="C18:D18"/>
    <mergeCell ref="C19:D19"/>
    <mergeCell ref="C20:D20"/>
    <mergeCell ref="C23:D23"/>
    <mergeCell ref="I23:I28"/>
    <mergeCell ref="C24:D24"/>
    <mergeCell ref="C25:D25"/>
    <mergeCell ref="C26:D26"/>
    <mergeCell ref="C28:D28"/>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F0DF-C7E2-4D1A-BA82-40D8B336AE8A}">
  <sheetPr codeName="Hoja175"/>
  <dimension ref="B3:I36"/>
  <sheetViews>
    <sheetView topLeftCell="A13" zoomScaleNormal="100" workbookViewId="0">
      <selection activeCell="L19" sqref="L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1813</v>
      </c>
      <c r="C13" s="355" t="s">
        <v>1814</v>
      </c>
      <c r="D13" s="355"/>
      <c r="E13" s="355"/>
      <c r="F13" s="355"/>
      <c r="G13" s="286" t="s">
        <v>346</v>
      </c>
      <c r="H13" s="286"/>
      <c r="I13" s="114">
        <v>10</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810</v>
      </c>
      <c r="I18" s="24">
        <f>H18/F18</f>
        <v>810</v>
      </c>
    </row>
    <row r="19" spans="2:9" s="201" customFormat="1" ht="12">
      <c r="B19" s="365" t="s">
        <v>2001</v>
      </c>
      <c r="C19" s="365"/>
      <c r="D19" s="365"/>
      <c r="E19" s="365"/>
      <c r="F19" s="365"/>
      <c r="G19" s="365"/>
      <c r="H19" s="365"/>
      <c r="I19" s="202">
        <f>SUM(I18:I18)</f>
        <v>810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2">
      <c r="B22" s="24"/>
      <c r="C22" s="375"/>
      <c r="D22" s="375"/>
      <c r="E22" s="24"/>
      <c r="F22" s="24"/>
      <c r="G22" s="24"/>
      <c r="H22" s="24"/>
      <c r="I22" s="24"/>
    </row>
    <row r="23" spans="2:9" s="201" customFormat="1" ht="12">
      <c r="B23" s="365" t="s">
        <v>2001</v>
      </c>
      <c r="C23" s="365"/>
      <c r="D23" s="365"/>
      <c r="E23" s="365"/>
      <c r="F23" s="365"/>
      <c r="G23" s="365"/>
      <c r="H23" s="365"/>
      <c r="I23" s="202">
        <f>SUM(I22:I22)</f>
        <v>0</v>
      </c>
    </row>
    <row r="24" spans="2:9" s="201" customFormat="1" ht="12">
      <c r="B24" s="365" t="s">
        <v>1062</v>
      </c>
      <c r="C24" s="365"/>
      <c r="D24" s="365"/>
      <c r="E24" s="365"/>
      <c r="F24" s="365"/>
      <c r="G24" s="365"/>
      <c r="H24" s="24">
        <v>0.05</v>
      </c>
      <c r="I24" s="24">
        <f>I23*H24</f>
        <v>0</v>
      </c>
    </row>
    <row r="25" spans="2:9" s="201" customFormat="1" ht="12">
      <c r="B25" s="365" t="s">
        <v>73</v>
      </c>
      <c r="C25" s="365"/>
      <c r="D25" s="365"/>
      <c r="E25" s="365"/>
      <c r="F25" s="365"/>
      <c r="G25" s="365"/>
      <c r="H25" s="365"/>
      <c r="I25" s="202">
        <f>I23+I24</f>
        <v>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2134</v>
      </c>
      <c r="D28" s="24" t="s">
        <v>346</v>
      </c>
      <c r="E28" s="204">
        <v>1</v>
      </c>
      <c r="F28" s="204">
        <v>3</v>
      </c>
      <c r="G28" s="24">
        <v>900</v>
      </c>
      <c r="H28" s="24">
        <f>E28*F28*G28</f>
        <v>2700</v>
      </c>
      <c r="I28" s="24">
        <f>H28</f>
        <v>2700</v>
      </c>
    </row>
    <row r="29" spans="2:9" s="201" customFormat="1" ht="12">
      <c r="B29" s="365" t="s">
        <v>2001</v>
      </c>
      <c r="C29" s="365"/>
      <c r="D29" s="365"/>
      <c r="E29" s="365"/>
      <c r="F29" s="365"/>
      <c r="G29" s="365"/>
      <c r="H29" s="365"/>
      <c r="I29" s="202">
        <f>SUM(I28:I28)</f>
        <v>2700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2022</v>
      </c>
      <c r="C32" s="368" t="s">
        <v>2135</v>
      </c>
      <c r="D32" s="368"/>
      <c r="E32" s="204">
        <v>1</v>
      </c>
      <c r="F32" s="24" t="s">
        <v>346</v>
      </c>
      <c r="G32" s="24">
        <v>23490</v>
      </c>
      <c r="H32" s="24">
        <f>E32*G32/I32</f>
        <v>1</v>
      </c>
      <c r="I32" s="24">
        <f>27000-I19-I25-I29-0</f>
        <v>23490</v>
      </c>
    </row>
    <row r="33" spans="2:9" s="201" customFormat="1" ht="12">
      <c r="B33" s="365" t="s">
        <v>2001</v>
      </c>
      <c r="C33" s="365"/>
      <c r="D33" s="365"/>
      <c r="E33" s="365"/>
      <c r="F33" s="365"/>
      <c r="G33" s="365"/>
      <c r="H33" s="365"/>
      <c r="I33" s="202">
        <f>SUM(I32:I32)</f>
        <v>23490</v>
      </c>
    </row>
    <row r="34" spans="2:9" s="201" customFormat="1" ht="12"/>
    <row r="35" spans="2:9" s="201" customFormat="1" ht="12">
      <c r="B35" s="366" t="s">
        <v>2026</v>
      </c>
      <c r="C35" s="366"/>
      <c r="D35" s="366"/>
      <c r="E35" s="366"/>
      <c r="F35" s="366"/>
      <c r="G35" s="366"/>
      <c r="H35" s="366"/>
      <c r="I35" s="206">
        <f>I19+I25+I29+I33</f>
        <v>27000</v>
      </c>
    </row>
    <row r="36" spans="2:9" s="43" customFormat="1" ht="12"/>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B16:I16"/>
    <mergeCell ref="C17:D17"/>
    <mergeCell ref="C18:D18"/>
    <mergeCell ref="C13:F13"/>
    <mergeCell ref="G13:H13"/>
    <mergeCell ref="C14:E14"/>
    <mergeCell ref="F14:H14"/>
    <mergeCell ref="C15:E15"/>
    <mergeCell ref="F15:H15"/>
    <mergeCell ref="B33:H33"/>
    <mergeCell ref="B35:H35"/>
    <mergeCell ref="B19:H19"/>
    <mergeCell ref="B20:I20"/>
    <mergeCell ref="C21:D21"/>
    <mergeCell ref="B23:H23"/>
    <mergeCell ref="B24:G24"/>
    <mergeCell ref="B29:H29"/>
    <mergeCell ref="B30:I30"/>
    <mergeCell ref="C31:D31"/>
    <mergeCell ref="C32:D32"/>
    <mergeCell ref="C22:D22"/>
    <mergeCell ref="B25:H25"/>
    <mergeCell ref="B26:I26"/>
  </mergeCells>
  <pageMargins left="0.7" right="0.7" top="0.75" bottom="0.75" header="0.3" footer="0.3"/>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9BD5C-2B3D-4522-A89D-52C5A8AF19F6}">
  <dimension ref="B3:I36"/>
  <sheetViews>
    <sheetView topLeftCell="A4" zoomScaleNormal="100"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1815</v>
      </c>
      <c r="C13" s="355" t="s">
        <v>2178</v>
      </c>
      <c r="D13" s="355"/>
      <c r="E13" s="355"/>
      <c r="F13" s="355"/>
      <c r="G13" s="286" t="s">
        <v>6</v>
      </c>
      <c r="H13" s="286"/>
      <c r="I13" s="114">
        <v>35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444</v>
      </c>
      <c r="I18" s="24">
        <f>H18/F18</f>
        <v>444</v>
      </c>
    </row>
    <row r="19" spans="2:9" s="201" customFormat="1" ht="15" customHeight="1">
      <c r="B19" s="24" t="s">
        <v>2118</v>
      </c>
      <c r="C19" s="368" t="s">
        <v>2179</v>
      </c>
      <c r="D19" s="368"/>
      <c r="E19" s="24" t="s">
        <v>213</v>
      </c>
      <c r="F19" s="24">
        <v>0.5</v>
      </c>
      <c r="G19" s="24"/>
      <c r="H19" s="24">
        <v>1443</v>
      </c>
      <c r="I19" s="24">
        <f>H19/F19</f>
        <v>2886</v>
      </c>
    </row>
    <row r="20" spans="2:9" s="201" customFormat="1" ht="12">
      <c r="B20" s="365" t="s">
        <v>2001</v>
      </c>
      <c r="C20" s="365"/>
      <c r="D20" s="365"/>
      <c r="E20" s="365"/>
      <c r="F20" s="365"/>
      <c r="G20" s="365"/>
      <c r="H20" s="365"/>
      <c r="I20" s="202">
        <f>SUM(I18:I19)</f>
        <v>3330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12">
      <c r="B23" s="24"/>
      <c r="C23" s="375"/>
      <c r="D23" s="375"/>
      <c r="E23" s="24"/>
      <c r="F23" s="24"/>
      <c r="G23" s="24"/>
      <c r="H23" s="24"/>
      <c r="I23" s="24"/>
    </row>
    <row r="24" spans="2:9" s="201" customFormat="1" ht="12">
      <c r="B24" s="365" t="s">
        <v>2001</v>
      </c>
      <c r="C24" s="365"/>
      <c r="D24" s="365"/>
      <c r="E24" s="365"/>
      <c r="F24" s="365"/>
      <c r="G24" s="365"/>
      <c r="H24" s="365"/>
      <c r="I24" s="202">
        <f>SUM(I23:I23)</f>
        <v>0</v>
      </c>
    </row>
    <row r="25" spans="2:9" s="201" customFormat="1" ht="12">
      <c r="B25" s="365" t="s">
        <v>1062</v>
      </c>
      <c r="C25" s="365"/>
      <c r="D25" s="365"/>
      <c r="E25" s="365"/>
      <c r="F25" s="365"/>
      <c r="G25" s="365"/>
      <c r="H25" s="24">
        <v>0.05</v>
      </c>
      <c r="I25" s="24">
        <f>I24*H25</f>
        <v>0</v>
      </c>
    </row>
    <row r="26" spans="2:9" s="201" customFormat="1" ht="12">
      <c r="B26" s="365" t="s">
        <v>73</v>
      </c>
      <c r="C26" s="365"/>
      <c r="D26" s="365"/>
      <c r="E26" s="365"/>
      <c r="F26" s="365"/>
      <c r="G26" s="365"/>
      <c r="H26" s="365"/>
      <c r="I26" s="202">
        <f>I24+I25</f>
        <v>0</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2180</v>
      </c>
      <c r="D29" s="24" t="s">
        <v>390</v>
      </c>
      <c r="E29" s="24">
        <v>1</v>
      </c>
      <c r="F29" s="24">
        <v>1</v>
      </c>
      <c r="G29" s="24">
        <v>666</v>
      </c>
      <c r="H29" s="24">
        <f>E29*F29*G29</f>
        <v>666</v>
      </c>
      <c r="I29" s="24">
        <f>H29</f>
        <v>666</v>
      </c>
    </row>
    <row r="30" spans="2:9" s="201" customFormat="1" ht="12">
      <c r="B30" s="365" t="s">
        <v>2001</v>
      </c>
      <c r="C30" s="365"/>
      <c r="D30" s="365"/>
      <c r="E30" s="365"/>
      <c r="F30" s="365"/>
      <c r="G30" s="365"/>
      <c r="H30" s="365"/>
      <c r="I30" s="202">
        <f>SUM(I29:I29)</f>
        <v>666</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2181</v>
      </c>
      <c r="D33" s="368"/>
      <c r="E33" s="24">
        <v>1</v>
      </c>
      <c r="F33" s="24" t="s">
        <v>346</v>
      </c>
      <c r="G33" s="24">
        <v>21090</v>
      </c>
      <c r="H33" s="24">
        <f>E33*G33/I33</f>
        <v>1.1585365853658536</v>
      </c>
      <c r="I33" s="24">
        <f>22200-I20-I26-I30-0</f>
        <v>18204</v>
      </c>
    </row>
    <row r="34" spans="2:9" s="201" customFormat="1" ht="12">
      <c r="B34" s="365" t="s">
        <v>2001</v>
      </c>
      <c r="C34" s="365"/>
      <c r="D34" s="365"/>
      <c r="E34" s="365"/>
      <c r="F34" s="365"/>
      <c r="G34" s="365"/>
      <c r="H34" s="365"/>
      <c r="I34" s="202">
        <f>SUM(I33:I33)</f>
        <v>18204</v>
      </c>
    </row>
    <row r="35" spans="2:9" s="201" customFormat="1"/>
    <row r="36" spans="2:9" s="201" customFormat="1" ht="12">
      <c r="B36" s="366" t="s">
        <v>2026</v>
      </c>
      <c r="C36" s="366"/>
      <c r="D36" s="366"/>
      <c r="E36" s="366"/>
      <c r="F36" s="366"/>
      <c r="G36" s="366"/>
      <c r="H36" s="366"/>
      <c r="I36" s="206">
        <f>I20+I26+I30+I34</f>
        <v>22200</v>
      </c>
    </row>
  </sheetData>
  <mergeCells count="37">
    <mergeCell ref="B36:H36"/>
    <mergeCell ref="C22:D22"/>
    <mergeCell ref="C23:D23"/>
    <mergeCell ref="B24:H24"/>
    <mergeCell ref="B25:G25"/>
    <mergeCell ref="B26:H26"/>
    <mergeCell ref="B27:I27"/>
    <mergeCell ref="B30:H30"/>
    <mergeCell ref="B31:I31"/>
    <mergeCell ref="C32:D32"/>
    <mergeCell ref="C33:D33"/>
    <mergeCell ref="B34:H34"/>
    <mergeCell ref="B21:I21"/>
    <mergeCell ref="C13:F13"/>
    <mergeCell ref="G13:H13"/>
    <mergeCell ref="C14:E14"/>
    <mergeCell ref="F14:H14"/>
    <mergeCell ref="C15:E15"/>
    <mergeCell ref="F15:H15"/>
    <mergeCell ref="B16:I16"/>
    <mergeCell ref="C17:D17"/>
    <mergeCell ref="C18:D18"/>
    <mergeCell ref="C19:D19"/>
    <mergeCell ref="B20:H20"/>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5DE34-21D1-4EDC-BA37-0620C9319242}">
  <dimension ref="B3:I36"/>
  <sheetViews>
    <sheetView topLeftCell="A4" zoomScaleNormal="100" workbookViewId="0">
      <selection activeCell="L16" sqref="L16"/>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1816</v>
      </c>
      <c r="C13" s="355" t="s">
        <v>2089</v>
      </c>
      <c r="D13" s="355"/>
      <c r="E13" s="355"/>
      <c r="F13" s="355"/>
      <c r="G13" s="286" t="s">
        <v>6</v>
      </c>
      <c r="H13" s="286"/>
      <c r="I13" s="114">
        <v>15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444</v>
      </c>
      <c r="I18" s="24">
        <f>H18/F18</f>
        <v>444</v>
      </c>
    </row>
    <row r="19" spans="2:9" s="201" customFormat="1" ht="15" customHeight="1">
      <c r="B19" s="24" t="s">
        <v>2118</v>
      </c>
      <c r="C19" s="368" t="s">
        <v>2179</v>
      </c>
      <c r="D19" s="368"/>
      <c r="E19" s="24" t="s">
        <v>213</v>
      </c>
      <c r="F19" s="24">
        <v>0.5</v>
      </c>
      <c r="G19" s="24"/>
      <c r="H19" s="24">
        <v>1443</v>
      </c>
      <c r="I19" s="24">
        <f>H19/F19</f>
        <v>2886</v>
      </c>
    </row>
    <row r="20" spans="2:9" s="201" customFormat="1" ht="12">
      <c r="B20" s="365" t="s">
        <v>2001</v>
      </c>
      <c r="C20" s="365"/>
      <c r="D20" s="365"/>
      <c r="E20" s="365"/>
      <c r="F20" s="365"/>
      <c r="G20" s="365"/>
      <c r="H20" s="365"/>
      <c r="I20" s="202">
        <f>SUM(I18:I19)</f>
        <v>3330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15" customHeight="1">
      <c r="B23" s="24" t="s">
        <v>2182</v>
      </c>
      <c r="C23" s="368" t="s">
        <v>2183</v>
      </c>
      <c r="D23" s="368"/>
      <c r="E23" s="24" t="s">
        <v>346</v>
      </c>
      <c r="F23" s="24">
        <v>1.1499999999999999</v>
      </c>
      <c r="G23" s="24"/>
      <c r="H23" s="24">
        <v>5791.3</v>
      </c>
      <c r="I23" s="24">
        <f>F23*H23</f>
        <v>6659.9949999999999</v>
      </c>
    </row>
    <row r="24" spans="2:9" s="201" customFormat="1" ht="12">
      <c r="B24" s="365" t="s">
        <v>2001</v>
      </c>
      <c r="C24" s="365"/>
      <c r="D24" s="365"/>
      <c r="E24" s="365"/>
      <c r="F24" s="365"/>
      <c r="G24" s="365"/>
      <c r="H24" s="365"/>
      <c r="I24" s="202">
        <f>SUM(I23:I23)</f>
        <v>6659.9949999999999</v>
      </c>
    </row>
    <row r="25" spans="2:9" s="201" customFormat="1" ht="12">
      <c r="B25" s="365" t="s">
        <v>1062</v>
      </c>
      <c r="C25" s="365"/>
      <c r="D25" s="365"/>
      <c r="E25" s="365"/>
      <c r="F25" s="365"/>
      <c r="G25" s="365"/>
      <c r="H25" s="24">
        <v>0.05</v>
      </c>
      <c r="I25" s="24">
        <f>I24*H25</f>
        <v>332.99975000000001</v>
      </c>
    </row>
    <row r="26" spans="2:9" s="201" customFormat="1" ht="12">
      <c r="B26" s="365" t="s">
        <v>73</v>
      </c>
      <c r="C26" s="365"/>
      <c r="D26" s="365"/>
      <c r="E26" s="365"/>
      <c r="F26" s="365"/>
      <c r="G26" s="365"/>
      <c r="H26" s="365"/>
      <c r="I26" s="202">
        <f>I24+I25</f>
        <v>6992.9947499999998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2180</v>
      </c>
      <c r="D29" s="24" t="s">
        <v>390</v>
      </c>
      <c r="E29" s="24">
        <v>1</v>
      </c>
      <c r="F29" s="24">
        <v>1</v>
      </c>
      <c r="G29" s="24">
        <v>666</v>
      </c>
      <c r="H29" s="24">
        <f>E29*F29*G29</f>
        <v>666</v>
      </c>
      <c r="I29" s="24">
        <f>H29</f>
        <v>666</v>
      </c>
    </row>
    <row r="30" spans="2:9" s="201" customFormat="1" ht="12">
      <c r="B30" s="365" t="s">
        <v>2001</v>
      </c>
      <c r="C30" s="365"/>
      <c r="D30" s="365"/>
      <c r="E30" s="365"/>
      <c r="F30" s="365"/>
      <c r="G30" s="365"/>
      <c r="H30" s="365"/>
      <c r="I30" s="202">
        <f>SUM(I29:I29)</f>
        <v>666</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2181</v>
      </c>
      <c r="D33" s="368"/>
      <c r="E33" s="24">
        <v>1</v>
      </c>
      <c r="F33" s="24" t="s">
        <v>346</v>
      </c>
      <c r="G33" s="24">
        <v>13764</v>
      </c>
      <c r="H33" s="24">
        <f>E33*G33/I33</f>
        <v>1.2277221973471113</v>
      </c>
      <c r="I33" s="24">
        <f>22200-I20-I26-I30-0</f>
        <v>11211.00525</v>
      </c>
    </row>
    <row r="34" spans="2:9" s="201" customFormat="1" ht="12">
      <c r="B34" s="365" t="s">
        <v>2001</v>
      </c>
      <c r="C34" s="365"/>
      <c r="D34" s="365"/>
      <c r="E34" s="365"/>
      <c r="F34" s="365"/>
      <c r="G34" s="365"/>
      <c r="H34" s="365"/>
      <c r="I34" s="202">
        <f>SUM(I33:I33)</f>
        <v>11211.00525</v>
      </c>
    </row>
    <row r="35" spans="2:9" s="201" customFormat="1"/>
    <row r="36" spans="2:9" s="201" customFormat="1" ht="12">
      <c r="B36" s="369" t="s">
        <v>2026</v>
      </c>
      <c r="C36" s="369"/>
      <c r="D36" s="369"/>
      <c r="E36" s="369"/>
      <c r="F36" s="369"/>
      <c r="G36" s="369"/>
      <c r="H36" s="369"/>
      <c r="I36" s="202">
        <f>I20+I26+I30+I34</f>
        <v>22200</v>
      </c>
    </row>
  </sheetData>
  <mergeCells count="37">
    <mergeCell ref="B36:H36"/>
    <mergeCell ref="C22:D22"/>
    <mergeCell ref="C23:D23"/>
    <mergeCell ref="B24:H24"/>
    <mergeCell ref="B25:G25"/>
    <mergeCell ref="B26:H26"/>
    <mergeCell ref="B27:I27"/>
    <mergeCell ref="B30:H30"/>
    <mergeCell ref="B31:I31"/>
    <mergeCell ref="C32:D32"/>
    <mergeCell ref="C33:D33"/>
    <mergeCell ref="B34:H34"/>
    <mergeCell ref="B21:I21"/>
    <mergeCell ref="C13:F13"/>
    <mergeCell ref="G13:H13"/>
    <mergeCell ref="C14:E14"/>
    <mergeCell ref="F14:H14"/>
    <mergeCell ref="C15:E15"/>
    <mergeCell ref="F15:H15"/>
    <mergeCell ref="B16:I16"/>
    <mergeCell ref="C17:D17"/>
    <mergeCell ref="C18:D18"/>
    <mergeCell ref="C19:D19"/>
    <mergeCell ref="B20:H20"/>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B8256-D64A-4C5E-8BBB-2719D5E71F5D}">
  <dimension ref="B3:I35"/>
  <sheetViews>
    <sheetView zoomScaleNormal="100" workbookViewId="0">
      <selection activeCell="I14" sqref="I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1817</v>
      </c>
      <c r="C13" s="355" t="s">
        <v>1818</v>
      </c>
      <c r="D13" s="355"/>
      <c r="E13" s="355"/>
      <c r="F13" s="355"/>
      <c r="G13" s="286" t="s">
        <v>6</v>
      </c>
      <c r="H13" s="286"/>
      <c r="I13" s="114">
        <v>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228</v>
      </c>
      <c r="I18" s="24">
        <f>H18/F18</f>
        <v>228</v>
      </c>
    </row>
    <row r="19" spans="2:9" s="201" customFormat="1" ht="12">
      <c r="B19" s="365" t="s">
        <v>2001</v>
      </c>
      <c r="C19" s="365"/>
      <c r="D19" s="365"/>
      <c r="E19" s="365"/>
      <c r="F19" s="365"/>
      <c r="G19" s="365"/>
      <c r="H19" s="365"/>
      <c r="I19" s="202">
        <f>SUM(I18:I18)</f>
        <v>228</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2184</v>
      </c>
      <c r="C22" s="368" t="s">
        <v>2185</v>
      </c>
      <c r="D22" s="368"/>
      <c r="E22" s="24" t="s">
        <v>346</v>
      </c>
      <c r="F22" s="24">
        <v>1.1000000000000001</v>
      </c>
      <c r="G22" s="24"/>
      <c r="H22" s="24">
        <v>5428.57</v>
      </c>
      <c r="I22" s="24">
        <f>F22*H22</f>
        <v>5971.4270000000006</v>
      </c>
    </row>
    <row r="23" spans="2:9" s="201" customFormat="1" ht="12">
      <c r="B23" s="365" t="s">
        <v>2001</v>
      </c>
      <c r="C23" s="365"/>
      <c r="D23" s="365"/>
      <c r="E23" s="365"/>
      <c r="F23" s="365"/>
      <c r="G23" s="365"/>
      <c r="H23" s="365"/>
      <c r="I23" s="202">
        <f>SUM(I22:I22)</f>
        <v>5971.4270000000006</v>
      </c>
    </row>
    <row r="24" spans="2:9" s="201" customFormat="1" ht="12">
      <c r="B24" s="365" t="s">
        <v>1062</v>
      </c>
      <c r="C24" s="365"/>
      <c r="D24" s="365"/>
      <c r="E24" s="365"/>
      <c r="F24" s="365"/>
      <c r="G24" s="365"/>
      <c r="H24" s="24">
        <v>0.05</v>
      </c>
      <c r="I24" s="24">
        <f>I23*H24</f>
        <v>298.57135000000005</v>
      </c>
    </row>
    <row r="25" spans="2:9" s="201" customFormat="1" ht="12">
      <c r="B25" s="365" t="s">
        <v>73</v>
      </c>
      <c r="C25" s="365"/>
      <c r="D25" s="365"/>
      <c r="E25" s="365"/>
      <c r="F25" s="365"/>
      <c r="G25" s="365"/>
      <c r="H25" s="365"/>
      <c r="I25" s="202">
        <f>I23+I24</f>
        <v>6269.9983500000008</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2186</v>
      </c>
      <c r="D28" s="24" t="s">
        <v>346</v>
      </c>
      <c r="E28" s="24">
        <v>1.1000000000000001</v>
      </c>
      <c r="F28" s="24">
        <v>8</v>
      </c>
      <c r="G28" s="24">
        <v>64.77</v>
      </c>
      <c r="H28" s="24">
        <f>E28*F28*G28</f>
        <v>569.976</v>
      </c>
      <c r="I28" s="24">
        <f>H28</f>
        <v>569.976</v>
      </c>
    </row>
    <row r="29" spans="2:9" s="201" customFormat="1" ht="12">
      <c r="B29" s="365" t="s">
        <v>2001</v>
      </c>
      <c r="C29" s="365"/>
      <c r="D29" s="365"/>
      <c r="E29" s="365"/>
      <c r="F29" s="365"/>
      <c r="G29" s="365"/>
      <c r="H29" s="365"/>
      <c r="I29" s="202">
        <f>SUM(I28:I28)</f>
        <v>569.976</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2022</v>
      </c>
      <c r="C32" s="368" t="s">
        <v>2187</v>
      </c>
      <c r="D32" s="368"/>
      <c r="E32" s="24">
        <v>1</v>
      </c>
      <c r="F32" s="24" t="s">
        <v>346</v>
      </c>
      <c r="G32" s="24">
        <v>4560</v>
      </c>
      <c r="H32" s="24">
        <f>E32*G32/I32</f>
        <v>1.0526253462972917</v>
      </c>
      <c r="I32" s="24">
        <f>11400-I19-I25-I29-0</f>
        <v>4332.0256499999996</v>
      </c>
    </row>
    <row r="33" spans="2:9" s="201" customFormat="1" ht="12">
      <c r="B33" s="365" t="s">
        <v>2001</v>
      </c>
      <c r="C33" s="365"/>
      <c r="D33" s="365"/>
      <c r="E33" s="365"/>
      <c r="F33" s="365"/>
      <c r="G33" s="365"/>
      <c r="H33" s="365"/>
      <c r="I33" s="202">
        <f>SUM(I32:I32)</f>
        <v>4332.0256499999996</v>
      </c>
    </row>
    <row r="34" spans="2:9" s="201" customFormat="1"/>
    <row r="35" spans="2:9" s="201" customFormat="1" ht="12">
      <c r="B35" s="369" t="s">
        <v>2026</v>
      </c>
      <c r="C35" s="369"/>
      <c r="D35" s="369"/>
      <c r="E35" s="369"/>
      <c r="F35" s="369"/>
      <c r="G35" s="369"/>
      <c r="H35" s="369"/>
      <c r="I35" s="202">
        <f>I19+I25+I29+I33</f>
        <v>11400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D12D9-2D68-4C17-8E3E-DD1995373E85}">
  <dimension ref="B3:I36"/>
  <sheetViews>
    <sheetView topLeftCell="A7"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1819</v>
      </c>
      <c r="C13" s="355" t="s">
        <v>1991</v>
      </c>
      <c r="D13" s="355"/>
      <c r="E13" s="355"/>
      <c r="F13" s="355"/>
      <c r="G13" s="286" t="s">
        <v>1530</v>
      </c>
      <c r="H13" s="286"/>
      <c r="I13" s="114">
        <v>36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2325</v>
      </c>
      <c r="I18" s="24">
        <f>H18/F18</f>
        <v>2325</v>
      </c>
    </row>
    <row r="19" spans="2:9" s="201" customFormat="1" ht="12">
      <c r="B19" s="365" t="s">
        <v>2001</v>
      </c>
      <c r="C19" s="365"/>
      <c r="D19" s="365"/>
      <c r="E19" s="365"/>
      <c r="F19" s="365"/>
      <c r="G19" s="365"/>
      <c r="H19" s="365"/>
      <c r="I19" s="202">
        <f>SUM(I18:I18)</f>
        <v>2325</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2188</v>
      </c>
      <c r="C22" s="368" t="s">
        <v>2189</v>
      </c>
      <c r="D22" s="368"/>
      <c r="E22" s="24" t="s">
        <v>137</v>
      </c>
      <c r="F22" s="24">
        <v>1</v>
      </c>
      <c r="G22" s="24"/>
      <c r="H22" s="24">
        <v>102964.29</v>
      </c>
      <c r="I22" s="24">
        <f>F22*H22</f>
        <v>102964.29</v>
      </c>
    </row>
    <row r="23" spans="2:9" s="201" customFormat="1" ht="15" customHeight="1">
      <c r="B23" s="24" t="s">
        <v>2190</v>
      </c>
      <c r="C23" s="368" t="s">
        <v>2191</v>
      </c>
      <c r="D23" s="368"/>
      <c r="E23" s="24" t="s">
        <v>390</v>
      </c>
      <c r="F23" s="24">
        <v>1</v>
      </c>
      <c r="G23" s="24"/>
      <c r="H23" s="24">
        <v>34321.43</v>
      </c>
      <c r="I23" s="24">
        <f>F23*H23</f>
        <v>34321.43</v>
      </c>
    </row>
    <row r="24" spans="2:9" s="201" customFormat="1" ht="12">
      <c r="B24" s="365" t="s">
        <v>2001</v>
      </c>
      <c r="C24" s="365"/>
      <c r="D24" s="365"/>
      <c r="E24" s="365"/>
      <c r="F24" s="365"/>
      <c r="G24" s="365"/>
      <c r="H24" s="365"/>
      <c r="I24" s="202">
        <f>SUM(I22:I23)</f>
        <v>137285.72</v>
      </c>
    </row>
    <row r="25" spans="2:9" s="201" customFormat="1" ht="12">
      <c r="B25" s="365" t="s">
        <v>1062</v>
      </c>
      <c r="C25" s="365"/>
      <c r="D25" s="365"/>
      <c r="E25" s="365"/>
      <c r="F25" s="365"/>
      <c r="G25" s="365"/>
      <c r="H25" s="24">
        <v>0.05</v>
      </c>
      <c r="I25" s="24">
        <f>I24*H25</f>
        <v>6864.2860000000001</v>
      </c>
    </row>
    <row r="26" spans="2:9" s="201" customFormat="1" ht="12">
      <c r="B26" s="365" t="s">
        <v>73</v>
      </c>
      <c r="C26" s="365"/>
      <c r="D26" s="365"/>
      <c r="E26" s="365"/>
      <c r="F26" s="365"/>
      <c r="G26" s="365"/>
      <c r="H26" s="365"/>
      <c r="I26" s="202">
        <f>I24+I25</f>
        <v>144150.00599999999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2192</v>
      </c>
      <c r="D29" s="24" t="s">
        <v>390</v>
      </c>
      <c r="E29" s="24">
        <v>1</v>
      </c>
      <c r="F29" s="24">
        <v>1</v>
      </c>
      <c r="G29" s="24">
        <v>6975</v>
      </c>
      <c r="H29" s="24">
        <f>E29*F29*G29</f>
        <v>6975</v>
      </c>
      <c r="I29" s="24">
        <f>H29</f>
        <v>6975</v>
      </c>
    </row>
    <row r="30" spans="2:9" s="201" customFormat="1" ht="12">
      <c r="B30" s="365" t="s">
        <v>2001</v>
      </c>
      <c r="C30" s="365"/>
      <c r="D30" s="365"/>
      <c r="E30" s="365"/>
      <c r="F30" s="365"/>
      <c r="G30" s="365"/>
      <c r="H30" s="365"/>
      <c r="I30" s="202">
        <f>SUM(I29:I29)</f>
        <v>6975</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2193</v>
      </c>
      <c r="D33" s="368"/>
      <c r="E33" s="24">
        <v>0.9</v>
      </c>
      <c r="F33" s="24" t="s">
        <v>213</v>
      </c>
      <c r="G33" s="24">
        <v>19000</v>
      </c>
      <c r="H33" s="24">
        <f>E33*G33/I33</f>
        <v>0.21631880199763201</v>
      </c>
      <c r="I33" s="24">
        <f>232500-I19-I26-I30-0</f>
        <v>79049.994000000006</v>
      </c>
    </row>
    <row r="34" spans="2:9" s="201" customFormat="1" ht="12">
      <c r="B34" s="365" t="s">
        <v>2001</v>
      </c>
      <c r="C34" s="365"/>
      <c r="D34" s="365"/>
      <c r="E34" s="365"/>
      <c r="F34" s="365"/>
      <c r="G34" s="365"/>
      <c r="H34" s="365"/>
      <c r="I34" s="202">
        <f>SUM(I33:I33)</f>
        <v>79049.994000000006</v>
      </c>
    </row>
    <row r="35" spans="2:9" s="201" customFormat="1" ht="12"/>
    <row r="36" spans="2:9" s="201" customFormat="1" ht="12">
      <c r="B36" s="369" t="s">
        <v>2026</v>
      </c>
      <c r="C36" s="369"/>
      <c r="D36" s="369"/>
      <c r="E36" s="369"/>
      <c r="F36" s="369"/>
      <c r="G36" s="369"/>
      <c r="H36" s="369"/>
      <c r="I36" s="202">
        <f>I19+I26+I30+I34</f>
        <v>232500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9FDD4-52B7-46E7-9B0F-A51AD969D2ED}">
  <dimension ref="B3:I35"/>
  <sheetViews>
    <sheetView topLeftCell="A10" zoomScaleNormal="100" workbookViewId="0">
      <selection activeCell="M28" sqref="M2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1820</v>
      </c>
      <c r="C13" s="355" t="s">
        <v>1825</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16200</v>
      </c>
      <c r="I18" s="24">
        <f>H18/F18</f>
        <v>16200</v>
      </c>
    </row>
    <row r="19" spans="2:9" s="201" customFormat="1" ht="12">
      <c r="B19" s="365" t="s">
        <v>2001</v>
      </c>
      <c r="C19" s="365"/>
      <c r="D19" s="365"/>
      <c r="E19" s="365"/>
      <c r="F19" s="365"/>
      <c r="G19" s="365"/>
      <c r="H19" s="365"/>
      <c r="I19" s="202">
        <f>SUM(I18:I18)</f>
        <v>16200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2194</v>
      </c>
      <c r="C22" s="368" t="s">
        <v>2195</v>
      </c>
      <c r="D22" s="368"/>
      <c r="E22" s="24" t="s">
        <v>390</v>
      </c>
      <c r="F22" s="24">
        <v>1</v>
      </c>
      <c r="G22" s="24"/>
      <c r="H22" s="24">
        <v>97200</v>
      </c>
      <c r="I22" s="24">
        <f>F22*H22</f>
        <v>97200</v>
      </c>
    </row>
    <row r="23" spans="2:9" s="201" customFormat="1" ht="12">
      <c r="B23" s="365" t="s">
        <v>2001</v>
      </c>
      <c r="C23" s="365"/>
      <c r="D23" s="365"/>
      <c r="E23" s="365"/>
      <c r="F23" s="365"/>
      <c r="G23" s="365"/>
      <c r="H23" s="365"/>
      <c r="I23" s="202">
        <f>SUM(I22:I22)</f>
        <v>97200</v>
      </c>
    </row>
    <row r="24" spans="2:9" s="201" customFormat="1" ht="12">
      <c r="B24" s="365" t="s">
        <v>1062</v>
      </c>
      <c r="C24" s="365"/>
      <c r="D24" s="365"/>
      <c r="E24" s="365"/>
      <c r="F24" s="365"/>
      <c r="G24" s="365"/>
      <c r="H24" s="24">
        <v>0.05</v>
      </c>
      <c r="I24" s="24">
        <f>I23*H24</f>
        <v>4860</v>
      </c>
    </row>
    <row r="25" spans="2:9" s="201" customFormat="1" ht="12">
      <c r="B25" s="365" t="s">
        <v>73</v>
      </c>
      <c r="C25" s="365"/>
      <c r="D25" s="365"/>
      <c r="E25" s="365"/>
      <c r="F25" s="365"/>
      <c r="G25" s="365"/>
      <c r="H25" s="365"/>
      <c r="I25" s="202">
        <f>I23+I24</f>
        <v>102060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2022</v>
      </c>
      <c r="C32" s="368" t="s">
        <v>2196</v>
      </c>
      <c r="D32" s="368"/>
      <c r="E32" s="24">
        <v>1</v>
      </c>
      <c r="F32" s="24" t="s">
        <v>390</v>
      </c>
      <c r="G32" s="24">
        <v>1506600</v>
      </c>
      <c r="H32" s="24">
        <f>E32*G32/I32</f>
        <v>1.0032362459546926</v>
      </c>
      <c r="I32" s="24">
        <f>1620000-I19-I25-I29-0</f>
        <v>1501740</v>
      </c>
    </row>
    <row r="33" spans="2:9" s="201" customFormat="1" ht="12">
      <c r="B33" s="365" t="s">
        <v>2001</v>
      </c>
      <c r="C33" s="365"/>
      <c r="D33" s="365"/>
      <c r="E33" s="365"/>
      <c r="F33" s="365"/>
      <c r="G33" s="365"/>
      <c r="H33" s="365"/>
      <c r="I33" s="202">
        <f>SUM(I32:I32)</f>
        <v>1501740</v>
      </c>
    </row>
    <row r="34" spans="2:9" s="201" customFormat="1" ht="12"/>
    <row r="35" spans="2:9" s="201" customFormat="1" ht="12">
      <c r="B35" s="369" t="s">
        <v>2026</v>
      </c>
      <c r="C35" s="369"/>
      <c r="D35" s="369"/>
      <c r="E35" s="369"/>
      <c r="F35" s="369"/>
      <c r="G35" s="369"/>
      <c r="H35" s="369"/>
      <c r="I35" s="202">
        <f>I19+I25+I29+I33</f>
        <v>1620000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9C22-AEC7-4D36-80FA-196F6D73F884}">
  <dimension ref="B3:I35"/>
  <sheetViews>
    <sheetView topLeftCell="A7"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1821</v>
      </c>
      <c r="C13" s="355" t="s">
        <v>1826</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14400</v>
      </c>
      <c r="I18" s="24">
        <f>H18/F18</f>
        <v>14400</v>
      </c>
    </row>
    <row r="19" spans="2:9" s="201" customFormat="1" ht="12">
      <c r="B19" s="365" t="s">
        <v>2001</v>
      </c>
      <c r="C19" s="365"/>
      <c r="D19" s="365"/>
      <c r="E19" s="365"/>
      <c r="F19" s="365"/>
      <c r="G19" s="365"/>
      <c r="H19" s="365"/>
      <c r="I19" s="202">
        <f>SUM(I18:I18)</f>
        <v>14400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2194</v>
      </c>
      <c r="C22" s="368" t="s">
        <v>2195</v>
      </c>
      <c r="D22" s="368"/>
      <c r="E22" s="24" t="s">
        <v>390</v>
      </c>
      <c r="F22" s="24">
        <v>1</v>
      </c>
      <c r="G22" s="24"/>
      <c r="H22" s="24">
        <v>86400</v>
      </c>
      <c r="I22" s="24">
        <f>F22*H22</f>
        <v>86400</v>
      </c>
    </row>
    <row r="23" spans="2:9" s="201" customFormat="1" ht="12">
      <c r="B23" s="365" t="s">
        <v>2001</v>
      </c>
      <c r="C23" s="365"/>
      <c r="D23" s="365"/>
      <c r="E23" s="365"/>
      <c r="F23" s="365"/>
      <c r="G23" s="365"/>
      <c r="H23" s="365"/>
      <c r="I23" s="202">
        <f>SUM(I22:I22)</f>
        <v>86400</v>
      </c>
    </row>
    <row r="24" spans="2:9" s="201" customFormat="1" ht="12">
      <c r="B24" s="365" t="s">
        <v>1062</v>
      </c>
      <c r="C24" s="365"/>
      <c r="D24" s="365"/>
      <c r="E24" s="365"/>
      <c r="F24" s="365"/>
      <c r="G24" s="365"/>
      <c r="H24" s="24">
        <v>0.05</v>
      </c>
      <c r="I24" s="24">
        <f>I23*H24</f>
        <v>4320</v>
      </c>
    </row>
    <row r="25" spans="2:9" s="201" customFormat="1" ht="12">
      <c r="B25" s="365" t="s">
        <v>73</v>
      </c>
      <c r="C25" s="365"/>
      <c r="D25" s="365"/>
      <c r="E25" s="365"/>
      <c r="F25" s="365"/>
      <c r="G25" s="365"/>
      <c r="H25" s="365"/>
      <c r="I25" s="202">
        <f>I23+I24</f>
        <v>90720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2022</v>
      </c>
      <c r="C32" s="368" t="s">
        <v>2196</v>
      </c>
      <c r="D32" s="368"/>
      <c r="E32" s="24">
        <v>1</v>
      </c>
      <c r="F32" s="24" t="s">
        <v>390</v>
      </c>
      <c r="G32" s="24">
        <v>1339200</v>
      </c>
      <c r="H32" s="24">
        <f>E32*G32/I32</f>
        <v>1.0032362459546926</v>
      </c>
      <c r="I32" s="24">
        <f>1440000-I19-I25-I29-0</f>
        <v>1334880</v>
      </c>
    </row>
    <row r="33" spans="2:9" s="201" customFormat="1" ht="12">
      <c r="B33" s="365" t="s">
        <v>2001</v>
      </c>
      <c r="C33" s="365"/>
      <c r="D33" s="365"/>
      <c r="E33" s="365"/>
      <c r="F33" s="365"/>
      <c r="G33" s="365"/>
      <c r="H33" s="365"/>
      <c r="I33" s="202">
        <f>SUM(I32:I32)</f>
        <v>1334880</v>
      </c>
    </row>
    <row r="34" spans="2:9" s="201" customFormat="1" ht="12"/>
    <row r="35" spans="2:9" s="201" customFormat="1" ht="12">
      <c r="B35" s="369" t="s">
        <v>2026</v>
      </c>
      <c r="C35" s="369"/>
      <c r="D35" s="369"/>
      <c r="E35" s="369"/>
      <c r="F35" s="369"/>
      <c r="G35" s="369"/>
      <c r="H35" s="369"/>
      <c r="I35" s="202">
        <f>I19+I25+I29+I33</f>
        <v>1440000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4347-557E-485E-94DF-5E5037A2C16F}">
  <dimension ref="B3:I36"/>
  <sheetViews>
    <sheetView topLeftCell="A10" zoomScaleNormal="10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1822</v>
      </c>
      <c r="C13" s="355" t="s">
        <v>1827</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5520</v>
      </c>
      <c r="I18" s="24">
        <f>H18/F18</f>
        <v>5520</v>
      </c>
    </row>
    <row r="19" spans="2:9" s="201" customFormat="1" ht="28.35" customHeight="1">
      <c r="B19" s="24" t="s">
        <v>2118</v>
      </c>
      <c r="C19" s="368" t="s">
        <v>2197</v>
      </c>
      <c r="D19" s="368"/>
      <c r="E19" s="24" t="s">
        <v>390</v>
      </c>
      <c r="F19" s="24">
        <v>1</v>
      </c>
      <c r="G19" s="24"/>
      <c r="H19" s="24">
        <v>55200</v>
      </c>
      <c r="I19" s="24">
        <f>H19/F19</f>
        <v>55200</v>
      </c>
    </row>
    <row r="20" spans="2:9" s="201" customFormat="1" ht="12">
      <c r="B20" s="365" t="s">
        <v>2001</v>
      </c>
      <c r="C20" s="365"/>
      <c r="D20" s="365"/>
      <c r="E20" s="365"/>
      <c r="F20" s="365"/>
      <c r="G20" s="365"/>
      <c r="H20" s="365"/>
      <c r="I20" s="202">
        <f>SUM(I18:I19)</f>
        <v>60720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2198</v>
      </c>
      <c r="C23" s="368" t="s">
        <v>2199</v>
      </c>
      <c r="D23" s="368"/>
      <c r="E23" s="24" t="s">
        <v>390</v>
      </c>
      <c r="F23" s="24">
        <v>1</v>
      </c>
      <c r="G23" s="24"/>
      <c r="H23" s="24">
        <v>16560</v>
      </c>
      <c r="I23" s="24">
        <f>F23*H23</f>
        <v>16560</v>
      </c>
    </row>
    <row r="24" spans="2:9" s="201" customFormat="1" ht="12">
      <c r="B24" s="365" t="s">
        <v>2001</v>
      </c>
      <c r="C24" s="365"/>
      <c r="D24" s="365"/>
      <c r="E24" s="365"/>
      <c r="F24" s="365"/>
      <c r="G24" s="365"/>
      <c r="H24" s="365"/>
      <c r="I24" s="202">
        <f>SUM(I23:I23)</f>
        <v>16560</v>
      </c>
    </row>
    <row r="25" spans="2:9" s="201" customFormat="1" ht="12">
      <c r="B25" s="365" t="s">
        <v>1062</v>
      </c>
      <c r="C25" s="365"/>
      <c r="D25" s="365"/>
      <c r="E25" s="365"/>
      <c r="F25" s="365"/>
      <c r="G25" s="365"/>
      <c r="H25" s="24">
        <v>0.05</v>
      </c>
      <c r="I25" s="24">
        <f>I24*H25</f>
        <v>828</v>
      </c>
    </row>
    <row r="26" spans="2:9" s="201" customFormat="1" ht="12">
      <c r="B26" s="365" t="s">
        <v>73</v>
      </c>
      <c r="C26" s="365"/>
      <c r="D26" s="365"/>
      <c r="E26" s="365"/>
      <c r="F26" s="365"/>
      <c r="G26" s="365"/>
      <c r="H26" s="365"/>
      <c r="I26" s="202">
        <f>I24+I25</f>
        <v>17388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c r="C29" s="24"/>
      <c r="D29" s="24"/>
      <c r="E29" s="24"/>
      <c r="F29" s="24"/>
      <c r="G29" s="24"/>
      <c r="H29" s="24"/>
      <c r="I29" s="24"/>
    </row>
    <row r="30" spans="2:9" s="201" customFormat="1" ht="12">
      <c r="B30" s="365" t="s">
        <v>2001</v>
      </c>
      <c r="C30" s="365"/>
      <c r="D30" s="365"/>
      <c r="E30" s="365"/>
      <c r="F30" s="365"/>
      <c r="G30" s="365"/>
      <c r="H30" s="365"/>
      <c r="I30" s="202">
        <f>SUM(I29:I29)</f>
        <v>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2200</v>
      </c>
      <c r="D33" s="368"/>
      <c r="E33" s="24">
        <v>4</v>
      </c>
      <c r="F33" s="24" t="s">
        <v>213</v>
      </c>
      <c r="G33" s="24">
        <v>21500</v>
      </c>
      <c r="H33" s="24">
        <f>E33*G33/I33</f>
        <v>0.43458047824065654</v>
      </c>
      <c r="I33" s="24">
        <f>276000-I20-I26-I30-0</f>
        <v>197892</v>
      </c>
    </row>
    <row r="34" spans="2:9" s="201" customFormat="1" ht="12">
      <c r="B34" s="365" t="s">
        <v>2001</v>
      </c>
      <c r="C34" s="365"/>
      <c r="D34" s="365"/>
      <c r="E34" s="365"/>
      <c r="F34" s="365"/>
      <c r="G34" s="365"/>
      <c r="H34" s="365"/>
      <c r="I34" s="202">
        <f>SUM(I33:I33)</f>
        <v>197892</v>
      </c>
    </row>
    <row r="35" spans="2:9" s="201" customFormat="1" ht="12"/>
    <row r="36" spans="2:9" s="201" customFormat="1" ht="12">
      <c r="B36" s="369" t="s">
        <v>2026</v>
      </c>
      <c r="C36" s="369"/>
      <c r="D36" s="369"/>
      <c r="E36" s="369"/>
      <c r="F36" s="369"/>
      <c r="G36" s="369"/>
      <c r="H36" s="369"/>
      <c r="I36" s="202">
        <f>I20+I26+I30+I34</f>
        <v>276000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2448C-3583-4A5A-89D2-A53391E4DF40}">
  <dimension ref="B3:I36"/>
  <sheetViews>
    <sheetView zoomScale="70" zoomScaleNormal="70" workbookViewId="0">
      <selection activeCell="L19" sqref="L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1823</v>
      </c>
      <c r="C13" s="355" t="s">
        <v>1828</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5520</v>
      </c>
      <c r="I18" s="24">
        <f>H18/F18</f>
        <v>5520</v>
      </c>
    </row>
    <row r="19" spans="2:9" s="201" customFormat="1" ht="28.35" customHeight="1">
      <c r="B19" s="24" t="s">
        <v>2118</v>
      </c>
      <c r="C19" s="368" t="s">
        <v>2197</v>
      </c>
      <c r="D19" s="368"/>
      <c r="E19" s="24" t="s">
        <v>390</v>
      </c>
      <c r="F19" s="24">
        <v>1</v>
      </c>
      <c r="G19" s="24"/>
      <c r="H19" s="24">
        <v>55200</v>
      </c>
      <c r="I19" s="24">
        <f>H19/F19</f>
        <v>55200</v>
      </c>
    </row>
    <row r="20" spans="2:9" s="201" customFormat="1" ht="12">
      <c r="B20" s="365" t="s">
        <v>2001</v>
      </c>
      <c r="C20" s="365"/>
      <c r="D20" s="365"/>
      <c r="E20" s="365"/>
      <c r="F20" s="365"/>
      <c r="G20" s="365"/>
      <c r="H20" s="365"/>
      <c r="I20" s="202">
        <f>SUM(I18:I19)</f>
        <v>60720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2198</v>
      </c>
      <c r="C23" s="368" t="s">
        <v>2199</v>
      </c>
      <c r="D23" s="368"/>
      <c r="E23" s="24" t="s">
        <v>390</v>
      </c>
      <c r="F23" s="24">
        <v>1</v>
      </c>
      <c r="G23" s="24"/>
      <c r="H23" s="24">
        <v>16560</v>
      </c>
      <c r="I23" s="24">
        <f>F23*H23</f>
        <v>16560</v>
      </c>
    </row>
    <row r="24" spans="2:9" s="201" customFormat="1" ht="12">
      <c r="B24" s="365" t="s">
        <v>2001</v>
      </c>
      <c r="C24" s="365"/>
      <c r="D24" s="365"/>
      <c r="E24" s="365"/>
      <c r="F24" s="365"/>
      <c r="G24" s="365"/>
      <c r="H24" s="365"/>
      <c r="I24" s="202">
        <f>SUM(I23:I23)</f>
        <v>16560</v>
      </c>
    </row>
    <row r="25" spans="2:9" s="201" customFormat="1" ht="12">
      <c r="B25" s="365" t="s">
        <v>1062</v>
      </c>
      <c r="C25" s="365"/>
      <c r="D25" s="365"/>
      <c r="E25" s="365"/>
      <c r="F25" s="365"/>
      <c r="G25" s="365"/>
      <c r="H25" s="24">
        <v>0.05</v>
      </c>
      <c r="I25" s="24">
        <f>I24*H25</f>
        <v>828</v>
      </c>
    </row>
    <row r="26" spans="2:9" s="201" customFormat="1" ht="12">
      <c r="B26" s="365" t="s">
        <v>73</v>
      </c>
      <c r="C26" s="365"/>
      <c r="D26" s="365"/>
      <c r="E26" s="365"/>
      <c r="F26" s="365"/>
      <c r="G26" s="365"/>
      <c r="H26" s="365"/>
      <c r="I26" s="202">
        <f>I24+I25</f>
        <v>17388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c r="C29" s="24"/>
      <c r="D29" s="24"/>
      <c r="E29" s="24"/>
      <c r="F29" s="24"/>
      <c r="G29" s="24"/>
      <c r="H29" s="24"/>
      <c r="I29" s="24"/>
    </row>
    <row r="30" spans="2:9" s="201" customFormat="1" ht="12">
      <c r="B30" s="365" t="s">
        <v>2001</v>
      </c>
      <c r="C30" s="365"/>
      <c r="D30" s="365"/>
      <c r="E30" s="365"/>
      <c r="F30" s="365"/>
      <c r="G30" s="365"/>
      <c r="H30" s="365"/>
      <c r="I30" s="202">
        <f>SUM(I29:I29)</f>
        <v>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2200</v>
      </c>
      <c r="D33" s="368"/>
      <c r="E33" s="24">
        <v>4</v>
      </c>
      <c r="F33" s="24" t="s">
        <v>213</v>
      </c>
      <c r="G33" s="24">
        <v>21500</v>
      </c>
      <c r="H33" s="24">
        <f>E33*G33/I33</f>
        <v>0.43458047824065654</v>
      </c>
      <c r="I33" s="24">
        <f>276000-I20-I26-I30-0</f>
        <v>197892</v>
      </c>
    </row>
    <row r="34" spans="2:9" s="201" customFormat="1" ht="12">
      <c r="B34" s="365" t="s">
        <v>2001</v>
      </c>
      <c r="C34" s="365"/>
      <c r="D34" s="365"/>
      <c r="E34" s="365"/>
      <c r="F34" s="365"/>
      <c r="G34" s="365"/>
      <c r="H34" s="365"/>
      <c r="I34" s="202">
        <f>SUM(I33:I33)</f>
        <v>197892</v>
      </c>
    </row>
    <row r="35" spans="2:9" s="201" customFormat="1" ht="12"/>
    <row r="36" spans="2:9" s="201" customFormat="1" ht="12">
      <c r="B36" s="369" t="s">
        <v>2026</v>
      </c>
      <c r="C36" s="369"/>
      <c r="D36" s="369"/>
      <c r="E36" s="369"/>
      <c r="F36" s="369"/>
      <c r="G36" s="369"/>
      <c r="H36" s="369"/>
      <c r="I36" s="202">
        <f>I20+I26+I30+I34</f>
        <v>276000</v>
      </c>
    </row>
  </sheetData>
  <mergeCells count="37">
    <mergeCell ref="C33:D33"/>
    <mergeCell ref="B34:H34"/>
    <mergeCell ref="B36:H36"/>
    <mergeCell ref="B26:H26"/>
    <mergeCell ref="B27:I27"/>
    <mergeCell ref="B30:H30"/>
    <mergeCell ref="B31:I31"/>
    <mergeCell ref="C32:D32"/>
    <mergeCell ref="B21:I21"/>
    <mergeCell ref="C22:D22"/>
    <mergeCell ref="C23:D23"/>
    <mergeCell ref="B24:H24"/>
    <mergeCell ref="B25:G25"/>
    <mergeCell ref="B16:I16"/>
    <mergeCell ref="C17:D17"/>
    <mergeCell ref="C18:D18"/>
    <mergeCell ref="C19:D19"/>
    <mergeCell ref="B20:H20"/>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E0268-D60E-4B81-8A5E-F04AFC50F5B9}">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1824</v>
      </c>
      <c r="C13" s="355" t="s">
        <v>1829</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3240</v>
      </c>
      <c r="I18" s="24">
        <f>H18/F18</f>
        <v>3240</v>
      </c>
    </row>
    <row r="19" spans="2:9" s="201" customFormat="1" ht="28.35" customHeight="1">
      <c r="B19" s="24" t="s">
        <v>2118</v>
      </c>
      <c r="C19" s="368" t="s">
        <v>2197</v>
      </c>
      <c r="D19" s="368"/>
      <c r="E19" s="24" t="s">
        <v>390</v>
      </c>
      <c r="F19" s="24">
        <v>1</v>
      </c>
      <c r="G19" s="24"/>
      <c r="H19" s="24">
        <v>32400</v>
      </c>
      <c r="I19" s="24">
        <f>H19/F19</f>
        <v>32400</v>
      </c>
    </row>
    <row r="20" spans="2:9" s="201" customFormat="1" ht="12">
      <c r="B20" s="365" t="s">
        <v>2001</v>
      </c>
      <c r="C20" s="365"/>
      <c r="D20" s="365"/>
      <c r="E20" s="365"/>
      <c r="F20" s="365"/>
      <c r="G20" s="365"/>
      <c r="H20" s="365"/>
      <c r="I20" s="202">
        <f>SUM(I18:I19)</f>
        <v>35640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2198</v>
      </c>
      <c r="C23" s="368" t="s">
        <v>2199</v>
      </c>
      <c r="D23" s="368"/>
      <c r="E23" s="24" t="s">
        <v>390</v>
      </c>
      <c r="F23" s="24">
        <v>1</v>
      </c>
      <c r="G23" s="24"/>
      <c r="H23" s="24">
        <v>9720</v>
      </c>
      <c r="I23" s="24">
        <f>F23*H23</f>
        <v>9720</v>
      </c>
    </row>
    <row r="24" spans="2:9" s="201" customFormat="1" ht="12">
      <c r="B24" s="365" t="s">
        <v>2001</v>
      </c>
      <c r="C24" s="365"/>
      <c r="D24" s="365"/>
      <c r="E24" s="365"/>
      <c r="F24" s="365"/>
      <c r="G24" s="365"/>
      <c r="H24" s="365"/>
      <c r="I24" s="202">
        <f>SUM(I23:I23)</f>
        <v>9720</v>
      </c>
    </row>
    <row r="25" spans="2:9" s="201" customFormat="1" ht="12">
      <c r="B25" s="365" t="s">
        <v>1062</v>
      </c>
      <c r="C25" s="365"/>
      <c r="D25" s="365"/>
      <c r="E25" s="365"/>
      <c r="F25" s="365"/>
      <c r="G25" s="365"/>
      <c r="H25" s="24">
        <v>0.05</v>
      </c>
      <c r="I25" s="24">
        <f>I24*H25</f>
        <v>486</v>
      </c>
    </row>
    <row r="26" spans="2:9" s="201" customFormat="1" ht="12">
      <c r="B26" s="365" t="s">
        <v>73</v>
      </c>
      <c r="C26" s="365"/>
      <c r="D26" s="365"/>
      <c r="E26" s="365"/>
      <c r="F26" s="365"/>
      <c r="G26" s="365"/>
      <c r="H26" s="365"/>
      <c r="I26" s="202">
        <f>I24+I25</f>
        <v>10206</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c r="C29" s="24"/>
      <c r="D29" s="24"/>
      <c r="E29" s="24"/>
      <c r="F29" s="24"/>
      <c r="G29" s="24"/>
      <c r="H29" s="24"/>
      <c r="I29" s="24"/>
    </row>
    <row r="30" spans="2:9" s="201" customFormat="1" ht="12">
      <c r="B30" s="365" t="s">
        <v>2001</v>
      </c>
      <c r="C30" s="365"/>
      <c r="D30" s="365"/>
      <c r="E30" s="365"/>
      <c r="F30" s="365"/>
      <c r="G30" s="365"/>
      <c r="H30" s="365"/>
      <c r="I30" s="202">
        <f>SUM(I29:I29)</f>
        <v>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2200</v>
      </c>
      <c r="D33" s="368"/>
      <c r="E33" s="24">
        <v>4</v>
      </c>
      <c r="F33" s="24" t="s">
        <v>213</v>
      </c>
      <c r="G33" s="24">
        <v>21500</v>
      </c>
      <c r="H33" s="24">
        <f>E33*G33/I33</f>
        <v>0.74039637033593331</v>
      </c>
      <c r="I33" s="24">
        <f>162000-I20-I26-I30-0</f>
        <v>116154</v>
      </c>
    </row>
    <row r="34" spans="2:9" s="201" customFormat="1" ht="12">
      <c r="B34" s="365" t="s">
        <v>2001</v>
      </c>
      <c r="C34" s="365"/>
      <c r="D34" s="365"/>
      <c r="E34" s="365"/>
      <c r="F34" s="365"/>
      <c r="G34" s="365"/>
      <c r="H34" s="365"/>
      <c r="I34" s="202">
        <f>SUM(I33:I33)</f>
        <v>116154</v>
      </c>
    </row>
    <row r="35" spans="2:9" s="201" customFormat="1" ht="12"/>
    <row r="36" spans="2:9" s="201" customFormat="1" ht="12">
      <c r="B36" s="369" t="s">
        <v>2026</v>
      </c>
      <c r="C36" s="369"/>
      <c r="D36" s="369"/>
      <c r="E36" s="369"/>
      <c r="F36" s="369"/>
      <c r="G36" s="369"/>
      <c r="H36" s="369"/>
      <c r="I36" s="202">
        <f>I20+I26+I30+I34</f>
        <v>162000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1F9D1-26F4-44A1-A9A1-75D8401CAD74}">
  <sheetPr codeName="Hoja14"/>
  <dimension ref="B3:P41"/>
  <sheetViews>
    <sheetView topLeftCell="A27" workbookViewId="0">
      <selection activeCell="L15" sqref="L15"/>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12.0976562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4" customHeight="1">
      <c r="B13" s="13" t="s">
        <v>5</v>
      </c>
      <c r="C13" s="283" t="s">
        <v>1899</v>
      </c>
      <c r="D13" s="284"/>
      <c r="E13" s="284"/>
      <c r="F13" s="285"/>
      <c r="G13" s="283" t="s">
        <v>6</v>
      </c>
      <c r="H13" s="285"/>
      <c r="I13" s="17">
        <v>3.0069900000000001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6" ht="12">
      <c r="B17" s="70" t="s">
        <v>42</v>
      </c>
      <c r="C17" s="286" t="s">
        <v>58</v>
      </c>
      <c r="D17" s="286"/>
      <c r="E17" s="70" t="s">
        <v>1</v>
      </c>
      <c r="F17" s="80" t="s">
        <v>59</v>
      </c>
      <c r="G17" s="70" t="s">
        <v>60</v>
      </c>
      <c r="H17" s="80" t="s">
        <v>61</v>
      </c>
      <c r="I17" s="287"/>
    </row>
    <row r="18" spans="2:16">
      <c r="B18" s="71" t="s">
        <v>62</v>
      </c>
      <c r="C18" s="288" t="str">
        <f>VLOOKUP(B18,'MAQUINARIA Y EQUIPOS  '!C7:F95,2,FALSE)</f>
        <v xml:space="preserve">HERRAMIENTAS MENORES </v>
      </c>
      <c r="D18" s="265"/>
      <c r="E18" s="71" t="str">
        <f>VLOOKUP(B18,'MAQUINARIA Y EQUIPOS  '!C7:F95,3,FALSE)</f>
        <v>GLB</v>
      </c>
      <c r="F18" s="86">
        <f>VLOOKUP(B18,'MAQUINARIA Y EQUIPOS  '!C7:F95,4,FALSE)</f>
        <v>10714</v>
      </c>
      <c r="G18" s="133">
        <v>0.1</v>
      </c>
      <c r="H18" s="116">
        <f>F18*G18</f>
        <v>1071.4000000000001</v>
      </c>
      <c r="I18" s="287"/>
    </row>
    <row r="19" spans="2:16">
      <c r="B19" s="71" t="s">
        <v>1267</v>
      </c>
      <c r="C19" s="288" t="str">
        <f>VLOOKUP(B19,'MAQUINARIA Y EQUIPOS  '!C7:F95,2,FALSE)</f>
        <v xml:space="preserve">Pluma grua </v>
      </c>
      <c r="D19" s="265"/>
      <c r="E19" s="88" t="str">
        <f>VLOOKUP(B19,'MAQUINARIA Y EQUIPOS  '!C7:F95,3,FALSE)</f>
        <v>HH</v>
      </c>
      <c r="F19" s="86">
        <f>VLOOKUP(B19,'MAQUINARIA Y EQUIPOS  '!C7:F95,4,FALSE)</f>
        <v>10500</v>
      </c>
      <c r="G19" s="71">
        <v>0.28999999999999998</v>
      </c>
      <c r="H19" s="116">
        <f>F19*G19</f>
        <v>3045</v>
      </c>
      <c r="I19" s="287"/>
    </row>
    <row r="20" spans="2:16">
      <c r="B20" s="71" t="s">
        <v>234</v>
      </c>
      <c r="C20" s="253" t="str">
        <f>VLOOKUP(B20,'MAQUINARIA Y EQUIPOS  '!C7:F95,2,FALSE)</f>
        <v xml:space="preserve">Mezcladora </v>
      </c>
      <c r="D20" s="258"/>
      <c r="E20" s="88" t="str">
        <f>VLOOKUP(B20,'MAQUINARIA Y EQUIPOS  '!C7:F95,3,FALSE)</f>
        <v>DIA</v>
      </c>
      <c r="F20" s="86">
        <f>VLOOKUP(B20,'MAQUINARIA Y EQUIPOS  '!C7:F95,4,FALSE)</f>
        <v>150000</v>
      </c>
      <c r="G20" s="131">
        <v>0.05</v>
      </c>
      <c r="H20" s="130">
        <f>+F20*G20</f>
        <v>7500</v>
      </c>
      <c r="I20" s="287"/>
    </row>
    <row r="21" spans="2:16" ht="12">
      <c r="B21" s="89"/>
      <c r="C21" s="89"/>
      <c r="D21" s="89"/>
      <c r="E21" s="89"/>
      <c r="F21" s="89"/>
      <c r="G21" s="89"/>
      <c r="H21" s="89" t="s">
        <v>64</v>
      </c>
      <c r="I21" s="90">
        <f>SUM(H18:H20)</f>
        <v>11616.4</v>
      </c>
    </row>
    <row r="22" spans="2:16" ht="12">
      <c r="B22" s="78"/>
      <c r="C22" s="289" t="s">
        <v>65</v>
      </c>
      <c r="D22" s="289"/>
      <c r="E22" s="78"/>
      <c r="F22" s="78"/>
      <c r="G22" s="78"/>
      <c r="H22" s="78"/>
      <c r="I22" s="79"/>
    </row>
    <row r="23" spans="2:16" ht="12">
      <c r="B23" s="70" t="s">
        <v>42</v>
      </c>
      <c r="C23" s="286" t="s">
        <v>58</v>
      </c>
      <c r="D23" s="286"/>
      <c r="E23" s="70" t="s">
        <v>1</v>
      </c>
      <c r="F23" s="80" t="s">
        <v>66</v>
      </c>
      <c r="G23" s="70" t="s">
        <v>67</v>
      </c>
      <c r="H23" s="70" t="s">
        <v>61</v>
      </c>
      <c r="I23" s="287"/>
      <c r="O23" s="11" t="s">
        <v>1230</v>
      </c>
      <c r="P23" s="11" t="s">
        <v>1231</v>
      </c>
    </row>
    <row r="24" spans="2:16">
      <c r="B24" s="71" t="s">
        <v>1219</v>
      </c>
      <c r="C24" s="290" t="str">
        <f>VLOOKUP(B24,'INSUMOS '!C7:F616,2,FALSE)</f>
        <v xml:space="preserve">CEMENTO GRIS 50KG + DESCARGUE </v>
      </c>
      <c r="D24" s="293"/>
      <c r="E24" s="97" t="str">
        <f>VLOOKUP(B24,'INSUMOS '!C7:F616,3,FALSE)</f>
        <v>KG</v>
      </c>
      <c r="F24" s="98">
        <f>VLOOKUP(B24,'INSUMOS '!C7:F616,4,FALSE)</f>
        <v>663.95</v>
      </c>
      <c r="G24" s="132">
        <v>364</v>
      </c>
      <c r="H24" s="83">
        <f>+G24*F24</f>
        <v>241677.80000000002</v>
      </c>
      <c r="I24" s="287"/>
      <c r="O24" s="11">
        <v>2000</v>
      </c>
      <c r="P24" s="11">
        <v>7570</v>
      </c>
    </row>
    <row r="25" spans="2:16">
      <c r="B25" s="71" t="s">
        <v>183</v>
      </c>
      <c r="C25" s="290" t="str">
        <f>VLOOKUP(B25,'INSUMOS '!C7:F616,2,FALSE)</f>
        <v>AGUA</v>
      </c>
      <c r="D25" s="293"/>
      <c r="E25" s="97" t="str">
        <f>VLOOKUP(B25,'INSUMOS '!C7:F616,3,FALSE)</f>
        <v>L</v>
      </c>
      <c r="F25" s="98">
        <v>473</v>
      </c>
      <c r="G25" s="132">
        <v>170</v>
      </c>
      <c r="H25" s="83">
        <f>+G25*F25</f>
        <v>80410</v>
      </c>
      <c r="I25" s="287"/>
      <c r="O25" s="11">
        <v>125</v>
      </c>
      <c r="P25" s="11">
        <v>473</v>
      </c>
    </row>
    <row r="26" spans="2:16">
      <c r="B26" s="71" t="s">
        <v>1222</v>
      </c>
      <c r="C26" s="290" t="str">
        <f>VLOOKUP(B26,'INSUMOS '!C7:F616,2,FALSE)</f>
        <v xml:space="preserve">ARENA CANTERA </v>
      </c>
      <c r="D26" s="293"/>
      <c r="E26" s="97" t="str">
        <f>VLOOKUP(B26,'INSUMOS '!C7:F616,3,FALSE)</f>
        <v>M3</v>
      </c>
      <c r="F26" s="98">
        <f>VLOOKUP(B26,'INSUMOS '!C7:F616,4,FALSE)</f>
        <v>50000</v>
      </c>
      <c r="G26" s="119">
        <v>1.1599999999999999</v>
      </c>
      <c r="H26" s="83">
        <f>+G26*F26</f>
        <v>57999.999999999993</v>
      </c>
      <c r="I26" s="287"/>
    </row>
    <row r="27" spans="2:16">
      <c r="B27" s="71" t="s">
        <v>1228</v>
      </c>
      <c r="C27" s="290" t="str">
        <f>VLOOKUP(B27,'INSUMOS '!C7:F616,2,FALSE)</f>
        <v xml:space="preserve">REGLA DE ALUMINIO </v>
      </c>
      <c r="D27" s="293"/>
      <c r="E27" s="97" t="str">
        <f>VLOOKUP(B27,'INSUMOS '!C7:F616,3,FALSE)</f>
        <v xml:space="preserve">UND </v>
      </c>
      <c r="F27" s="134">
        <f>VLOOKUP(C27,'INSUMOS '!D7:G501,3,FALSE)</f>
        <v>43077</v>
      </c>
      <c r="G27" s="92">
        <v>0.02</v>
      </c>
      <c r="H27" s="83">
        <f>+G27*F27</f>
        <v>861.54</v>
      </c>
      <c r="I27" s="287"/>
      <c r="N27" s="11">
        <f>250000/2000</f>
        <v>125</v>
      </c>
      <c r="O27" s="11" t="s">
        <v>1083</v>
      </c>
    </row>
    <row r="28" spans="2:16" ht="12">
      <c r="B28" s="89"/>
      <c r="C28" s="89"/>
      <c r="D28" s="89"/>
      <c r="E28" s="89"/>
      <c r="F28" s="89"/>
      <c r="G28" s="258" t="s">
        <v>64</v>
      </c>
      <c r="H28" s="258"/>
      <c r="I28" s="85">
        <f>SUM(H24:H27)</f>
        <v>380949.34</v>
      </c>
    </row>
    <row r="29" spans="2:16" ht="12">
      <c r="B29" s="89"/>
      <c r="C29" s="89"/>
      <c r="D29" s="89"/>
      <c r="E29" s="89"/>
      <c r="F29" s="89"/>
      <c r="G29" s="99" t="s">
        <v>72</v>
      </c>
      <c r="H29" s="100">
        <v>0.05</v>
      </c>
      <c r="I29" s="120">
        <f>I28*H29</f>
        <v>19047.467000000001</v>
      </c>
    </row>
    <row r="30" spans="2:16" ht="12">
      <c r="B30" s="89"/>
      <c r="C30" s="89"/>
      <c r="D30" s="89"/>
      <c r="E30" s="89"/>
      <c r="F30" s="89"/>
      <c r="G30" s="258" t="s">
        <v>73</v>
      </c>
      <c r="H30" s="258"/>
      <c r="I30" s="90">
        <f>SUM(I28:I29)</f>
        <v>399996.80700000003</v>
      </c>
    </row>
    <row r="31" spans="2:16" ht="12">
      <c r="B31" s="78"/>
      <c r="C31" s="289" t="s">
        <v>74</v>
      </c>
      <c r="D31" s="289"/>
      <c r="E31" s="78"/>
      <c r="F31" s="78"/>
      <c r="G31" s="78"/>
      <c r="H31" s="78"/>
      <c r="I31" s="79"/>
    </row>
    <row r="32" spans="2:16" ht="12">
      <c r="B32" s="70" t="s">
        <v>42</v>
      </c>
      <c r="C32" s="70" t="s">
        <v>58</v>
      </c>
      <c r="D32" s="70" t="s">
        <v>342</v>
      </c>
      <c r="E32" s="70" t="s">
        <v>343</v>
      </c>
      <c r="F32" s="70" t="s">
        <v>344</v>
      </c>
      <c r="G32" s="70" t="s">
        <v>1278</v>
      </c>
      <c r="H32" s="74" t="s">
        <v>61</v>
      </c>
      <c r="I32" s="300"/>
    </row>
    <row r="33" spans="2:13" ht="12">
      <c r="B33" s="70" t="s">
        <v>192</v>
      </c>
      <c r="C33" s="70" t="str">
        <f>VLOOKUP(B33,'MAQUINARIA Y EQUIPOS  '!C7:F95,2,FALSE)</f>
        <v>Volqueta de 8 m3</v>
      </c>
      <c r="D33" s="75" t="str">
        <f>VLOOKUP(B33,'MAQUINARIA Y EQUIPOS  '!C7:F95,3,FALSE)</f>
        <v>m3/km</v>
      </c>
      <c r="E33" s="135">
        <v>1.1599999999999999</v>
      </c>
      <c r="F33" s="70">
        <v>19</v>
      </c>
      <c r="G33" s="102">
        <f>VLOOKUP(B33,'MAQUINARIA Y EQUIPOS  '!C7:F95,4,FALSE)</f>
        <v>1500</v>
      </c>
      <c r="H33" s="103">
        <f>+F33*G33*E33</f>
        <v>33060</v>
      </c>
      <c r="I33" s="301"/>
    </row>
    <row r="34" spans="2:13">
      <c r="B34" s="71"/>
      <c r="C34" s="71"/>
      <c r="D34" s="82"/>
      <c r="E34" s="71"/>
      <c r="F34" s="71"/>
      <c r="G34" s="86"/>
      <c r="H34" s="86"/>
      <c r="I34" s="301"/>
      <c r="M34" s="11">
        <v>250</v>
      </c>
    </row>
    <row r="35" spans="2:13" ht="12">
      <c r="B35" s="89"/>
      <c r="C35" s="89"/>
      <c r="D35" s="89"/>
      <c r="E35" s="89"/>
      <c r="F35" s="89"/>
      <c r="G35" s="302" t="s">
        <v>64</v>
      </c>
      <c r="H35" s="302"/>
      <c r="I35" s="104">
        <f>+H33</f>
        <v>33060</v>
      </c>
    </row>
    <row r="36" spans="2:13" ht="15" customHeight="1">
      <c r="B36" s="78"/>
      <c r="C36" s="289" t="s">
        <v>75</v>
      </c>
      <c r="D36" s="289"/>
      <c r="E36" s="78"/>
      <c r="F36" s="78"/>
      <c r="G36" s="78"/>
      <c r="H36" s="78"/>
      <c r="I36" s="79"/>
    </row>
    <row r="37" spans="2:13" ht="12">
      <c r="B37" s="105" t="s">
        <v>42</v>
      </c>
      <c r="C37" s="105" t="s">
        <v>76</v>
      </c>
      <c r="D37" s="105" t="s">
        <v>1227</v>
      </c>
      <c r="E37" s="105" t="s">
        <v>1</v>
      </c>
      <c r="F37" s="105" t="s">
        <v>77</v>
      </c>
      <c r="G37" s="105" t="s">
        <v>78</v>
      </c>
      <c r="H37" s="105" t="s">
        <v>79</v>
      </c>
      <c r="I37" s="294"/>
    </row>
    <row r="38" spans="2:13" ht="38.25" customHeight="1">
      <c r="B38" s="106" t="s">
        <v>359</v>
      </c>
      <c r="C38" s="106" t="str">
        <f>+VLOOKUP(B38,'MANO DE OBRA '!B23:G46,2,FALSE)</f>
        <v xml:space="preserve"> Cuadrilla de construccion 2 (1 oficial+ 2 ayudante)</v>
      </c>
      <c r="D38" s="106">
        <v>2</v>
      </c>
      <c r="E38" s="106" t="str">
        <f>+VLOOKUP(B38,'MANO DE OBRA '!B23:G46,4,FALSE)</f>
        <v>Hora</v>
      </c>
      <c r="F38" s="86">
        <f>+VLOOKUP(B38,'MANO DE OBRA '!B23:G46,3,FALSE)</f>
        <v>66187.5</v>
      </c>
      <c r="G38" s="121">
        <v>0.70399999999999996</v>
      </c>
      <c r="H38" s="94">
        <f>F38*G38*D38</f>
        <v>93192</v>
      </c>
      <c r="I38" s="294"/>
    </row>
    <row r="39" spans="2:13" ht="15" customHeight="1">
      <c r="B39" s="106"/>
      <c r="C39" s="106"/>
      <c r="D39" s="106"/>
      <c r="E39" s="106"/>
      <c r="F39" s="86"/>
      <c r="G39" s="121"/>
      <c r="H39" s="94"/>
      <c r="I39" s="294"/>
    </row>
    <row r="40" spans="2:13" ht="12">
      <c r="B40" s="108"/>
      <c r="C40" s="109"/>
      <c r="D40" s="109"/>
      <c r="E40" s="109"/>
      <c r="F40" s="110"/>
      <c r="G40" s="110"/>
      <c r="H40" s="111" t="s">
        <v>64</v>
      </c>
      <c r="I40" s="112">
        <f>SUM(H38:H39)</f>
        <v>93192</v>
      </c>
    </row>
    <row r="41" spans="2:13" ht="12">
      <c r="B41" s="295" t="s">
        <v>83</v>
      </c>
      <c r="C41" s="296"/>
      <c r="D41" s="297" t="s">
        <v>77</v>
      </c>
      <c r="E41" s="298"/>
      <c r="F41" s="298"/>
      <c r="G41" s="298"/>
      <c r="H41" s="299"/>
      <c r="I41" s="113">
        <f>SUM(I21+I35+I30+I40)</f>
        <v>537865.20700000005</v>
      </c>
    </row>
  </sheetData>
  <mergeCells count="40">
    <mergeCell ref="I37:I39"/>
    <mergeCell ref="B41:C41"/>
    <mergeCell ref="D41:H41"/>
    <mergeCell ref="C27:D27"/>
    <mergeCell ref="G28:H28"/>
    <mergeCell ref="G30:H30"/>
    <mergeCell ref="C31:D31"/>
    <mergeCell ref="C36:D36"/>
    <mergeCell ref="I32:I34"/>
    <mergeCell ref="G35:H35"/>
    <mergeCell ref="C17:D17"/>
    <mergeCell ref="I17:I20"/>
    <mergeCell ref="C18:D18"/>
    <mergeCell ref="C20:D20"/>
    <mergeCell ref="C22:D22"/>
    <mergeCell ref="C19:D19"/>
    <mergeCell ref="C23:D23"/>
    <mergeCell ref="I23:I27"/>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8001-0140-46F1-B6D5-9989102B1F89}">
  <dimension ref="B3:I35"/>
  <sheetViews>
    <sheetView topLeftCell="A6" zoomScale="91" zoomScaleNormal="91"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1830</v>
      </c>
      <c r="C13" s="355" t="s">
        <v>1831</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21000</v>
      </c>
      <c r="I18" s="24">
        <f>H18/F18</f>
        <v>21000</v>
      </c>
    </row>
    <row r="19" spans="2:9" s="201" customFormat="1" ht="12">
      <c r="B19" s="365" t="s">
        <v>2001</v>
      </c>
      <c r="C19" s="365"/>
      <c r="D19" s="365"/>
      <c r="E19" s="365"/>
      <c r="F19" s="365"/>
      <c r="G19" s="365"/>
      <c r="H19" s="365"/>
      <c r="I19" s="202">
        <f>SUM(I18:I18)</f>
        <v>21000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2201</v>
      </c>
      <c r="C22" s="368" t="s">
        <v>2202</v>
      </c>
      <c r="D22" s="368"/>
      <c r="E22" s="24" t="s">
        <v>390</v>
      </c>
      <c r="F22" s="24">
        <v>1</v>
      </c>
      <c r="G22" s="24"/>
      <c r="H22" s="24">
        <v>2310000</v>
      </c>
      <c r="I22" s="24">
        <f>F22*H22</f>
        <v>2310000</v>
      </c>
    </row>
    <row r="23" spans="2:9" s="201" customFormat="1" ht="12">
      <c r="B23" s="365" t="s">
        <v>2001</v>
      </c>
      <c r="C23" s="365"/>
      <c r="D23" s="365"/>
      <c r="E23" s="365"/>
      <c r="F23" s="365"/>
      <c r="G23" s="365"/>
      <c r="H23" s="365"/>
      <c r="I23" s="202">
        <f>SUM(I22:I22)</f>
        <v>2310000</v>
      </c>
    </row>
    <row r="24" spans="2:9" s="201" customFormat="1" ht="12">
      <c r="B24" s="365" t="s">
        <v>1062</v>
      </c>
      <c r="C24" s="365"/>
      <c r="D24" s="365"/>
      <c r="E24" s="365"/>
      <c r="F24" s="365"/>
      <c r="G24" s="365"/>
      <c r="H24" s="24">
        <v>0.05</v>
      </c>
      <c r="I24" s="24">
        <f>I23*H24</f>
        <v>115500</v>
      </c>
    </row>
    <row r="25" spans="2:9" s="201" customFormat="1" ht="12">
      <c r="B25" s="365" t="s">
        <v>73</v>
      </c>
      <c r="C25" s="365"/>
      <c r="D25" s="365"/>
      <c r="E25" s="365"/>
      <c r="F25" s="365"/>
      <c r="G25" s="365"/>
      <c r="H25" s="365"/>
      <c r="I25" s="202">
        <f>I23+I24</f>
        <v>2425500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24">
      <c r="B28" s="24" t="s">
        <v>2018</v>
      </c>
      <c r="C28" s="203" t="s">
        <v>2203</v>
      </c>
      <c r="D28" s="24" t="s">
        <v>390</v>
      </c>
      <c r="E28" s="24">
        <v>1</v>
      </c>
      <c r="F28" s="24">
        <v>1</v>
      </c>
      <c r="G28" s="24">
        <v>84000</v>
      </c>
      <c r="H28" s="24">
        <f>E28*F28*G28</f>
        <v>84000</v>
      </c>
      <c r="I28" s="24">
        <f>H28</f>
        <v>84000</v>
      </c>
    </row>
    <row r="29" spans="2:9" s="201" customFormat="1" ht="12">
      <c r="B29" s="365" t="s">
        <v>2001</v>
      </c>
      <c r="C29" s="365"/>
      <c r="D29" s="365"/>
      <c r="E29" s="365"/>
      <c r="F29" s="365"/>
      <c r="G29" s="365"/>
      <c r="H29" s="365"/>
      <c r="I29" s="202">
        <f>SUM(I28:I28)</f>
        <v>84000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2022</v>
      </c>
      <c r="C32" s="368" t="s">
        <v>2204</v>
      </c>
      <c r="D32" s="368"/>
      <c r="E32" s="24">
        <v>1</v>
      </c>
      <c r="F32" s="24" t="s">
        <v>390</v>
      </c>
      <c r="G32" s="24">
        <v>1785000</v>
      </c>
      <c r="H32" s="24">
        <f>E32*G32/I32</f>
        <v>1.0691823899371069</v>
      </c>
      <c r="I32" s="24">
        <f>4200000-I19-I25-I29-0</f>
        <v>1669500</v>
      </c>
    </row>
    <row r="33" spans="2:9" s="201" customFormat="1" ht="12">
      <c r="B33" s="365" t="s">
        <v>2001</v>
      </c>
      <c r="C33" s="365"/>
      <c r="D33" s="365"/>
      <c r="E33" s="365"/>
      <c r="F33" s="365"/>
      <c r="G33" s="365"/>
      <c r="H33" s="365"/>
      <c r="I33" s="202">
        <f>SUM(I32:I32)</f>
        <v>1669500</v>
      </c>
    </row>
    <row r="34" spans="2:9" s="201" customFormat="1" ht="12"/>
    <row r="35" spans="2:9" s="201" customFormat="1" ht="12">
      <c r="B35" s="369" t="s">
        <v>2026</v>
      </c>
      <c r="C35" s="369"/>
      <c r="D35" s="369"/>
      <c r="E35" s="369"/>
      <c r="F35" s="369"/>
      <c r="G35" s="369"/>
      <c r="H35" s="369"/>
      <c r="I35" s="202">
        <f>I19+I25+I29+I33</f>
        <v>4200000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8593-E6E8-4B62-B277-E5752D7B19F7}">
  <dimension ref="B3:I38"/>
  <sheetViews>
    <sheetView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1832</v>
      </c>
      <c r="C13" s="355" t="s">
        <v>1831</v>
      </c>
      <c r="D13" s="355"/>
      <c r="E13" s="355"/>
      <c r="F13" s="355"/>
      <c r="G13" s="286" t="s">
        <v>1000</v>
      </c>
      <c r="H13" s="286"/>
      <c r="I13" s="114">
        <v>2.2000000000000002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780</v>
      </c>
      <c r="I18" s="24">
        <f>H18/F18</f>
        <v>780</v>
      </c>
    </row>
    <row r="19" spans="2:9" s="201" customFormat="1" ht="15" customHeight="1">
      <c r="B19" s="24" t="s">
        <v>2118</v>
      </c>
      <c r="C19" s="368" t="s">
        <v>2205</v>
      </c>
      <c r="D19" s="368"/>
      <c r="E19" s="24" t="s">
        <v>213</v>
      </c>
      <c r="F19" s="24">
        <v>0.15</v>
      </c>
      <c r="G19" s="24"/>
      <c r="H19" s="24">
        <v>117</v>
      </c>
      <c r="I19" s="24">
        <f>H19/F19</f>
        <v>780</v>
      </c>
    </row>
    <row r="20" spans="2:9" s="201" customFormat="1" ht="12">
      <c r="B20" s="365" t="s">
        <v>2001</v>
      </c>
      <c r="C20" s="365"/>
      <c r="D20" s="365"/>
      <c r="E20" s="365"/>
      <c r="F20" s="365"/>
      <c r="G20" s="365"/>
      <c r="H20" s="365"/>
      <c r="I20" s="202">
        <f>SUM(I18:I19)</f>
        <v>1560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2206</v>
      </c>
      <c r="C23" s="368" t="s">
        <v>1841</v>
      </c>
      <c r="D23" s="368"/>
      <c r="E23" s="24" t="s">
        <v>159</v>
      </c>
      <c r="F23" s="24">
        <v>1</v>
      </c>
      <c r="G23" s="24"/>
      <c r="H23" s="24">
        <v>37885.71</v>
      </c>
      <c r="I23" s="24">
        <f>F23*H23</f>
        <v>37885.71</v>
      </c>
    </row>
    <row r="24" spans="2:9" s="201" customFormat="1" ht="15" customHeight="1">
      <c r="B24" s="24" t="s">
        <v>2207</v>
      </c>
      <c r="C24" s="368" t="s">
        <v>2208</v>
      </c>
      <c r="D24" s="368"/>
      <c r="E24" s="24" t="s">
        <v>390</v>
      </c>
      <c r="F24" s="24">
        <v>1</v>
      </c>
      <c r="G24" s="24"/>
      <c r="H24" s="24">
        <v>3120</v>
      </c>
      <c r="I24" s="24">
        <f>F24*H24</f>
        <v>3120</v>
      </c>
    </row>
    <row r="25" spans="2:9" s="201" customFormat="1" ht="15" customHeight="1">
      <c r="B25" s="24" t="s">
        <v>2209</v>
      </c>
      <c r="C25" s="368" t="s">
        <v>2210</v>
      </c>
      <c r="D25" s="368"/>
      <c r="E25" s="24" t="s">
        <v>390</v>
      </c>
      <c r="F25" s="24">
        <v>1</v>
      </c>
      <c r="G25" s="24"/>
      <c r="H25" s="24">
        <v>3565.71</v>
      </c>
      <c r="I25" s="24">
        <f>F25*H25</f>
        <v>3565.71</v>
      </c>
    </row>
    <row r="26" spans="2:9" s="201" customFormat="1" ht="12">
      <c r="B26" s="365" t="s">
        <v>2001</v>
      </c>
      <c r="C26" s="365"/>
      <c r="D26" s="365"/>
      <c r="E26" s="365"/>
      <c r="F26" s="365"/>
      <c r="G26" s="365"/>
      <c r="H26" s="365"/>
      <c r="I26" s="202">
        <f>SUM(I23:I25)</f>
        <v>44571.42</v>
      </c>
    </row>
    <row r="27" spans="2:9" s="201" customFormat="1" ht="12">
      <c r="B27" s="365" t="s">
        <v>1062</v>
      </c>
      <c r="C27" s="365"/>
      <c r="D27" s="365"/>
      <c r="E27" s="365"/>
      <c r="F27" s="365"/>
      <c r="G27" s="365"/>
      <c r="H27" s="24">
        <v>0.05</v>
      </c>
      <c r="I27" s="24">
        <f>I26*H27</f>
        <v>2228.5709999999999</v>
      </c>
    </row>
    <row r="28" spans="2:9" s="201" customFormat="1" ht="12">
      <c r="B28" s="365" t="s">
        <v>73</v>
      </c>
      <c r="C28" s="365"/>
      <c r="D28" s="365"/>
      <c r="E28" s="365"/>
      <c r="F28" s="365"/>
      <c r="G28" s="365"/>
      <c r="H28" s="365"/>
      <c r="I28" s="202">
        <f>I26+I27</f>
        <v>46799.990999999995</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c r="B31" s="24" t="s">
        <v>2018</v>
      </c>
      <c r="C31" s="203" t="s">
        <v>2211</v>
      </c>
      <c r="D31" s="24" t="s">
        <v>390</v>
      </c>
      <c r="E31" s="24">
        <v>1</v>
      </c>
      <c r="F31" s="24">
        <v>1</v>
      </c>
      <c r="G31" s="24">
        <v>2340</v>
      </c>
      <c r="H31" s="24">
        <f>E31*F31*G31</f>
        <v>2340</v>
      </c>
      <c r="I31" s="24">
        <f>H31</f>
        <v>2340</v>
      </c>
    </row>
    <row r="32" spans="2:9" s="201" customFormat="1" ht="12">
      <c r="B32" s="365" t="s">
        <v>2001</v>
      </c>
      <c r="C32" s="365"/>
      <c r="D32" s="365"/>
      <c r="E32" s="365"/>
      <c r="F32" s="365"/>
      <c r="G32" s="365"/>
      <c r="H32" s="365"/>
      <c r="I32" s="202">
        <f>SUM(I31:I31)</f>
        <v>2340</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28.35" customHeight="1">
      <c r="B35" s="24" t="s">
        <v>2022</v>
      </c>
      <c r="C35" s="368" t="s">
        <v>2212</v>
      </c>
      <c r="D35" s="368"/>
      <c r="E35" s="24">
        <v>0.6</v>
      </c>
      <c r="F35" s="24" t="s">
        <v>213</v>
      </c>
      <c r="G35" s="24">
        <v>27500</v>
      </c>
      <c r="H35" s="24">
        <f>E35*G35/I35</f>
        <v>0.60439540514437184</v>
      </c>
      <c r="I35" s="24">
        <f>78000-I20-I28-I32-0</f>
        <v>27300.009000000005</v>
      </c>
    </row>
    <row r="36" spans="2:9" s="201" customFormat="1" ht="12">
      <c r="B36" s="365" t="s">
        <v>2001</v>
      </c>
      <c r="C36" s="365"/>
      <c r="D36" s="365"/>
      <c r="E36" s="365"/>
      <c r="F36" s="365"/>
      <c r="G36" s="365"/>
      <c r="H36" s="365"/>
      <c r="I36" s="202">
        <f>SUM(I35:I35)</f>
        <v>27300.009000000005</v>
      </c>
    </row>
    <row r="37" spans="2:9" s="201" customFormat="1"/>
    <row r="38" spans="2:9" s="201" customFormat="1" ht="12">
      <c r="B38" s="369" t="s">
        <v>2026</v>
      </c>
      <c r="C38" s="369"/>
      <c r="D38" s="369"/>
      <c r="E38" s="369"/>
      <c r="F38" s="369"/>
      <c r="G38" s="369"/>
      <c r="H38" s="369"/>
      <c r="I38" s="202">
        <f>I20+I28+I32+I36</f>
        <v>78000</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C19:D19"/>
    <mergeCell ref="B20:H20"/>
    <mergeCell ref="B21:I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6416-09A7-4976-8A15-BBA210C0E647}">
  <dimension ref="B3:I37"/>
  <sheetViews>
    <sheetView zoomScale="70" zoomScaleNormal="70" workbookViewId="0">
      <selection activeCell="K17" sqref="K1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1833</v>
      </c>
      <c r="C13" s="355" t="s">
        <v>2213</v>
      </c>
      <c r="D13" s="355"/>
      <c r="E13" s="355"/>
      <c r="F13" s="355"/>
      <c r="G13" s="286" t="s">
        <v>780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198</v>
      </c>
      <c r="I18" s="24">
        <f>H18/F18</f>
        <v>198</v>
      </c>
    </row>
    <row r="19" spans="2:9" s="201" customFormat="1" ht="15" customHeight="1">
      <c r="B19" s="24" t="s">
        <v>2118</v>
      </c>
      <c r="C19" s="368" t="s">
        <v>2214</v>
      </c>
      <c r="D19" s="368"/>
      <c r="E19" s="24" t="s">
        <v>390</v>
      </c>
      <c r="F19" s="24">
        <v>1</v>
      </c>
      <c r="G19" s="24"/>
      <c r="H19" s="24">
        <v>198</v>
      </c>
      <c r="I19" s="24">
        <f>H19/F19</f>
        <v>198</v>
      </c>
    </row>
    <row r="20" spans="2:9" s="201" customFormat="1" ht="12">
      <c r="B20" s="365" t="s">
        <v>2001</v>
      </c>
      <c r="C20" s="365"/>
      <c r="D20" s="365"/>
      <c r="E20" s="365"/>
      <c r="F20" s="365"/>
      <c r="G20" s="365"/>
      <c r="H20" s="365"/>
      <c r="I20" s="202">
        <f>SUM(I18:I19)</f>
        <v>396</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2215</v>
      </c>
      <c r="C23" s="368" t="s">
        <v>2216</v>
      </c>
      <c r="D23" s="368"/>
      <c r="E23" s="24" t="s">
        <v>780</v>
      </c>
      <c r="F23" s="24">
        <v>1</v>
      </c>
      <c r="G23" s="24"/>
      <c r="H23" s="24">
        <v>12822.86</v>
      </c>
      <c r="I23" s="24">
        <f>F23*H23</f>
        <v>12822.86</v>
      </c>
    </row>
    <row r="24" spans="2:9" s="201" customFormat="1" ht="12">
      <c r="B24" s="365" t="s">
        <v>2001</v>
      </c>
      <c r="C24" s="365"/>
      <c r="D24" s="365"/>
      <c r="E24" s="365"/>
      <c r="F24" s="365"/>
      <c r="G24" s="365"/>
      <c r="H24" s="365"/>
      <c r="I24" s="202">
        <f>SUM(I23:I23)</f>
        <v>12822.86</v>
      </c>
    </row>
    <row r="25" spans="2:9" s="201" customFormat="1" ht="12">
      <c r="B25" s="365" t="s">
        <v>1062</v>
      </c>
      <c r="C25" s="365"/>
      <c r="D25" s="365"/>
      <c r="E25" s="365"/>
      <c r="F25" s="365"/>
      <c r="G25" s="365"/>
      <c r="H25" s="24">
        <v>0.05</v>
      </c>
      <c r="I25" s="24">
        <f>I24*H25</f>
        <v>641.14300000000003</v>
      </c>
    </row>
    <row r="26" spans="2:9" s="201" customFormat="1" ht="12">
      <c r="B26" s="365" t="s">
        <v>73</v>
      </c>
      <c r="C26" s="365"/>
      <c r="D26" s="365"/>
      <c r="E26" s="365"/>
      <c r="F26" s="365"/>
      <c r="G26" s="365"/>
      <c r="H26" s="365"/>
      <c r="I26" s="202">
        <f>I24+I25</f>
        <v>13464.003000000001</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24">
      <c r="B29" s="24" t="s">
        <v>2018</v>
      </c>
      <c r="C29" s="203" t="s">
        <v>2217</v>
      </c>
      <c r="D29" s="24" t="s">
        <v>390</v>
      </c>
      <c r="E29" s="24">
        <v>1</v>
      </c>
      <c r="F29" s="24">
        <v>1</v>
      </c>
      <c r="G29" s="24">
        <v>396</v>
      </c>
      <c r="H29" s="24">
        <f>E29*F29*G29</f>
        <v>396</v>
      </c>
      <c r="I29" s="24">
        <f>H29</f>
        <v>396</v>
      </c>
    </row>
    <row r="30" spans="2:9" s="201" customFormat="1" ht="12">
      <c r="B30" s="365" t="s">
        <v>2001</v>
      </c>
      <c r="C30" s="365"/>
      <c r="D30" s="365"/>
      <c r="E30" s="365"/>
      <c r="F30" s="365"/>
      <c r="G30" s="365"/>
      <c r="H30" s="365"/>
      <c r="I30" s="202">
        <f>SUM(I29:I29)</f>
        <v>396</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2218</v>
      </c>
      <c r="D33" s="368"/>
      <c r="E33" s="24">
        <v>0.5</v>
      </c>
      <c r="F33" s="24" t="s">
        <v>213</v>
      </c>
      <c r="G33" s="24">
        <v>27500</v>
      </c>
      <c r="H33" s="24">
        <f>E33*G33/I33</f>
        <v>2.4801600722366914</v>
      </c>
      <c r="I33" s="24">
        <f>19800-I20-I26-I30-0</f>
        <v>5543.9969999999994</v>
      </c>
    </row>
    <row r="34" spans="2:9" s="201" customFormat="1" ht="12">
      <c r="B34" s="365" t="s">
        <v>2001</v>
      </c>
      <c r="C34" s="365"/>
      <c r="D34" s="365"/>
      <c r="E34" s="365"/>
      <c r="F34" s="365"/>
      <c r="G34" s="365"/>
      <c r="H34" s="365"/>
      <c r="I34" s="202">
        <f>SUM(I33:I33)</f>
        <v>5543.9969999999994</v>
      </c>
    </row>
    <row r="35" spans="2:9" s="201" customFormat="1" ht="12"/>
    <row r="36" spans="2:9" s="201" customFormat="1" ht="12">
      <c r="B36" s="369" t="s">
        <v>2026</v>
      </c>
      <c r="C36" s="369"/>
      <c r="D36" s="369"/>
      <c r="E36" s="369"/>
      <c r="F36" s="369"/>
      <c r="G36" s="369"/>
      <c r="H36" s="369"/>
      <c r="I36" s="202">
        <f>I20+I26+I30+I34</f>
        <v>19800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EC59-5438-494E-AD27-01D1341EC3F5}">
  <dimension ref="B3:I38"/>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1834</v>
      </c>
      <c r="C13" s="355" t="s">
        <v>1842</v>
      </c>
      <c r="D13" s="355"/>
      <c r="E13" s="355"/>
      <c r="F13" s="355"/>
      <c r="G13" s="286" t="s">
        <v>1000</v>
      </c>
      <c r="H13" s="286"/>
      <c r="I13" s="114">
        <v>18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1055</v>
      </c>
      <c r="I18" s="24">
        <f>H18/F18</f>
        <v>1055</v>
      </c>
    </row>
    <row r="19" spans="2:9" s="201" customFormat="1" ht="15" customHeight="1">
      <c r="B19" s="24" t="s">
        <v>2118</v>
      </c>
      <c r="C19" s="368" t="s">
        <v>2205</v>
      </c>
      <c r="D19" s="368"/>
      <c r="E19" s="24" t="s">
        <v>213</v>
      </c>
      <c r="F19" s="24">
        <v>0.15</v>
      </c>
      <c r="G19" s="24"/>
      <c r="H19" s="24">
        <v>158</v>
      </c>
      <c r="I19" s="24">
        <f>H19/F19</f>
        <v>1053.3333333333335</v>
      </c>
    </row>
    <row r="20" spans="2:9" s="201" customFormat="1" ht="12">
      <c r="B20" s="365" t="s">
        <v>2001</v>
      </c>
      <c r="C20" s="365"/>
      <c r="D20" s="365"/>
      <c r="E20" s="365"/>
      <c r="F20" s="365"/>
      <c r="G20" s="365"/>
      <c r="H20" s="365"/>
      <c r="I20" s="202">
        <f>SUM(I18:I19)</f>
        <v>2108.3333333333335</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2206</v>
      </c>
      <c r="C23" s="368" t="s">
        <v>1842</v>
      </c>
      <c r="D23" s="368"/>
      <c r="E23" s="24" t="s">
        <v>159</v>
      </c>
      <c r="F23" s="24">
        <v>1</v>
      </c>
      <c r="G23" s="24"/>
      <c r="H23" s="24">
        <v>51221.49</v>
      </c>
      <c r="I23" s="24">
        <f>F23*H23</f>
        <v>51221.49</v>
      </c>
    </row>
    <row r="24" spans="2:9" s="201" customFormat="1" ht="15" customHeight="1">
      <c r="B24" s="24" t="s">
        <v>2207</v>
      </c>
      <c r="C24" s="368" t="s">
        <v>2208</v>
      </c>
      <c r="D24" s="368"/>
      <c r="E24" s="24" t="s">
        <v>390</v>
      </c>
      <c r="F24" s="24">
        <v>1</v>
      </c>
      <c r="G24" s="24"/>
      <c r="H24" s="24">
        <v>4218.24</v>
      </c>
      <c r="I24" s="24">
        <f>F24*H24</f>
        <v>4218.24</v>
      </c>
    </row>
    <row r="25" spans="2:9" s="201" customFormat="1" ht="15" customHeight="1">
      <c r="B25" s="24" t="s">
        <v>2209</v>
      </c>
      <c r="C25" s="368" t="s">
        <v>2210</v>
      </c>
      <c r="D25" s="368"/>
      <c r="E25" s="24" t="s">
        <v>390</v>
      </c>
      <c r="F25" s="24">
        <v>1</v>
      </c>
      <c r="G25" s="24"/>
      <c r="H25" s="24">
        <v>4820.8500000000004</v>
      </c>
      <c r="I25" s="24">
        <f>F25*H25</f>
        <v>4820.8500000000004</v>
      </c>
    </row>
    <row r="26" spans="2:9" s="201" customFormat="1" ht="12">
      <c r="B26" s="365" t="s">
        <v>2001</v>
      </c>
      <c r="C26" s="365"/>
      <c r="D26" s="365"/>
      <c r="E26" s="365"/>
      <c r="F26" s="365"/>
      <c r="G26" s="365"/>
      <c r="H26" s="365"/>
      <c r="I26" s="202">
        <f>SUM(I23:I25)</f>
        <v>60260.579999999994</v>
      </c>
    </row>
    <row r="27" spans="2:9" s="201" customFormat="1" ht="12">
      <c r="B27" s="365" t="s">
        <v>1062</v>
      </c>
      <c r="C27" s="365"/>
      <c r="D27" s="365"/>
      <c r="E27" s="365"/>
      <c r="F27" s="365"/>
      <c r="G27" s="365"/>
      <c r="H27" s="24">
        <v>0.05</v>
      </c>
      <c r="I27" s="24">
        <f>I26*H27</f>
        <v>3013.029</v>
      </c>
    </row>
    <row r="28" spans="2:9" s="201" customFormat="1" ht="12">
      <c r="B28" s="365" t="s">
        <v>73</v>
      </c>
      <c r="C28" s="365"/>
      <c r="D28" s="365"/>
      <c r="E28" s="365"/>
      <c r="F28" s="365"/>
      <c r="G28" s="365"/>
      <c r="H28" s="365"/>
      <c r="I28" s="202">
        <f>I26+I27</f>
        <v>63273.608999999997</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c r="B31" s="24" t="s">
        <v>2018</v>
      </c>
      <c r="C31" s="203" t="s">
        <v>2211</v>
      </c>
      <c r="D31" s="24" t="s">
        <v>390</v>
      </c>
      <c r="E31" s="24">
        <v>1</v>
      </c>
      <c r="F31" s="24">
        <v>1</v>
      </c>
      <c r="G31" s="24">
        <v>3163.68</v>
      </c>
      <c r="H31" s="24">
        <f>E31*F31*G31</f>
        <v>3163.68</v>
      </c>
      <c r="I31" s="24">
        <f>H31</f>
        <v>3163.68</v>
      </c>
    </row>
    <row r="32" spans="2:9" s="201" customFormat="1" ht="12">
      <c r="B32" s="365" t="s">
        <v>2001</v>
      </c>
      <c r="C32" s="365"/>
      <c r="D32" s="365"/>
      <c r="E32" s="365"/>
      <c r="F32" s="365"/>
      <c r="G32" s="365"/>
      <c r="H32" s="365"/>
      <c r="I32" s="202">
        <f>SUM(I31:I31)</f>
        <v>3163.68</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28.35" customHeight="1">
      <c r="B35" s="24" t="s">
        <v>2022</v>
      </c>
      <c r="C35" s="368" t="s">
        <v>2212</v>
      </c>
      <c r="D35" s="368"/>
      <c r="E35" s="24">
        <v>0.6</v>
      </c>
      <c r="F35" s="24" t="s">
        <v>213</v>
      </c>
      <c r="G35" s="24">
        <v>27500</v>
      </c>
      <c r="H35" s="24">
        <f>E35*G35/I35</f>
        <v>0.44702875026122951</v>
      </c>
      <c r="I35" s="24">
        <f>105456-I20-I28-I32-0</f>
        <v>36910.377666666674</v>
      </c>
    </row>
    <row r="36" spans="2:9" s="201" customFormat="1" ht="12">
      <c r="B36" s="365" t="s">
        <v>2001</v>
      </c>
      <c r="C36" s="365"/>
      <c r="D36" s="365"/>
      <c r="E36" s="365"/>
      <c r="F36" s="365"/>
      <c r="G36" s="365"/>
      <c r="H36" s="365"/>
      <c r="I36" s="202">
        <f>SUM(I35:I35)</f>
        <v>36910.377666666674</v>
      </c>
    </row>
    <row r="37" spans="2:9" s="201" customFormat="1" ht="12"/>
    <row r="38" spans="2:9" s="201" customFormat="1" ht="12">
      <c r="B38" s="369" t="s">
        <v>2026</v>
      </c>
      <c r="C38" s="369"/>
      <c r="D38" s="369"/>
      <c r="E38" s="369"/>
      <c r="F38" s="369"/>
      <c r="G38" s="369"/>
      <c r="H38" s="369"/>
      <c r="I38" s="202">
        <f>I20+I28+I32+I36</f>
        <v>105456</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C19:D19"/>
    <mergeCell ref="B20:H20"/>
    <mergeCell ref="B21:I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FAD22-2B2F-4E5D-AB95-73AB9F7B6500}">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1835</v>
      </c>
      <c r="C13" s="355" t="s">
        <v>2219</v>
      </c>
      <c r="D13" s="355"/>
      <c r="E13" s="355"/>
      <c r="F13" s="355"/>
      <c r="G13" s="286" t="s">
        <v>780</v>
      </c>
      <c r="H13" s="286"/>
      <c r="I13" s="114">
        <v>12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176</v>
      </c>
      <c r="I18" s="24">
        <f>H18/F18</f>
        <v>176</v>
      </c>
    </row>
    <row r="19" spans="2:9" s="201" customFormat="1" ht="15" customHeight="1">
      <c r="B19" s="24" t="s">
        <v>2118</v>
      </c>
      <c r="C19" s="368" t="s">
        <v>2214</v>
      </c>
      <c r="D19" s="368"/>
      <c r="E19" s="24" t="s">
        <v>390</v>
      </c>
      <c r="F19" s="24">
        <v>1</v>
      </c>
      <c r="G19" s="24"/>
      <c r="H19" s="24">
        <v>176</v>
      </c>
      <c r="I19" s="24">
        <f>H19/F19</f>
        <v>176</v>
      </c>
    </row>
    <row r="20" spans="2:9" s="201" customFormat="1" ht="12">
      <c r="B20" s="365" t="s">
        <v>2001</v>
      </c>
      <c r="C20" s="365"/>
      <c r="D20" s="365"/>
      <c r="E20" s="365"/>
      <c r="F20" s="365"/>
      <c r="G20" s="365"/>
      <c r="H20" s="365"/>
      <c r="I20" s="202">
        <f>SUM(I18:I19)</f>
        <v>352</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2215</v>
      </c>
      <c r="C23" s="368" t="s">
        <v>2220</v>
      </c>
      <c r="D23" s="368"/>
      <c r="E23" s="24" t="s">
        <v>780</v>
      </c>
      <c r="F23" s="24">
        <v>1</v>
      </c>
      <c r="G23" s="24"/>
      <c r="H23" s="24">
        <v>11424</v>
      </c>
      <c r="I23" s="24">
        <f>F23*H23</f>
        <v>11424</v>
      </c>
    </row>
    <row r="24" spans="2:9" s="201" customFormat="1" ht="12">
      <c r="B24" s="365" t="s">
        <v>2001</v>
      </c>
      <c r="C24" s="365"/>
      <c r="D24" s="365"/>
      <c r="E24" s="365"/>
      <c r="F24" s="365"/>
      <c r="G24" s="365"/>
      <c r="H24" s="365"/>
      <c r="I24" s="202">
        <f>SUM(I23:I23)</f>
        <v>11424</v>
      </c>
    </row>
    <row r="25" spans="2:9" s="201" customFormat="1" ht="12">
      <c r="B25" s="365" t="s">
        <v>1062</v>
      </c>
      <c r="C25" s="365"/>
      <c r="D25" s="365"/>
      <c r="E25" s="365"/>
      <c r="F25" s="365"/>
      <c r="G25" s="365"/>
      <c r="H25" s="24">
        <v>0.05</v>
      </c>
      <c r="I25" s="24">
        <f>I24*H25</f>
        <v>571.20000000000005</v>
      </c>
    </row>
    <row r="26" spans="2:9" s="201" customFormat="1" ht="12">
      <c r="B26" s="365" t="s">
        <v>73</v>
      </c>
      <c r="C26" s="365"/>
      <c r="D26" s="365"/>
      <c r="E26" s="365"/>
      <c r="F26" s="365"/>
      <c r="G26" s="365"/>
      <c r="H26" s="365"/>
      <c r="I26" s="202">
        <f>I24+I25</f>
        <v>11995.2</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24">
      <c r="B29" s="24" t="s">
        <v>2018</v>
      </c>
      <c r="C29" s="203" t="s">
        <v>2217</v>
      </c>
      <c r="D29" s="24" t="s">
        <v>390</v>
      </c>
      <c r="E29" s="24">
        <v>1</v>
      </c>
      <c r="F29" s="24">
        <v>1</v>
      </c>
      <c r="G29" s="24">
        <v>352.8</v>
      </c>
      <c r="H29" s="24">
        <f>E29*F29*G29</f>
        <v>352.8</v>
      </c>
      <c r="I29" s="24">
        <f>H29</f>
        <v>352.8</v>
      </c>
    </row>
    <row r="30" spans="2:9" s="201" customFormat="1" ht="12">
      <c r="B30" s="365" t="s">
        <v>2001</v>
      </c>
      <c r="C30" s="365"/>
      <c r="D30" s="365"/>
      <c r="E30" s="365"/>
      <c r="F30" s="365"/>
      <c r="G30" s="365"/>
      <c r="H30" s="365"/>
      <c r="I30" s="202">
        <f>SUM(I29:I29)</f>
        <v>352.8</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2218</v>
      </c>
      <c r="D33" s="368"/>
      <c r="E33" s="24">
        <v>0.5</v>
      </c>
      <c r="F33" s="24" t="s">
        <v>213</v>
      </c>
      <c r="G33" s="24">
        <v>27500</v>
      </c>
      <c r="H33" s="24">
        <f>E33*G33/I33</f>
        <v>2.7834008097165999</v>
      </c>
      <c r="I33" s="24">
        <f>17640-I20-I26-I30-0</f>
        <v>4939.9999999999991</v>
      </c>
    </row>
    <row r="34" spans="2:9" s="201" customFormat="1" ht="12">
      <c r="B34" s="365" t="s">
        <v>2001</v>
      </c>
      <c r="C34" s="365"/>
      <c r="D34" s="365"/>
      <c r="E34" s="365"/>
      <c r="F34" s="365"/>
      <c r="G34" s="365"/>
      <c r="H34" s="365"/>
      <c r="I34" s="202">
        <f>SUM(I33:I33)</f>
        <v>4939.9999999999991</v>
      </c>
    </row>
    <row r="35" spans="2:9" s="201" customFormat="1" ht="12"/>
    <row r="36" spans="2:9" s="201" customFormat="1" ht="12">
      <c r="B36" s="369" t="s">
        <v>2026</v>
      </c>
      <c r="C36" s="369"/>
      <c r="D36" s="369"/>
      <c r="E36" s="369"/>
      <c r="F36" s="369"/>
      <c r="G36" s="369"/>
      <c r="H36" s="369"/>
      <c r="I36" s="202">
        <f>I20+I26+I30+I34</f>
        <v>17640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0894-2797-4BB8-9D2A-C37D29CB34D5}">
  <dimension ref="B3:I38"/>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1836</v>
      </c>
      <c r="C13" s="355" t="s">
        <v>1873</v>
      </c>
      <c r="D13" s="355"/>
      <c r="E13" s="355"/>
      <c r="F13" s="355"/>
      <c r="G13" s="286" t="s">
        <v>1000</v>
      </c>
      <c r="H13" s="286"/>
      <c r="I13" s="114">
        <v>10</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588</v>
      </c>
      <c r="I18" s="24">
        <f>H18/F18</f>
        <v>588</v>
      </c>
    </row>
    <row r="19" spans="2:9" s="201" customFormat="1" ht="15" customHeight="1">
      <c r="B19" s="24" t="s">
        <v>2118</v>
      </c>
      <c r="C19" s="368" t="s">
        <v>2205</v>
      </c>
      <c r="D19" s="368"/>
      <c r="E19" s="24" t="s">
        <v>213</v>
      </c>
      <c r="F19" s="24">
        <v>0.15</v>
      </c>
      <c r="G19" s="24"/>
      <c r="H19" s="24">
        <v>88</v>
      </c>
      <c r="I19" s="24">
        <f>H19/F19</f>
        <v>586.66666666666674</v>
      </c>
    </row>
    <row r="20" spans="2:9" s="201" customFormat="1" ht="12">
      <c r="B20" s="365" t="s">
        <v>2001</v>
      </c>
      <c r="C20" s="365"/>
      <c r="D20" s="365"/>
      <c r="E20" s="365"/>
      <c r="F20" s="365"/>
      <c r="G20" s="365"/>
      <c r="H20" s="365"/>
      <c r="I20" s="202">
        <f>SUM(I18:I19)</f>
        <v>1174.6666666666667</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2206</v>
      </c>
      <c r="C23" s="368" t="s">
        <v>1873</v>
      </c>
      <c r="D23" s="368"/>
      <c r="E23" s="24" t="s">
        <v>159</v>
      </c>
      <c r="F23" s="24">
        <v>1</v>
      </c>
      <c r="G23" s="24"/>
      <c r="H23" s="24">
        <v>28560</v>
      </c>
      <c r="I23" s="24">
        <f>F23*H23</f>
        <v>28560</v>
      </c>
    </row>
    <row r="24" spans="2:9" s="201" customFormat="1" ht="15" customHeight="1">
      <c r="B24" s="24" t="s">
        <v>2207</v>
      </c>
      <c r="C24" s="368" t="s">
        <v>2208</v>
      </c>
      <c r="D24" s="368"/>
      <c r="E24" s="24" t="s">
        <v>390</v>
      </c>
      <c r="F24" s="24">
        <v>1</v>
      </c>
      <c r="G24" s="24"/>
      <c r="H24" s="24">
        <v>2352</v>
      </c>
      <c r="I24" s="24">
        <f>F24*H24</f>
        <v>2352</v>
      </c>
    </row>
    <row r="25" spans="2:9" s="201" customFormat="1" ht="15" customHeight="1">
      <c r="B25" s="24" t="s">
        <v>2209</v>
      </c>
      <c r="C25" s="368" t="s">
        <v>2210</v>
      </c>
      <c r="D25" s="368"/>
      <c r="E25" s="24" t="s">
        <v>390</v>
      </c>
      <c r="F25" s="24">
        <v>1</v>
      </c>
      <c r="G25" s="24"/>
      <c r="H25" s="24">
        <v>2688</v>
      </c>
      <c r="I25" s="24">
        <f>F25*H25</f>
        <v>2688</v>
      </c>
    </row>
    <row r="26" spans="2:9" s="201" customFormat="1" ht="12">
      <c r="B26" s="365" t="s">
        <v>2001</v>
      </c>
      <c r="C26" s="365"/>
      <c r="D26" s="365"/>
      <c r="E26" s="365"/>
      <c r="F26" s="365"/>
      <c r="G26" s="365"/>
      <c r="H26" s="365"/>
      <c r="I26" s="202">
        <f>SUM(I23:I25)</f>
        <v>33600</v>
      </c>
    </row>
    <row r="27" spans="2:9" s="201" customFormat="1" ht="12">
      <c r="B27" s="365" t="s">
        <v>1062</v>
      </c>
      <c r="C27" s="365"/>
      <c r="D27" s="365"/>
      <c r="E27" s="365"/>
      <c r="F27" s="365"/>
      <c r="G27" s="365"/>
      <c r="H27" s="24">
        <v>0.05</v>
      </c>
      <c r="I27" s="24">
        <f>I26*H27</f>
        <v>1680</v>
      </c>
    </row>
    <row r="28" spans="2:9" s="201" customFormat="1" ht="12">
      <c r="B28" s="365" t="s">
        <v>73</v>
      </c>
      <c r="C28" s="365"/>
      <c r="D28" s="365"/>
      <c r="E28" s="365"/>
      <c r="F28" s="365"/>
      <c r="G28" s="365"/>
      <c r="H28" s="365"/>
      <c r="I28" s="202">
        <f>I26+I27</f>
        <v>35280</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c r="B31" s="24" t="s">
        <v>2018</v>
      </c>
      <c r="C31" s="203" t="s">
        <v>2211</v>
      </c>
      <c r="D31" s="24" t="s">
        <v>390</v>
      </c>
      <c r="E31" s="24">
        <v>1</v>
      </c>
      <c r="F31" s="24">
        <v>1</v>
      </c>
      <c r="G31" s="24">
        <v>1764</v>
      </c>
      <c r="H31" s="24">
        <f>E31*F31*G31</f>
        <v>1764</v>
      </c>
      <c r="I31" s="24">
        <f>H31</f>
        <v>1764</v>
      </c>
    </row>
    <row r="32" spans="2:9" s="201" customFormat="1" ht="12">
      <c r="B32" s="365" t="s">
        <v>2001</v>
      </c>
      <c r="C32" s="365"/>
      <c r="D32" s="365"/>
      <c r="E32" s="365"/>
      <c r="F32" s="365"/>
      <c r="G32" s="365"/>
      <c r="H32" s="365"/>
      <c r="I32" s="202">
        <f>SUM(I31:I31)</f>
        <v>1764</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28.35" customHeight="1">
      <c r="B35" s="24" t="s">
        <v>2022</v>
      </c>
      <c r="C35" s="368" t="s">
        <v>2212</v>
      </c>
      <c r="D35" s="368"/>
      <c r="E35" s="24">
        <v>0.6</v>
      </c>
      <c r="F35" s="24" t="s">
        <v>213</v>
      </c>
      <c r="G35" s="24">
        <v>27500</v>
      </c>
      <c r="H35" s="24">
        <f>E35*G35/I35</f>
        <v>0.80169733091474471</v>
      </c>
      <c r="I35" s="24">
        <f>58800-I20-I28-I32-0</f>
        <v>20581.333333333336</v>
      </c>
    </row>
    <row r="36" spans="2:9" s="201" customFormat="1" ht="12">
      <c r="B36" s="365" t="s">
        <v>2001</v>
      </c>
      <c r="C36" s="365"/>
      <c r="D36" s="365"/>
      <c r="E36" s="365"/>
      <c r="F36" s="365"/>
      <c r="G36" s="365"/>
      <c r="H36" s="365"/>
      <c r="I36" s="202">
        <f>SUM(I35:I35)</f>
        <v>20581.333333333336</v>
      </c>
    </row>
    <row r="37" spans="2:9" s="201" customFormat="1" ht="12"/>
    <row r="38" spans="2:9" s="201" customFormat="1" ht="12">
      <c r="B38" s="369" t="s">
        <v>2026</v>
      </c>
      <c r="C38" s="369"/>
      <c r="D38" s="369"/>
      <c r="E38" s="369"/>
      <c r="F38" s="369"/>
      <c r="G38" s="369"/>
      <c r="H38" s="369"/>
      <c r="I38" s="202">
        <f>I20+I28+I32+I36</f>
        <v>58800</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C19:D19"/>
    <mergeCell ref="B20:H20"/>
    <mergeCell ref="B21:I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0820E-B99A-4B08-9A1A-8963132062F2}">
  <dimension ref="B3:I37"/>
  <sheetViews>
    <sheetView zoomScale="70" zoomScaleNormal="70" workbookViewId="0">
      <selection activeCell="J14" sqref="J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1837</v>
      </c>
      <c r="C13" s="355" t="s">
        <v>1874</v>
      </c>
      <c r="D13" s="355"/>
      <c r="E13" s="355"/>
      <c r="F13" s="355"/>
      <c r="G13" s="286" t="s">
        <v>780</v>
      </c>
      <c r="H13" s="286"/>
      <c r="I13" s="114">
        <v>12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102</v>
      </c>
      <c r="I18" s="24">
        <f>H18/F18</f>
        <v>102</v>
      </c>
    </row>
    <row r="19" spans="2:9" s="201" customFormat="1" ht="15" customHeight="1">
      <c r="B19" s="24" t="s">
        <v>2118</v>
      </c>
      <c r="C19" s="368" t="s">
        <v>2214</v>
      </c>
      <c r="D19" s="368"/>
      <c r="E19" s="24" t="s">
        <v>390</v>
      </c>
      <c r="F19" s="24">
        <v>1</v>
      </c>
      <c r="G19" s="24"/>
      <c r="H19" s="24">
        <v>102</v>
      </c>
      <c r="I19" s="24">
        <f>H19/F19</f>
        <v>102</v>
      </c>
    </row>
    <row r="20" spans="2:9" s="201" customFormat="1" ht="12">
      <c r="B20" s="365" t="s">
        <v>2001</v>
      </c>
      <c r="C20" s="365"/>
      <c r="D20" s="365"/>
      <c r="E20" s="365"/>
      <c r="F20" s="365"/>
      <c r="G20" s="365"/>
      <c r="H20" s="365"/>
      <c r="I20" s="202">
        <f>SUM(I18:I19)</f>
        <v>204</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2215</v>
      </c>
      <c r="C23" s="368" t="s">
        <v>2221</v>
      </c>
      <c r="D23" s="368"/>
      <c r="E23" s="24" t="s">
        <v>780</v>
      </c>
      <c r="F23" s="24">
        <v>1</v>
      </c>
      <c r="G23" s="24"/>
      <c r="H23" s="24">
        <v>6605.71</v>
      </c>
      <c r="I23" s="24">
        <f>F23*H23</f>
        <v>6605.71</v>
      </c>
    </row>
    <row r="24" spans="2:9" s="201" customFormat="1" ht="12">
      <c r="B24" s="365" t="s">
        <v>2001</v>
      </c>
      <c r="C24" s="365"/>
      <c r="D24" s="365"/>
      <c r="E24" s="365"/>
      <c r="F24" s="365"/>
      <c r="G24" s="365"/>
      <c r="H24" s="365"/>
      <c r="I24" s="202">
        <f>SUM(I23:I23)</f>
        <v>6605.71</v>
      </c>
    </row>
    <row r="25" spans="2:9" s="201" customFormat="1" ht="12">
      <c r="B25" s="365" t="s">
        <v>1062</v>
      </c>
      <c r="C25" s="365"/>
      <c r="D25" s="365"/>
      <c r="E25" s="365"/>
      <c r="F25" s="365"/>
      <c r="G25" s="365"/>
      <c r="H25" s="24">
        <v>0.05</v>
      </c>
      <c r="I25" s="24">
        <f>I24*H25</f>
        <v>330.28550000000001</v>
      </c>
    </row>
    <row r="26" spans="2:9" s="201" customFormat="1" ht="12">
      <c r="B26" s="365" t="s">
        <v>73</v>
      </c>
      <c r="C26" s="365"/>
      <c r="D26" s="365"/>
      <c r="E26" s="365"/>
      <c r="F26" s="365"/>
      <c r="G26" s="365"/>
      <c r="H26" s="365"/>
      <c r="I26" s="202">
        <f>I24+I25</f>
        <v>6935.9955</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24">
      <c r="B29" s="24" t="s">
        <v>2018</v>
      </c>
      <c r="C29" s="203" t="s">
        <v>2217</v>
      </c>
      <c r="D29" s="24" t="s">
        <v>390</v>
      </c>
      <c r="E29" s="24">
        <v>1</v>
      </c>
      <c r="F29" s="24">
        <v>1</v>
      </c>
      <c r="G29" s="24">
        <v>204</v>
      </c>
      <c r="H29" s="24">
        <f>E29*F29*G29</f>
        <v>204</v>
      </c>
      <c r="I29" s="24">
        <f>H29</f>
        <v>204</v>
      </c>
    </row>
    <row r="30" spans="2:9" s="201" customFormat="1" ht="12">
      <c r="B30" s="365" t="s">
        <v>2001</v>
      </c>
      <c r="C30" s="365"/>
      <c r="D30" s="365"/>
      <c r="E30" s="365"/>
      <c r="F30" s="365"/>
      <c r="G30" s="365"/>
      <c r="H30" s="365"/>
      <c r="I30" s="202">
        <f>SUM(I29:I29)</f>
        <v>204</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2218</v>
      </c>
      <c r="D33" s="368"/>
      <c r="E33" s="24">
        <v>0.5</v>
      </c>
      <c r="F33" s="24" t="s">
        <v>213</v>
      </c>
      <c r="G33" s="24">
        <v>27500</v>
      </c>
      <c r="H33" s="24">
        <f>E33*G33/I33</f>
        <v>4.8144181845651852</v>
      </c>
      <c r="I33" s="24">
        <f>10200-I20-I26-I30-0</f>
        <v>2856.0045</v>
      </c>
    </row>
    <row r="34" spans="2:9" s="201" customFormat="1" ht="12">
      <c r="B34" s="365" t="s">
        <v>2001</v>
      </c>
      <c r="C34" s="365"/>
      <c r="D34" s="365"/>
      <c r="E34" s="365"/>
      <c r="F34" s="365"/>
      <c r="G34" s="365"/>
      <c r="H34" s="365"/>
      <c r="I34" s="202">
        <f>SUM(I33:I33)</f>
        <v>2856.0045</v>
      </c>
    </row>
    <row r="35" spans="2:9" s="201" customFormat="1" ht="12"/>
    <row r="36" spans="2:9" s="201" customFormat="1" ht="12">
      <c r="B36" s="369" t="s">
        <v>2026</v>
      </c>
      <c r="C36" s="369"/>
      <c r="D36" s="369"/>
      <c r="E36" s="369"/>
      <c r="F36" s="369"/>
      <c r="G36" s="369"/>
      <c r="H36" s="369"/>
      <c r="I36" s="202">
        <f>I20+I26+I30+I34</f>
        <v>10200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FC0B0-AAB1-4334-AF03-798DF23D97E0}">
  <dimension ref="B3:I38"/>
  <sheetViews>
    <sheetView zoomScale="70" zoomScaleNormal="70" workbookViewId="0">
      <selection activeCell="J14" sqref="J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1838</v>
      </c>
      <c r="C13" s="355" t="s">
        <v>1875</v>
      </c>
      <c r="D13" s="355"/>
      <c r="E13" s="355"/>
      <c r="F13" s="355"/>
      <c r="G13" s="286" t="s">
        <v>1000</v>
      </c>
      <c r="H13" s="286"/>
      <c r="I13" s="114">
        <v>10</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1430</v>
      </c>
      <c r="I18" s="24">
        <f>H18/F18</f>
        <v>1430</v>
      </c>
    </row>
    <row r="19" spans="2:9" s="201" customFormat="1" ht="15" customHeight="1">
      <c r="B19" s="24" t="s">
        <v>2118</v>
      </c>
      <c r="C19" s="368" t="s">
        <v>2205</v>
      </c>
      <c r="D19" s="368"/>
      <c r="E19" s="24" t="s">
        <v>213</v>
      </c>
      <c r="F19" s="24">
        <v>0.15</v>
      </c>
      <c r="G19" s="24"/>
      <c r="H19" s="24">
        <v>215</v>
      </c>
      <c r="I19" s="24">
        <f>H19/F19</f>
        <v>1433.3333333333335</v>
      </c>
    </row>
    <row r="20" spans="2:9" s="201" customFormat="1" ht="12">
      <c r="B20" s="365" t="s">
        <v>2001</v>
      </c>
      <c r="C20" s="365"/>
      <c r="D20" s="365"/>
      <c r="E20" s="365"/>
      <c r="F20" s="365"/>
      <c r="G20" s="365"/>
      <c r="H20" s="365"/>
      <c r="I20" s="202">
        <f>SUM(I18:I19)</f>
        <v>2863.3333333333335</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2206</v>
      </c>
      <c r="C23" s="368" t="s">
        <v>1875</v>
      </c>
      <c r="D23" s="368"/>
      <c r="E23" s="24" t="s">
        <v>159</v>
      </c>
      <c r="F23" s="24">
        <v>1</v>
      </c>
      <c r="G23" s="24"/>
      <c r="H23" s="24">
        <v>69470.740000000005</v>
      </c>
      <c r="I23" s="24">
        <f>F23*H23</f>
        <v>69470.740000000005</v>
      </c>
    </row>
    <row r="24" spans="2:9" s="201" customFormat="1" ht="15" customHeight="1">
      <c r="B24" s="24" t="s">
        <v>2207</v>
      </c>
      <c r="C24" s="368" t="s">
        <v>2208</v>
      </c>
      <c r="D24" s="368"/>
      <c r="E24" s="24" t="s">
        <v>390</v>
      </c>
      <c r="F24" s="24">
        <v>1</v>
      </c>
      <c r="G24" s="24"/>
      <c r="H24" s="24">
        <v>5721.12</v>
      </c>
      <c r="I24" s="24">
        <f>F24*H24</f>
        <v>5721.12</v>
      </c>
    </row>
    <row r="25" spans="2:9" s="201" customFormat="1" ht="15" customHeight="1">
      <c r="B25" s="24" t="s">
        <v>2209</v>
      </c>
      <c r="C25" s="368" t="s">
        <v>2210</v>
      </c>
      <c r="D25" s="368"/>
      <c r="E25" s="24" t="s">
        <v>390</v>
      </c>
      <c r="F25" s="24">
        <v>1</v>
      </c>
      <c r="G25" s="24"/>
      <c r="H25" s="24">
        <v>6538.42</v>
      </c>
      <c r="I25" s="24">
        <f>F25*H25</f>
        <v>6538.42</v>
      </c>
    </row>
    <row r="26" spans="2:9" s="201" customFormat="1" ht="12">
      <c r="B26" s="365" t="s">
        <v>2001</v>
      </c>
      <c r="C26" s="365"/>
      <c r="D26" s="365"/>
      <c r="E26" s="365"/>
      <c r="F26" s="365"/>
      <c r="G26" s="365"/>
      <c r="H26" s="365"/>
      <c r="I26" s="202">
        <f>SUM(I23:I25)</f>
        <v>81730.28</v>
      </c>
    </row>
    <row r="27" spans="2:9" s="201" customFormat="1" ht="12">
      <c r="B27" s="365" t="s">
        <v>1062</v>
      </c>
      <c r="C27" s="365"/>
      <c r="D27" s="365"/>
      <c r="E27" s="365"/>
      <c r="F27" s="365"/>
      <c r="G27" s="365"/>
      <c r="H27" s="24">
        <v>0.05</v>
      </c>
      <c r="I27" s="24">
        <f>I26*H27</f>
        <v>4086.5140000000001</v>
      </c>
    </row>
    <row r="28" spans="2:9" s="201" customFormat="1" ht="12">
      <c r="B28" s="365" t="s">
        <v>73</v>
      </c>
      <c r="C28" s="365"/>
      <c r="D28" s="365"/>
      <c r="E28" s="365"/>
      <c r="F28" s="365"/>
      <c r="G28" s="365"/>
      <c r="H28" s="365"/>
      <c r="I28" s="202">
        <f>I26+I27</f>
        <v>85816.793999999994</v>
      </c>
    </row>
    <row r="29" spans="2:9" s="201" customFormat="1" ht="15" customHeight="1">
      <c r="B29" s="367" t="s">
        <v>2016</v>
      </c>
      <c r="C29" s="367"/>
      <c r="D29" s="367"/>
      <c r="E29" s="367"/>
      <c r="F29" s="367"/>
      <c r="G29" s="367"/>
      <c r="H29" s="367"/>
      <c r="I29" s="367"/>
    </row>
    <row r="30" spans="2:9" s="201" customFormat="1" ht="12">
      <c r="B30" s="202" t="s">
        <v>42</v>
      </c>
      <c r="C30" s="202" t="s">
        <v>58</v>
      </c>
      <c r="D30" s="202" t="s">
        <v>136</v>
      </c>
      <c r="E30" s="202" t="s">
        <v>0</v>
      </c>
      <c r="F30" s="202" t="s">
        <v>2017</v>
      </c>
      <c r="G30" s="202" t="s">
        <v>345</v>
      </c>
      <c r="H30" s="202" t="s">
        <v>61</v>
      </c>
      <c r="I30" s="202" t="s">
        <v>79</v>
      </c>
    </row>
    <row r="31" spans="2:9" s="201" customFormat="1">
      <c r="B31" s="24" t="s">
        <v>2018</v>
      </c>
      <c r="C31" s="203" t="s">
        <v>2211</v>
      </c>
      <c r="D31" s="24" t="s">
        <v>390</v>
      </c>
      <c r="E31" s="24">
        <v>1</v>
      </c>
      <c r="F31" s="24">
        <v>1</v>
      </c>
      <c r="G31" s="24">
        <v>4290.84</v>
      </c>
      <c r="H31" s="24">
        <f>E31*F31*G31</f>
        <v>4290.84</v>
      </c>
      <c r="I31" s="24">
        <f>H31</f>
        <v>4290.84</v>
      </c>
    </row>
    <row r="32" spans="2:9" s="201" customFormat="1" ht="12">
      <c r="B32" s="365" t="s">
        <v>2001</v>
      </c>
      <c r="C32" s="365"/>
      <c r="D32" s="365"/>
      <c r="E32" s="365"/>
      <c r="F32" s="365"/>
      <c r="G32" s="365"/>
      <c r="H32" s="365"/>
      <c r="I32" s="202">
        <f>SUM(I31:I31)</f>
        <v>4290.84</v>
      </c>
    </row>
    <row r="33" spans="2:9" s="201" customFormat="1" ht="15" customHeight="1">
      <c r="B33" s="367" t="s">
        <v>2020</v>
      </c>
      <c r="C33" s="367"/>
      <c r="D33" s="367"/>
      <c r="E33" s="367"/>
      <c r="F33" s="367"/>
      <c r="G33" s="367"/>
      <c r="H33" s="367"/>
      <c r="I33" s="367"/>
    </row>
    <row r="34" spans="2:9" s="201" customFormat="1" ht="28.35" customHeight="1">
      <c r="B34" s="202" t="s">
        <v>42</v>
      </c>
      <c r="C34" s="367" t="s">
        <v>84</v>
      </c>
      <c r="D34" s="367"/>
      <c r="E34" s="202" t="s">
        <v>2021</v>
      </c>
      <c r="F34" s="202" t="s">
        <v>1</v>
      </c>
      <c r="G34" s="202" t="s">
        <v>77</v>
      </c>
      <c r="H34" s="202" t="s">
        <v>78</v>
      </c>
      <c r="I34" s="202" t="s">
        <v>79</v>
      </c>
    </row>
    <row r="35" spans="2:9" s="201" customFormat="1" ht="28.35" customHeight="1">
      <c r="B35" s="24" t="s">
        <v>2022</v>
      </c>
      <c r="C35" s="368" t="s">
        <v>2212</v>
      </c>
      <c r="D35" s="368"/>
      <c r="E35" s="24">
        <v>0.6</v>
      </c>
      <c r="F35" s="24" t="s">
        <v>213</v>
      </c>
      <c r="G35" s="24">
        <v>27500</v>
      </c>
      <c r="H35" s="24">
        <f>E35*G35/I35</f>
        <v>0.32962401327051627</v>
      </c>
      <c r="I35" s="24">
        <f>143028-I20-I28-I32-0</f>
        <v>50057.032666666666</v>
      </c>
    </row>
    <row r="36" spans="2:9" s="201" customFormat="1" ht="12">
      <c r="B36" s="365" t="s">
        <v>2001</v>
      </c>
      <c r="C36" s="365"/>
      <c r="D36" s="365"/>
      <c r="E36" s="365"/>
      <c r="F36" s="365"/>
      <c r="G36" s="365"/>
      <c r="H36" s="365"/>
      <c r="I36" s="202">
        <f>SUM(I35:I35)</f>
        <v>50057.032666666666</v>
      </c>
    </row>
    <row r="37" spans="2:9" s="201" customFormat="1" ht="12"/>
    <row r="38" spans="2:9" s="201" customFormat="1" ht="12">
      <c r="B38" s="369" t="s">
        <v>2026</v>
      </c>
      <c r="C38" s="369"/>
      <c r="D38" s="369"/>
      <c r="E38" s="369"/>
      <c r="F38" s="369"/>
      <c r="G38" s="369"/>
      <c r="H38" s="369"/>
      <c r="I38" s="202">
        <f>I20+I28+I32+I36</f>
        <v>143028</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G27"/>
    <mergeCell ref="B16:I16"/>
    <mergeCell ref="C17:D17"/>
    <mergeCell ref="C18:D18"/>
    <mergeCell ref="C19:D19"/>
    <mergeCell ref="B20:H20"/>
    <mergeCell ref="B21:I21"/>
    <mergeCell ref="C22:D22"/>
    <mergeCell ref="C23:D23"/>
    <mergeCell ref="C24:D24"/>
    <mergeCell ref="C25:D25"/>
    <mergeCell ref="B26:H26"/>
    <mergeCell ref="B36:H36"/>
    <mergeCell ref="B38:H38"/>
    <mergeCell ref="B28:H28"/>
    <mergeCell ref="B29:I29"/>
    <mergeCell ref="B32:H32"/>
    <mergeCell ref="B33:I33"/>
    <mergeCell ref="C34:D34"/>
    <mergeCell ref="C35:D35"/>
  </mergeCells>
  <pageMargins left="0.7" right="0.7" top="0.75" bottom="0.75" header="0.3" footer="0.3"/>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56036-65E2-4C1E-B887-496913691C46}">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1839</v>
      </c>
      <c r="C13" s="355" t="s">
        <v>1876</v>
      </c>
      <c r="D13" s="355"/>
      <c r="E13" s="355"/>
      <c r="F13" s="355"/>
      <c r="G13" s="286" t="s">
        <v>780</v>
      </c>
      <c r="H13" s="286"/>
      <c r="I13" s="114">
        <v>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856</v>
      </c>
      <c r="I18" s="24">
        <f>H18/F18</f>
        <v>856</v>
      </c>
    </row>
    <row r="19" spans="2:9" s="201" customFormat="1" ht="15" customHeight="1">
      <c r="B19" s="24" t="s">
        <v>2118</v>
      </c>
      <c r="C19" s="368" t="s">
        <v>2214</v>
      </c>
      <c r="D19" s="368"/>
      <c r="E19" s="24" t="s">
        <v>390</v>
      </c>
      <c r="F19" s="24">
        <v>1</v>
      </c>
      <c r="G19" s="24"/>
      <c r="H19" s="24">
        <v>856</v>
      </c>
      <c r="I19" s="24">
        <f>H19/F19</f>
        <v>856</v>
      </c>
    </row>
    <row r="20" spans="2:9" s="201" customFormat="1" ht="12">
      <c r="B20" s="365" t="s">
        <v>2001</v>
      </c>
      <c r="C20" s="365"/>
      <c r="D20" s="365"/>
      <c r="E20" s="365"/>
      <c r="F20" s="365"/>
      <c r="G20" s="365"/>
      <c r="H20" s="365"/>
      <c r="I20" s="202">
        <f>SUM(I18:I19)</f>
        <v>1712</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2215</v>
      </c>
      <c r="C23" s="368" t="s">
        <v>2222</v>
      </c>
      <c r="D23" s="368"/>
      <c r="E23" s="24" t="s">
        <v>780</v>
      </c>
      <c r="F23" s="24">
        <v>1</v>
      </c>
      <c r="G23" s="24"/>
      <c r="H23" s="24">
        <v>55449.14</v>
      </c>
      <c r="I23" s="24">
        <f>F23*H23</f>
        <v>55449.14</v>
      </c>
    </row>
    <row r="24" spans="2:9" s="201" customFormat="1" ht="12">
      <c r="B24" s="365" t="s">
        <v>2001</v>
      </c>
      <c r="C24" s="365"/>
      <c r="D24" s="365"/>
      <c r="E24" s="365"/>
      <c r="F24" s="365"/>
      <c r="G24" s="365"/>
      <c r="H24" s="365"/>
      <c r="I24" s="202">
        <f>SUM(I23:I23)</f>
        <v>55449.14</v>
      </c>
    </row>
    <row r="25" spans="2:9" s="201" customFormat="1" ht="12">
      <c r="B25" s="365" t="s">
        <v>1062</v>
      </c>
      <c r="C25" s="365"/>
      <c r="D25" s="365"/>
      <c r="E25" s="365"/>
      <c r="F25" s="365"/>
      <c r="G25" s="365"/>
      <c r="H25" s="24">
        <v>0.05</v>
      </c>
      <c r="I25" s="24">
        <f>I24*H25</f>
        <v>2772.4570000000003</v>
      </c>
    </row>
    <row r="26" spans="2:9" s="201" customFormat="1" ht="12">
      <c r="B26" s="365" t="s">
        <v>73</v>
      </c>
      <c r="C26" s="365"/>
      <c r="D26" s="365"/>
      <c r="E26" s="365"/>
      <c r="F26" s="365"/>
      <c r="G26" s="365"/>
      <c r="H26" s="365"/>
      <c r="I26" s="202">
        <f>I24+I25</f>
        <v>58221.597000000002</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24">
      <c r="B29" s="24" t="s">
        <v>2018</v>
      </c>
      <c r="C29" s="203" t="s">
        <v>2217</v>
      </c>
      <c r="D29" s="24" t="s">
        <v>390</v>
      </c>
      <c r="E29" s="24">
        <v>1</v>
      </c>
      <c r="F29" s="24">
        <v>1</v>
      </c>
      <c r="G29" s="24">
        <v>1712.4</v>
      </c>
      <c r="H29" s="24">
        <f>E29*F29*G29</f>
        <v>1712.4</v>
      </c>
      <c r="I29" s="24">
        <f>H29</f>
        <v>1712.4</v>
      </c>
    </row>
    <row r="30" spans="2:9" s="201" customFormat="1" ht="12">
      <c r="B30" s="365" t="s">
        <v>2001</v>
      </c>
      <c r="C30" s="365"/>
      <c r="D30" s="365"/>
      <c r="E30" s="365"/>
      <c r="F30" s="365"/>
      <c r="G30" s="365"/>
      <c r="H30" s="365"/>
      <c r="I30" s="202">
        <f>SUM(I29:I29)</f>
        <v>1712.4</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2218</v>
      </c>
      <c r="D33" s="368"/>
      <c r="E33" s="24">
        <v>0.5</v>
      </c>
      <c r="F33" s="24" t="s">
        <v>213</v>
      </c>
      <c r="G33" s="24">
        <v>27500</v>
      </c>
      <c r="H33" s="24">
        <f>E33*G33/I33</f>
        <v>0.57353792772946599</v>
      </c>
      <c r="I33" s="24">
        <f>85620-I20-I26-I30-0</f>
        <v>23974.002999999997</v>
      </c>
    </row>
    <row r="34" spans="2:9" s="201" customFormat="1" ht="12">
      <c r="B34" s="365" t="s">
        <v>2001</v>
      </c>
      <c r="C34" s="365"/>
      <c r="D34" s="365"/>
      <c r="E34" s="365"/>
      <c r="F34" s="365"/>
      <c r="G34" s="365"/>
      <c r="H34" s="365"/>
      <c r="I34" s="202">
        <f>SUM(I33:I33)</f>
        <v>23974.002999999997</v>
      </c>
    </row>
    <row r="35" spans="2:9" s="201" customFormat="1" ht="12"/>
    <row r="36" spans="2:9" s="201" customFormat="1" ht="12">
      <c r="B36" s="369" t="s">
        <v>2026</v>
      </c>
      <c r="C36" s="369"/>
      <c r="D36" s="369"/>
      <c r="E36" s="369"/>
      <c r="F36" s="369"/>
      <c r="G36" s="369"/>
      <c r="H36" s="369"/>
      <c r="I36" s="202">
        <f>I20+I26+I30+I34</f>
        <v>85620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B2DAA-126E-4C9B-9F7A-D539F53B3DF1}">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1840</v>
      </c>
      <c r="C13" s="355" t="s">
        <v>1877</v>
      </c>
      <c r="D13" s="355"/>
      <c r="E13" s="355"/>
      <c r="F13" s="355"/>
      <c r="G13" s="286" t="s">
        <v>780</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2844</v>
      </c>
      <c r="I18" s="24">
        <f>H18/F18</f>
        <v>2844</v>
      </c>
    </row>
    <row r="19" spans="2:9" s="201" customFormat="1" ht="12">
      <c r="B19" s="365" t="s">
        <v>2001</v>
      </c>
      <c r="C19" s="365"/>
      <c r="D19" s="365"/>
      <c r="E19" s="365"/>
      <c r="F19" s="365"/>
      <c r="G19" s="365"/>
      <c r="H19" s="365"/>
      <c r="I19" s="202">
        <f>SUM(I18:I18)</f>
        <v>2844</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2223</v>
      </c>
      <c r="C22" s="368" t="s">
        <v>2224</v>
      </c>
      <c r="D22" s="368"/>
      <c r="E22" s="24" t="s">
        <v>780</v>
      </c>
      <c r="F22" s="24">
        <v>1</v>
      </c>
      <c r="G22" s="24"/>
      <c r="H22" s="24">
        <v>117010.29</v>
      </c>
      <c r="I22" s="24">
        <f>F22*H22</f>
        <v>117010.29</v>
      </c>
    </row>
    <row r="23" spans="2:9" s="201" customFormat="1" ht="15" customHeight="1">
      <c r="B23" s="24" t="s">
        <v>2225</v>
      </c>
      <c r="C23" s="368" t="s">
        <v>2226</v>
      </c>
      <c r="D23" s="368"/>
      <c r="E23" s="24" t="s">
        <v>390</v>
      </c>
      <c r="F23" s="24">
        <v>1</v>
      </c>
      <c r="G23" s="24"/>
      <c r="H23" s="24">
        <v>13001.14</v>
      </c>
      <c r="I23" s="24">
        <f>F23*H23</f>
        <v>13001.14</v>
      </c>
    </row>
    <row r="24" spans="2:9" s="201" customFormat="1" ht="12">
      <c r="B24" s="365" t="s">
        <v>2001</v>
      </c>
      <c r="C24" s="365"/>
      <c r="D24" s="365"/>
      <c r="E24" s="365"/>
      <c r="F24" s="365"/>
      <c r="G24" s="365"/>
      <c r="H24" s="365"/>
      <c r="I24" s="202">
        <f>SUM(I22:I23)</f>
        <v>130011.43</v>
      </c>
    </row>
    <row r="25" spans="2:9" s="201" customFormat="1" ht="12">
      <c r="B25" s="365" t="s">
        <v>1062</v>
      </c>
      <c r="C25" s="365"/>
      <c r="D25" s="365"/>
      <c r="E25" s="365"/>
      <c r="F25" s="365"/>
      <c r="G25" s="365"/>
      <c r="H25" s="24">
        <v>0.05</v>
      </c>
      <c r="I25" s="24">
        <f>I24*H25</f>
        <v>6500.5715</v>
      </c>
    </row>
    <row r="26" spans="2:9" s="201" customFormat="1" ht="12">
      <c r="B26" s="365" t="s">
        <v>73</v>
      </c>
      <c r="C26" s="365"/>
      <c r="D26" s="365"/>
      <c r="E26" s="365"/>
      <c r="F26" s="365"/>
      <c r="G26" s="365"/>
      <c r="H26" s="365"/>
      <c r="I26" s="202">
        <f>I24+I25</f>
        <v>136512.00149999998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2227</v>
      </c>
      <c r="D29" s="24" t="s">
        <v>390</v>
      </c>
      <c r="E29" s="24">
        <v>1</v>
      </c>
      <c r="F29" s="24">
        <v>1</v>
      </c>
      <c r="G29" s="24">
        <v>3792</v>
      </c>
      <c r="H29" s="24">
        <f>E29*F29*G29</f>
        <v>3792</v>
      </c>
      <c r="I29" s="24">
        <f>H29</f>
        <v>3792</v>
      </c>
    </row>
    <row r="30" spans="2:9" s="201" customFormat="1" ht="12">
      <c r="B30" s="365" t="s">
        <v>2001</v>
      </c>
      <c r="C30" s="365"/>
      <c r="D30" s="365"/>
      <c r="E30" s="365"/>
      <c r="F30" s="365"/>
      <c r="G30" s="365"/>
      <c r="H30" s="365"/>
      <c r="I30" s="202">
        <f>SUM(I29:I29)</f>
        <v>3792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2228</v>
      </c>
      <c r="D33" s="368"/>
      <c r="E33" s="24">
        <v>1</v>
      </c>
      <c r="F33" s="24" t="s">
        <v>213</v>
      </c>
      <c r="G33" s="24">
        <v>27500</v>
      </c>
      <c r="H33" s="24">
        <f>E33*G33/I33</f>
        <v>0.5920089745977235</v>
      </c>
      <c r="I33" s="24">
        <f>189600-I19-I26-I30-0</f>
        <v>46451.998500000016</v>
      </c>
    </row>
    <row r="34" spans="2:9" s="201" customFormat="1" ht="12">
      <c r="B34" s="365" t="s">
        <v>2001</v>
      </c>
      <c r="C34" s="365"/>
      <c r="D34" s="365"/>
      <c r="E34" s="365"/>
      <c r="F34" s="365"/>
      <c r="G34" s="365"/>
      <c r="H34" s="365"/>
      <c r="I34" s="202">
        <f>SUM(I33:I33)</f>
        <v>46451.998500000016</v>
      </c>
    </row>
    <row r="35" spans="2:9" s="201" customFormat="1" ht="12"/>
    <row r="36" spans="2:9" s="201" customFormat="1" ht="12">
      <c r="B36" s="369" t="s">
        <v>2026</v>
      </c>
      <c r="C36" s="369"/>
      <c r="D36" s="369"/>
      <c r="E36" s="369"/>
      <c r="F36" s="369"/>
      <c r="G36" s="369"/>
      <c r="H36" s="369"/>
      <c r="I36" s="202">
        <f>I19+I26+I30+I34</f>
        <v>189600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84EA-6E37-4537-9B39-F11FE5C4670A}">
  <sheetPr codeName="Hoja15"/>
  <dimension ref="B3:I42"/>
  <sheetViews>
    <sheetView topLeftCell="A20" workbookViewId="0">
      <selection activeCell="L14" sqref="L14"/>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4.699218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5.5" customHeight="1">
      <c r="B13" s="17" t="s">
        <v>8</v>
      </c>
      <c r="C13" s="283" t="s">
        <v>1900</v>
      </c>
      <c r="D13" s="284"/>
      <c r="E13" s="284"/>
      <c r="F13" s="285"/>
      <c r="G13" s="286" t="s">
        <v>6</v>
      </c>
      <c r="H13" s="286"/>
      <c r="I13" s="114">
        <v>4.4269999999999996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0.5</v>
      </c>
      <c r="H19" s="85">
        <f>F19*G19</f>
        <v>5250</v>
      </c>
      <c r="I19" s="287"/>
    </row>
    <row r="20" spans="2:9" ht="15.75" customHeight="1">
      <c r="B20" s="71" t="s">
        <v>329</v>
      </c>
      <c r="C20" s="253" t="str">
        <f>VLOOKUP(B20,'MAQUINARIA Y EQUIPOS  '!C6:F94,2,FALSE)</f>
        <v>HIDROLAVADORA</v>
      </c>
      <c r="D20" s="258"/>
      <c r="E20" s="88" t="str">
        <f>VLOOKUP(B20,'MAQUINARIA Y EQUIPOS  '!C6:F94,3,FALSE)</f>
        <v>DIA</v>
      </c>
      <c r="F20" s="86">
        <f>VLOOKUP(B20,'MAQUINARIA Y EQUIPOS  '!C6:F94,4,FALSE)</f>
        <v>130000</v>
      </c>
      <c r="G20" s="131">
        <v>0.12</v>
      </c>
      <c r="H20" s="130">
        <f>+F20*G20</f>
        <v>15600</v>
      </c>
      <c r="I20" s="287"/>
    </row>
    <row r="21" spans="2:9" ht="15.75" customHeight="1">
      <c r="B21" s="71" t="s">
        <v>234</v>
      </c>
      <c r="C21" s="253" t="str">
        <f>VLOOKUP(B21,'MAQUINARIA Y EQUIPOS  '!C7:F95,2,FALSE)</f>
        <v xml:space="preserve">Mezcladora </v>
      </c>
      <c r="D21" s="258"/>
      <c r="E21" s="88" t="str">
        <f>VLOOKUP(B21,'MAQUINARIA Y EQUIPOS  '!C7:F95,3,FALSE)</f>
        <v>DIA</v>
      </c>
      <c r="F21" s="86">
        <f>VLOOKUP(B21,'MAQUINARIA Y EQUIPOS  '!C7:F95,4,FALSE)</f>
        <v>150000</v>
      </c>
      <c r="G21" s="131">
        <v>0.2</v>
      </c>
      <c r="H21" s="130">
        <f>+F21*G21</f>
        <v>30000</v>
      </c>
      <c r="I21" s="287"/>
    </row>
    <row r="22" spans="2:9" ht="12">
      <c r="B22" s="89"/>
      <c r="C22" s="89"/>
      <c r="D22" s="89"/>
      <c r="E22" s="89"/>
      <c r="F22" s="89"/>
      <c r="G22" s="89"/>
      <c r="H22" s="89" t="s">
        <v>64</v>
      </c>
      <c r="I22" s="90">
        <f>SUM(H18:H21)</f>
        <v>51921.4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1219</v>
      </c>
      <c r="C25" s="290" t="str">
        <f>VLOOKUP(B25,'INSUMOS '!C7:F616,2,FALSE)</f>
        <v xml:space="preserve">CEMENTO GRIS 50KG + DESCARGUE </v>
      </c>
      <c r="D25" s="293"/>
      <c r="E25" s="97" t="str">
        <f>VLOOKUP(B25,'INSUMOS '!C7:F616,3,FALSE)</f>
        <v>KG</v>
      </c>
      <c r="F25" s="98">
        <f>VLOOKUP(B25,'INSUMOS '!C7:F616,4,FALSE)</f>
        <v>663.95</v>
      </c>
      <c r="G25" s="132">
        <v>364</v>
      </c>
      <c r="H25" s="83">
        <f>+G25*F25</f>
        <v>241677.80000000002</v>
      </c>
      <c r="I25" s="287"/>
    </row>
    <row r="26" spans="2:9">
      <c r="B26" s="71" t="s">
        <v>183</v>
      </c>
      <c r="C26" s="290" t="str">
        <f>VLOOKUP(B26,'INSUMOS '!C7:F616,2,FALSE)</f>
        <v>AGUA</v>
      </c>
      <c r="D26" s="293"/>
      <c r="E26" s="97" t="str">
        <f>VLOOKUP(B26,'INSUMOS '!C7:F616,3,FALSE)</f>
        <v>L</v>
      </c>
      <c r="F26" s="98">
        <f>VLOOKUP(B26,'INSUMOS '!C7:F616,4,FALSE)</f>
        <v>473</v>
      </c>
      <c r="G26" s="132">
        <v>150</v>
      </c>
      <c r="H26" s="83">
        <f>+G26*F26</f>
        <v>70950</v>
      </c>
      <c r="I26" s="287"/>
    </row>
    <row r="27" spans="2:9">
      <c r="B27" s="71" t="s">
        <v>1222</v>
      </c>
      <c r="C27" s="290" t="str">
        <f>VLOOKUP(B27,'INSUMOS '!C7:F616,2,FALSE)</f>
        <v xml:space="preserve">ARENA CANTERA </v>
      </c>
      <c r="D27" s="293"/>
      <c r="E27" s="97" t="str">
        <f>VLOOKUP(B27,'INSUMOS '!C7:F616,3,FALSE)</f>
        <v>M3</v>
      </c>
      <c r="F27" s="98">
        <f>VLOOKUP(B27,'INSUMOS '!C7:F616,4,FALSE)</f>
        <v>50000</v>
      </c>
      <c r="G27" s="119">
        <v>1.1000000000000001</v>
      </c>
      <c r="H27" s="83">
        <f>+G27*F27</f>
        <v>55000.000000000007</v>
      </c>
      <c r="I27" s="287"/>
    </row>
    <row r="28" spans="2:9">
      <c r="B28" s="71" t="s">
        <v>163</v>
      </c>
      <c r="C28" s="290" t="str">
        <f>VLOOKUP(B28,'INSUMOS '!C7:F616,2,FALSE)</f>
        <v>SIKA 1 (60kg)</v>
      </c>
      <c r="D28" s="293"/>
      <c r="E28" s="97" t="str">
        <f>VLOOKUP(B28,'INSUMOS '!C7:F616,3,FALSE)</f>
        <v>kg</v>
      </c>
      <c r="F28" s="98">
        <f>VLOOKUP(B28,'INSUMOS '!C7:F616,4,FALSE)</f>
        <v>12193.733333333334</v>
      </c>
      <c r="G28" s="119">
        <v>11</v>
      </c>
      <c r="H28" s="83">
        <f>+G28*F28</f>
        <v>134131.06666666668</v>
      </c>
      <c r="I28" s="287"/>
    </row>
    <row r="29" spans="2:9" ht="12">
      <c r="B29" s="89"/>
      <c r="C29" s="89"/>
      <c r="D29" s="89"/>
      <c r="E29" s="89"/>
      <c r="F29" s="89"/>
      <c r="G29" s="258" t="s">
        <v>64</v>
      </c>
      <c r="H29" s="258"/>
      <c r="I29" s="85">
        <f>SUM(H25:H28)</f>
        <v>501758.8666666667</v>
      </c>
    </row>
    <row r="30" spans="2:9" ht="12">
      <c r="B30" s="89"/>
      <c r="C30" s="89"/>
      <c r="D30" s="89"/>
      <c r="E30" s="89"/>
      <c r="F30" s="89"/>
      <c r="G30" s="99" t="s">
        <v>72</v>
      </c>
      <c r="H30" s="100">
        <v>0.05</v>
      </c>
      <c r="I30" s="120">
        <f>I29*H30</f>
        <v>25087.943333333336</v>
      </c>
    </row>
    <row r="31" spans="2:9" ht="12">
      <c r="B31" s="89"/>
      <c r="C31" s="89"/>
      <c r="D31" s="89"/>
      <c r="E31" s="89"/>
      <c r="F31" s="89"/>
      <c r="G31" s="258" t="s">
        <v>73</v>
      </c>
      <c r="H31" s="258"/>
      <c r="I31" s="90">
        <f>SUM(I29:I30)</f>
        <v>526846.81000000006</v>
      </c>
    </row>
    <row r="32" spans="2:9" ht="12">
      <c r="B32" s="78"/>
      <c r="C32" s="289" t="s">
        <v>74</v>
      </c>
      <c r="D32" s="289"/>
      <c r="E32" s="78"/>
      <c r="F32" s="78"/>
      <c r="G32" s="78"/>
      <c r="H32" s="78"/>
      <c r="I32" s="79"/>
    </row>
    <row r="33" spans="2:9" ht="12">
      <c r="B33" s="70" t="s">
        <v>42</v>
      </c>
      <c r="C33" s="70" t="s">
        <v>58</v>
      </c>
      <c r="D33" s="70" t="s">
        <v>342</v>
      </c>
      <c r="E33" s="70" t="s">
        <v>343</v>
      </c>
      <c r="F33" s="70" t="s">
        <v>344</v>
      </c>
      <c r="G33" s="70" t="s">
        <v>1278</v>
      </c>
      <c r="H33" s="74" t="s">
        <v>61</v>
      </c>
      <c r="I33" s="300"/>
    </row>
    <row r="34" spans="2:9" ht="12">
      <c r="B34" s="70" t="s">
        <v>192</v>
      </c>
      <c r="C34" s="70" t="str">
        <f>VLOOKUP(B34,'MAQUINARIA Y EQUIPOS  '!C7:F95,2,FALSE)</f>
        <v>Volqueta de 8 m3</v>
      </c>
      <c r="D34" s="75" t="str">
        <f>VLOOKUP(B34,'MAQUINARIA Y EQUIPOS  '!C7:F95,3,FALSE)</f>
        <v>m3/km</v>
      </c>
      <c r="E34" s="70">
        <v>1.1599999999999999</v>
      </c>
      <c r="F34" s="70">
        <v>19</v>
      </c>
      <c r="G34" s="102">
        <f>VLOOKUP(B34,'MAQUINARIA Y EQUIPOS  '!C7:F95,4,FALSE)</f>
        <v>1500</v>
      </c>
      <c r="H34" s="103">
        <f>+F34*G34*E34</f>
        <v>33060</v>
      </c>
      <c r="I34" s="301"/>
    </row>
    <row r="35" spans="2:9">
      <c r="B35" s="71"/>
      <c r="C35" s="71"/>
      <c r="D35" s="82"/>
      <c r="E35" s="71"/>
      <c r="F35" s="71"/>
      <c r="G35" s="86"/>
      <c r="H35" s="86"/>
      <c r="I35" s="301"/>
    </row>
    <row r="36" spans="2:9" ht="12">
      <c r="B36" s="89"/>
      <c r="C36" s="89"/>
      <c r="D36" s="89"/>
      <c r="E36" s="89"/>
      <c r="F36" s="89"/>
      <c r="G36" s="302" t="s">
        <v>64</v>
      </c>
      <c r="H36" s="302"/>
      <c r="I36" s="104">
        <f>+H34</f>
        <v>33060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22.8">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1.6</v>
      </c>
      <c r="H39" s="94">
        <f>F39*G39*D39</f>
        <v>105900</v>
      </c>
      <c r="I39" s="294"/>
    </row>
    <row r="40" spans="2:9">
      <c r="B40" s="106"/>
      <c r="C40" s="106"/>
      <c r="D40" s="106"/>
      <c r="E40" s="106"/>
      <c r="F40" s="86"/>
      <c r="G40" s="121"/>
      <c r="H40" s="94"/>
      <c r="I40" s="294"/>
    </row>
    <row r="41" spans="2:9" ht="12">
      <c r="B41" s="108"/>
      <c r="C41" s="109"/>
      <c r="D41" s="109"/>
      <c r="E41" s="109"/>
      <c r="F41" s="110"/>
      <c r="G41" s="110"/>
      <c r="H41" s="111" t="s">
        <v>64</v>
      </c>
      <c r="I41" s="112">
        <f>SUM(H39:H40)</f>
        <v>105900</v>
      </c>
    </row>
    <row r="42" spans="2:9" ht="12">
      <c r="B42" s="295" t="s">
        <v>83</v>
      </c>
      <c r="C42" s="296"/>
      <c r="D42" s="297" t="s">
        <v>77</v>
      </c>
      <c r="E42" s="298"/>
      <c r="F42" s="298"/>
      <c r="G42" s="298"/>
      <c r="H42" s="299"/>
      <c r="I42" s="113">
        <f>SUM(I22+I36+I31+I41)</f>
        <v>717728.21000000008</v>
      </c>
    </row>
  </sheetData>
  <mergeCells count="41">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4:D24"/>
    <mergeCell ref="I24:I28"/>
    <mergeCell ref="C25:D25"/>
    <mergeCell ref="C26:D26"/>
    <mergeCell ref="C27:D27"/>
    <mergeCell ref="C17:D17"/>
    <mergeCell ref="I17:I21"/>
    <mergeCell ref="C18:D18"/>
    <mergeCell ref="C21:D21"/>
    <mergeCell ref="C23:D23"/>
    <mergeCell ref="C19:D19"/>
    <mergeCell ref="C20:D20"/>
    <mergeCell ref="C37:D37"/>
    <mergeCell ref="I38:I40"/>
    <mergeCell ref="B42:C42"/>
    <mergeCell ref="D42:H42"/>
    <mergeCell ref="C28:D28"/>
    <mergeCell ref="G29:H29"/>
    <mergeCell ref="G31:H31"/>
    <mergeCell ref="C32:D32"/>
    <mergeCell ref="I33:I35"/>
    <mergeCell ref="G36:H36"/>
  </mergeCells>
  <pageMargins left="0.7" right="0.7" top="0.75" bottom="0.75" header="0.3" footer="0.3"/>
  <drawing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F7D31-E92E-40B1-A154-4BA33AE2FBD6}">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1843</v>
      </c>
      <c r="C13" s="355" t="s">
        <v>1846</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31410</v>
      </c>
      <c r="I18" s="24">
        <f>H18/F18</f>
        <v>31410</v>
      </c>
    </row>
    <row r="19" spans="2:9" s="201" customFormat="1" ht="12">
      <c r="B19" s="365" t="s">
        <v>2001</v>
      </c>
      <c r="C19" s="365"/>
      <c r="D19" s="365"/>
      <c r="E19" s="365"/>
      <c r="F19" s="365"/>
      <c r="G19" s="365"/>
      <c r="H19" s="365"/>
      <c r="I19" s="202">
        <f>SUM(I18:I18)</f>
        <v>31410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2231</v>
      </c>
      <c r="C22" s="368" t="s">
        <v>1846</v>
      </c>
      <c r="D22" s="368"/>
      <c r="E22" s="24" t="s">
        <v>780</v>
      </c>
      <c r="F22" s="24">
        <v>1</v>
      </c>
      <c r="G22" s="24"/>
      <c r="H22" s="24">
        <v>1525628.57</v>
      </c>
      <c r="I22" s="24">
        <f>F22*H22</f>
        <v>1525628.57</v>
      </c>
    </row>
    <row r="23" spans="2:9" s="201" customFormat="1" ht="15" customHeight="1">
      <c r="B23" s="24" t="s">
        <v>2230</v>
      </c>
      <c r="C23" s="368" t="s">
        <v>2229</v>
      </c>
      <c r="D23" s="368"/>
      <c r="E23" s="24" t="s">
        <v>390</v>
      </c>
      <c r="F23" s="24">
        <v>1</v>
      </c>
      <c r="G23" s="24"/>
      <c r="H23" s="24">
        <v>169514.29</v>
      </c>
      <c r="I23" s="24">
        <f>F23*H23</f>
        <v>169514.29</v>
      </c>
    </row>
    <row r="24" spans="2:9" s="201" customFormat="1" ht="12">
      <c r="B24" s="365" t="s">
        <v>2001</v>
      </c>
      <c r="C24" s="365"/>
      <c r="D24" s="365"/>
      <c r="E24" s="365"/>
      <c r="F24" s="365"/>
      <c r="G24" s="365"/>
      <c r="H24" s="365"/>
      <c r="I24" s="202">
        <f>SUM(I22:I23)</f>
        <v>1695142.86</v>
      </c>
    </row>
    <row r="25" spans="2:9" s="201" customFormat="1" ht="12">
      <c r="B25" s="365" t="s">
        <v>1062</v>
      </c>
      <c r="C25" s="365"/>
      <c r="D25" s="365"/>
      <c r="E25" s="365"/>
      <c r="F25" s="365"/>
      <c r="G25" s="365"/>
      <c r="H25" s="24">
        <v>0.05</v>
      </c>
      <c r="I25" s="24">
        <f>I24*H25</f>
        <v>84757.143000000011</v>
      </c>
    </row>
    <row r="26" spans="2:9" s="201" customFormat="1" ht="12">
      <c r="B26" s="365" t="s">
        <v>73</v>
      </c>
      <c r="C26" s="365"/>
      <c r="D26" s="365"/>
      <c r="E26" s="365"/>
      <c r="F26" s="365"/>
      <c r="G26" s="365"/>
      <c r="H26" s="365"/>
      <c r="I26" s="202">
        <f>I24+I25</f>
        <v>1779900.003</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41880</v>
      </c>
      <c r="H29" s="24">
        <f>E29*F29*G29</f>
        <v>41880</v>
      </c>
      <c r="I29" s="24">
        <f>H29</f>
        <v>41880</v>
      </c>
    </row>
    <row r="30" spans="2:9" s="201" customFormat="1" ht="12">
      <c r="B30" s="365" t="s">
        <v>2001</v>
      </c>
      <c r="C30" s="365"/>
      <c r="D30" s="365"/>
      <c r="E30" s="365"/>
      <c r="F30" s="365"/>
      <c r="G30" s="365"/>
      <c r="H30" s="365"/>
      <c r="I30" s="202">
        <f>SUM(I29:I29)</f>
        <v>41880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2228</v>
      </c>
      <c r="D33" s="368"/>
      <c r="E33" s="24">
        <v>2</v>
      </c>
      <c r="F33" s="24" t="s">
        <v>213</v>
      </c>
      <c r="G33" s="24">
        <v>27500</v>
      </c>
      <c r="H33" s="24">
        <f>E33*G33/I33</f>
        <v>0.22839583358327106</v>
      </c>
      <c r="I33" s="24">
        <f>2094000-I19-I26-I30-0</f>
        <v>240809.99699999997</v>
      </c>
    </row>
    <row r="34" spans="2:9" s="201" customFormat="1" ht="12">
      <c r="B34" s="365" t="s">
        <v>2001</v>
      </c>
      <c r="C34" s="365"/>
      <c r="D34" s="365"/>
      <c r="E34" s="365"/>
      <c r="F34" s="365"/>
      <c r="G34" s="365"/>
      <c r="H34" s="365"/>
      <c r="I34" s="202">
        <f>SUM(I33:I33)</f>
        <v>240809.99699999997</v>
      </c>
    </row>
    <row r="35" spans="2:9" s="201" customFormat="1" ht="12"/>
    <row r="36" spans="2:9" s="201" customFormat="1" ht="12">
      <c r="B36" s="369" t="s">
        <v>2026</v>
      </c>
      <c r="C36" s="369"/>
      <c r="D36" s="369"/>
      <c r="E36" s="369"/>
      <c r="F36" s="369"/>
      <c r="G36" s="369"/>
      <c r="H36" s="369"/>
      <c r="I36" s="202">
        <f>I19+I26+I30+I34</f>
        <v>2094000</v>
      </c>
    </row>
    <row r="37" spans="2:9" s="201" customFormat="1" ht="12"/>
  </sheetData>
  <mergeCells count="37">
    <mergeCell ref="C33:D33"/>
    <mergeCell ref="B34:H34"/>
    <mergeCell ref="B36:H36"/>
    <mergeCell ref="B26:H26"/>
    <mergeCell ref="B27:I27"/>
    <mergeCell ref="B30:H30"/>
    <mergeCell ref="B31:I31"/>
    <mergeCell ref="C32:D32"/>
    <mergeCell ref="C21:D21"/>
    <mergeCell ref="C22:D22"/>
    <mergeCell ref="C23:D23"/>
    <mergeCell ref="B24:H24"/>
    <mergeCell ref="B25:G25"/>
    <mergeCell ref="B16:I16"/>
    <mergeCell ref="C17:D17"/>
    <mergeCell ref="C18:D18"/>
    <mergeCell ref="B19:H19"/>
    <mergeCell ref="B20:I20"/>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D9AD-C23D-4725-97B5-7A32058A0FEE}">
  <dimension ref="B3:I37"/>
  <sheetViews>
    <sheetView topLeftCell="A13" zoomScale="93" zoomScaleNormal="93" workbookViewId="0">
      <selection activeCell="I36" sqref="I36"/>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1844</v>
      </c>
      <c r="C13" s="355" t="s">
        <v>1847</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04">
        <v>1</v>
      </c>
      <c r="G18" s="24"/>
      <c r="H18" s="24">
        <v>3330</v>
      </c>
      <c r="I18" s="24">
        <f>H18/F18</f>
        <v>3330</v>
      </c>
    </row>
    <row r="19" spans="2:9" s="201" customFormat="1" ht="12">
      <c r="B19" s="365" t="s">
        <v>2001</v>
      </c>
      <c r="C19" s="365"/>
      <c r="D19" s="365"/>
      <c r="E19" s="365"/>
      <c r="F19" s="365"/>
      <c r="G19" s="365"/>
      <c r="H19" s="365"/>
      <c r="I19" s="202">
        <f>SUM(I18:I18)</f>
        <v>3330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2231</v>
      </c>
      <c r="C22" s="368" t="s">
        <v>1847</v>
      </c>
      <c r="D22" s="368"/>
      <c r="E22" s="24" t="s">
        <v>780</v>
      </c>
      <c r="F22" s="204">
        <v>1</v>
      </c>
      <c r="G22" s="24"/>
      <c r="H22" s="24">
        <v>161742.85999999999</v>
      </c>
      <c r="I22" s="24">
        <f>F22*H22</f>
        <v>161742.85999999999</v>
      </c>
    </row>
    <row r="23" spans="2:9" s="201" customFormat="1" ht="15" customHeight="1">
      <c r="B23" s="24" t="s">
        <v>2230</v>
      </c>
      <c r="C23" s="368" t="s">
        <v>2229</v>
      </c>
      <c r="D23" s="368"/>
      <c r="E23" s="24" t="s">
        <v>390</v>
      </c>
      <c r="F23" s="204">
        <v>1</v>
      </c>
      <c r="G23" s="24"/>
      <c r="H23" s="24">
        <v>17971.43</v>
      </c>
      <c r="I23" s="24">
        <f>F23*H23</f>
        <v>17971.43</v>
      </c>
    </row>
    <row r="24" spans="2:9" s="201" customFormat="1" ht="12">
      <c r="B24" s="365" t="s">
        <v>2001</v>
      </c>
      <c r="C24" s="365"/>
      <c r="D24" s="365"/>
      <c r="E24" s="365"/>
      <c r="F24" s="365"/>
      <c r="G24" s="365"/>
      <c r="H24" s="365"/>
      <c r="I24" s="202">
        <f>SUM(I22:I23)</f>
        <v>179714.28999999998</v>
      </c>
    </row>
    <row r="25" spans="2:9" s="201" customFormat="1" ht="12">
      <c r="B25" s="365" t="s">
        <v>1062</v>
      </c>
      <c r="C25" s="365"/>
      <c r="D25" s="365"/>
      <c r="E25" s="365"/>
      <c r="F25" s="365"/>
      <c r="G25" s="365"/>
      <c r="H25" s="24">
        <v>0.05</v>
      </c>
      <c r="I25" s="24">
        <f>I24*H25</f>
        <v>8985.7145</v>
      </c>
    </row>
    <row r="26" spans="2:9" s="201" customFormat="1" ht="12">
      <c r="B26" s="365" t="s">
        <v>73</v>
      </c>
      <c r="C26" s="365"/>
      <c r="D26" s="365"/>
      <c r="E26" s="365"/>
      <c r="F26" s="365"/>
      <c r="G26" s="365"/>
      <c r="H26" s="365"/>
      <c r="I26" s="202">
        <f>I24+I25</f>
        <v>188700.00449999998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04">
        <v>1</v>
      </c>
      <c r="F29" s="204">
        <v>1</v>
      </c>
      <c r="G29" s="24">
        <v>4440</v>
      </c>
      <c r="H29" s="24">
        <f>E29*F29*G29</f>
        <v>4440</v>
      </c>
      <c r="I29" s="24">
        <f>H29</f>
        <v>4440</v>
      </c>
    </row>
    <row r="30" spans="2:9" s="201" customFormat="1" ht="12">
      <c r="B30" s="365" t="s">
        <v>2001</v>
      </c>
      <c r="C30" s="365"/>
      <c r="D30" s="365"/>
      <c r="E30" s="365"/>
      <c r="F30" s="365"/>
      <c r="G30" s="365"/>
      <c r="H30" s="365"/>
      <c r="I30" s="202">
        <f>SUM(I29:I29)</f>
        <v>4440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2228</v>
      </c>
      <c r="D33" s="368"/>
      <c r="E33" s="204">
        <v>2</v>
      </c>
      <c r="F33" s="24" t="s">
        <v>213</v>
      </c>
      <c r="G33" s="24">
        <v>27500</v>
      </c>
      <c r="H33" s="204">
        <f>E33*G33/I33</f>
        <v>2.1543286210136605</v>
      </c>
      <c r="I33" s="24">
        <f>222000-I19-I26-I30-0</f>
        <v>25529.995500000019</v>
      </c>
    </row>
    <row r="34" spans="2:9" s="201" customFormat="1" ht="12">
      <c r="B34" s="365" t="s">
        <v>2001</v>
      </c>
      <c r="C34" s="365"/>
      <c r="D34" s="365"/>
      <c r="E34" s="365"/>
      <c r="F34" s="365"/>
      <c r="G34" s="365"/>
      <c r="H34" s="365"/>
      <c r="I34" s="202">
        <f>SUM(I33:I33)</f>
        <v>25529.995500000019</v>
      </c>
    </row>
    <row r="35" spans="2:9" s="201" customFormat="1" ht="12"/>
    <row r="36" spans="2:9" s="201" customFormat="1" ht="12">
      <c r="B36" s="369" t="s">
        <v>2026</v>
      </c>
      <c r="C36" s="369"/>
      <c r="D36" s="369"/>
      <c r="E36" s="369"/>
      <c r="F36" s="369"/>
      <c r="G36" s="369"/>
      <c r="H36" s="369"/>
      <c r="I36" s="202">
        <f>I19+I26+I30+I34</f>
        <v>222000</v>
      </c>
    </row>
    <row r="37" spans="2:9" s="201" customFormat="1" ht="12"/>
  </sheetData>
  <mergeCells count="37">
    <mergeCell ref="B36:H36"/>
    <mergeCell ref="C22:D22"/>
    <mergeCell ref="C23:D23"/>
    <mergeCell ref="B24:H24"/>
    <mergeCell ref="B25:G25"/>
    <mergeCell ref="B26:H26"/>
    <mergeCell ref="B27:I27"/>
    <mergeCell ref="B30:H30"/>
    <mergeCell ref="B31:I31"/>
    <mergeCell ref="C32:D32"/>
    <mergeCell ref="C33:D33"/>
    <mergeCell ref="B34:H34"/>
    <mergeCell ref="C21:D21"/>
    <mergeCell ref="C13:F13"/>
    <mergeCell ref="G13:H13"/>
    <mergeCell ref="C14:E14"/>
    <mergeCell ref="F14:H14"/>
    <mergeCell ref="C15:E15"/>
    <mergeCell ref="F15:H15"/>
    <mergeCell ref="B16:I16"/>
    <mergeCell ref="C17:D17"/>
    <mergeCell ref="C18:D18"/>
    <mergeCell ref="B19:H19"/>
    <mergeCell ref="B20:I20"/>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0303-2C90-47CF-AE4E-787F380D8F1F}">
  <dimension ref="B3:I37"/>
  <sheetViews>
    <sheetView topLeftCell="A4" zoomScale="70" zoomScaleNormal="70" workbookViewId="0">
      <selection activeCell="M21" sqref="M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1845</v>
      </c>
      <c r="C13" s="355" t="s">
        <v>1848</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12330</v>
      </c>
      <c r="I18" s="24">
        <f>H18/F18</f>
        <v>12330</v>
      </c>
    </row>
    <row r="19" spans="2:9" s="201" customFormat="1" ht="12">
      <c r="B19" s="365" t="s">
        <v>2001</v>
      </c>
      <c r="C19" s="365"/>
      <c r="D19" s="365"/>
      <c r="E19" s="365"/>
      <c r="F19" s="365"/>
      <c r="G19" s="365"/>
      <c r="H19" s="365"/>
      <c r="I19" s="202">
        <f>SUM(I18:I18)</f>
        <v>12330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2231</v>
      </c>
      <c r="C22" s="368" t="s">
        <v>1848</v>
      </c>
      <c r="D22" s="368"/>
      <c r="E22" s="24" t="s">
        <v>780</v>
      </c>
      <c r="F22" s="24">
        <v>1</v>
      </c>
      <c r="G22" s="24"/>
      <c r="H22" s="24">
        <v>598885.71</v>
      </c>
      <c r="I22" s="24">
        <f>F22*H22</f>
        <v>598885.71</v>
      </c>
    </row>
    <row r="23" spans="2:9" s="201" customFormat="1" ht="15" customHeight="1">
      <c r="B23" s="24" t="s">
        <v>2230</v>
      </c>
      <c r="C23" s="368" t="s">
        <v>2229</v>
      </c>
      <c r="D23" s="368"/>
      <c r="E23" s="24" t="s">
        <v>390</v>
      </c>
      <c r="F23" s="24">
        <v>1</v>
      </c>
      <c r="G23" s="24"/>
      <c r="H23" s="24">
        <v>66542.86</v>
      </c>
      <c r="I23" s="24">
        <f>F23*H23</f>
        <v>66542.86</v>
      </c>
    </row>
    <row r="24" spans="2:9" s="201" customFormat="1" ht="12">
      <c r="B24" s="365" t="s">
        <v>2001</v>
      </c>
      <c r="C24" s="365"/>
      <c r="D24" s="365"/>
      <c r="E24" s="365"/>
      <c r="F24" s="365"/>
      <c r="G24" s="365"/>
      <c r="H24" s="365"/>
      <c r="I24" s="202">
        <f>SUM(I22:I23)</f>
        <v>665428.56999999995</v>
      </c>
    </row>
    <row r="25" spans="2:9" s="201" customFormat="1" ht="12">
      <c r="B25" s="365" t="s">
        <v>1062</v>
      </c>
      <c r="C25" s="365"/>
      <c r="D25" s="365"/>
      <c r="E25" s="365"/>
      <c r="F25" s="365"/>
      <c r="G25" s="365"/>
      <c r="H25" s="24">
        <v>0.05</v>
      </c>
      <c r="I25" s="24">
        <f>I24*H25</f>
        <v>33271.428500000002</v>
      </c>
    </row>
    <row r="26" spans="2:9" s="201" customFormat="1" ht="12">
      <c r="B26" s="365" t="s">
        <v>73</v>
      </c>
      <c r="C26" s="365"/>
      <c r="D26" s="365"/>
      <c r="E26" s="365"/>
      <c r="F26" s="365"/>
      <c r="G26" s="365"/>
      <c r="H26" s="365"/>
      <c r="I26" s="202">
        <f>I24+I25</f>
        <v>698699.99849999999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16440</v>
      </c>
      <c r="H29" s="24">
        <f>E29*F29*G29</f>
        <v>16440</v>
      </c>
      <c r="I29" s="24">
        <f>H29</f>
        <v>16440</v>
      </c>
    </row>
    <row r="30" spans="2:9" s="201" customFormat="1" ht="12">
      <c r="B30" s="365" t="s">
        <v>2001</v>
      </c>
      <c r="C30" s="365"/>
      <c r="D30" s="365"/>
      <c r="E30" s="365"/>
      <c r="F30" s="365"/>
      <c r="G30" s="365"/>
      <c r="H30" s="365"/>
      <c r="I30" s="202">
        <f>SUM(I29:I29)</f>
        <v>16440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2228</v>
      </c>
      <c r="D33" s="368"/>
      <c r="E33" s="24">
        <v>2</v>
      </c>
      <c r="F33" s="24" t="s">
        <v>213</v>
      </c>
      <c r="G33" s="24">
        <v>27500</v>
      </c>
      <c r="H33" s="24">
        <f>E33*G33/I33</f>
        <v>0.58182586615107579</v>
      </c>
      <c r="I33" s="24">
        <f>822000-I19-I26-I30-0</f>
        <v>94530.001500000013</v>
      </c>
    </row>
    <row r="34" spans="2:9" s="201" customFormat="1" ht="12">
      <c r="B34" s="365" t="s">
        <v>2001</v>
      </c>
      <c r="C34" s="365"/>
      <c r="D34" s="365"/>
      <c r="E34" s="365"/>
      <c r="F34" s="365"/>
      <c r="G34" s="365"/>
      <c r="H34" s="365"/>
      <c r="I34" s="202">
        <f>SUM(I33:I33)</f>
        <v>94530.001500000013</v>
      </c>
    </row>
    <row r="35" spans="2:9" s="201" customFormat="1" ht="12"/>
    <row r="36" spans="2:9" s="201" customFormat="1" ht="12">
      <c r="B36" s="369" t="s">
        <v>2026</v>
      </c>
      <c r="C36" s="369"/>
      <c r="D36" s="369"/>
      <c r="E36" s="369"/>
      <c r="F36" s="369"/>
      <c r="G36" s="369"/>
      <c r="H36" s="369"/>
      <c r="I36" s="202">
        <f>I19+I26+I30+I34</f>
        <v>822000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5A0F-319F-43A4-866F-2E09EFF40911}">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1849</v>
      </c>
      <c r="C13" s="355" t="s">
        <v>1851</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16200</v>
      </c>
      <c r="I18" s="24">
        <f>H18/F18</f>
        <v>16200</v>
      </c>
    </row>
    <row r="19" spans="2:9" s="201" customFormat="1" ht="12">
      <c r="B19" s="365" t="s">
        <v>2001</v>
      </c>
      <c r="C19" s="365"/>
      <c r="D19" s="365"/>
      <c r="E19" s="365"/>
      <c r="F19" s="365"/>
      <c r="G19" s="365"/>
      <c r="H19" s="365"/>
      <c r="I19" s="202">
        <f>SUM(I18:I18)</f>
        <v>16200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2232</v>
      </c>
      <c r="C22" s="368" t="s">
        <v>1851</v>
      </c>
      <c r="D22" s="368"/>
      <c r="E22" s="24" t="s">
        <v>780</v>
      </c>
      <c r="F22" s="24">
        <v>1</v>
      </c>
      <c r="G22" s="24"/>
      <c r="H22" s="24">
        <v>1234902.8600000001</v>
      </c>
      <c r="I22" s="24">
        <f>F22*H22</f>
        <v>1234902.8600000001</v>
      </c>
    </row>
    <row r="23" spans="2:9" s="201" customFormat="1" ht="15" customHeight="1">
      <c r="B23" s="24" t="s">
        <v>2233</v>
      </c>
      <c r="C23" s="368" t="s">
        <v>2234</v>
      </c>
      <c r="D23" s="368"/>
      <c r="E23" s="24" t="s">
        <v>390</v>
      </c>
      <c r="F23" s="24">
        <v>1</v>
      </c>
      <c r="G23" s="24"/>
      <c r="H23" s="24">
        <v>107382.86</v>
      </c>
      <c r="I23" s="24">
        <f>F23*H23</f>
        <v>107382.86</v>
      </c>
    </row>
    <row r="24" spans="2:9" s="201" customFormat="1" ht="12">
      <c r="B24" s="365" t="s">
        <v>2001</v>
      </c>
      <c r="C24" s="365"/>
      <c r="D24" s="365"/>
      <c r="E24" s="365"/>
      <c r="F24" s="365"/>
      <c r="G24" s="365"/>
      <c r="H24" s="365"/>
      <c r="I24" s="202">
        <f>SUM(I22:I23)</f>
        <v>1342285.7200000002</v>
      </c>
    </row>
    <row r="25" spans="2:9" s="201" customFormat="1" ht="12">
      <c r="B25" s="365" t="s">
        <v>1062</v>
      </c>
      <c r="C25" s="365"/>
      <c r="D25" s="365"/>
      <c r="E25" s="365"/>
      <c r="F25" s="365"/>
      <c r="G25" s="365"/>
      <c r="H25" s="24">
        <v>0.05</v>
      </c>
      <c r="I25" s="24">
        <f>I24*H25</f>
        <v>67114.286000000007</v>
      </c>
    </row>
    <row r="26" spans="2:9" s="201" customFormat="1" ht="12">
      <c r="B26" s="365" t="s">
        <v>73</v>
      </c>
      <c r="C26" s="365"/>
      <c r="D26" s="365"/>
      <c r="E26" s="365"/>
      <c r="F26" s="365"/>
      <c r="G26" s="365"/>
      <c r="H26" s="365"/>
      <c r="I26" s="202">
        <f>I24+I25</f>
        <v>1409400.0060000003</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32400</v>
      </c>
      <c r="H29" s="24">
        <f>E29*F29*G29</f>
        <v>32400</v>
      </c>
      <c r="I29" s="24">
        <f>H29</f>
        <v>32400</v>
      </c>
    </row>
    <row r="30" spans="2:9" s="201" customFormat="1" ht="12">
      <c r="B30" s="365" t="s">
        <v>2001</v>
      </c>
      <c r="C30" s="365"/>
      <c r="D30" s="365"/>
      <c r="E30" s="365"/>
      <c r="F30" s="365"/>
      <c r="G30" s="365"/>
      <c r="H30" s="365"/>
      <c r="I30" s="202">
        <f>SUM(I29:I29)</f>
        <v>32400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2235</v>
      </c>
      <c r="D33" s="368"/>
      <c r="E33" s="24">
        <v>3</v>
      </c>
      <c r="F33" s="24" t="s">
        <v>213</v>
      </c>
      <c r="G33" s="24">
        <v>21500</v>
      </c>
      <c r="H33" s="24">
        <f>E33*G33/I33</f>
        <v>0.3981481628943771</v>
      </c>
      <c r="I33" s="24">
        <f>1620000-I19-I26-I30-0</f>
        <v>161999.99399999972</v>
      </c>
    </row>
    <row r="34" spans="2:9" s="201" customFormat="1" ht="12">
      <c r="B34" s="365" t="s">
        <v>2001</v>
      </c>
      <c r="C34" s="365"/>
      <c r="D34" s="365"/>
      <c r="E34" s="365"/>
      <c r="F34" s="365"/>
      <c r="G34" s="365"/>
      <c r="H34" s="365"/>
      <c r="I34" s="202">
        <f>SUM(I33:I33)</f>
        <v>161999.99399999972</v>
      </c>
    </row>
    <row r="35" spans="2:9" s="201" customFormat="1" ht="12"/>
    <row r="36" spans="2:9" s="201" customFormat="1" ht="12">
      <c r="B36" s="369" t="s">
        <v>2026</v>
      </c>
      <c r="C36" s="369"/>
      <c r="D36" s="369"/>
      <c r="E36" s="369"/>
      <c r="F36" s="369"/>
      <c r="G36" s="369"/>
      <c r="H36" s="369"/>
      <c r="I36" s="202">
        <f>I19+I26+I30+I34</f>
        <v>1620000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0859-8F7D-4893-A921-015A0F73E351}">
  <dimension ref="B3:I37"/>
  <sheetViews>
    <sheetView zoomScale="70" zoomScaleNormal="70" workbookViewId="0">
      <selection activeCell="I14" sqref="I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1850</v>
      </c>
      <c r="C13" s="355" t="s">
        <v>2236</v>
      </c>
      <c r="D13" s="355"/>
      <c r="E13" s="355"/>
      <c r="F13" s="355"/>
      <c r="G13" s="286" t="s">
        <v>780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19740</v>
      </c>
      <c r="I18" s="24">
        <f>H18/F18</f>
        <v>19740</v>
      </c>
    </row>
    <row r="19" spans="2:9" s="201" customFormat="1" ht="12">
      <c r="B19" s="365" t="s">
        <v>2001</v>
      </c>
      <c r="C19" s="365"/>
      <c r="D19" s="365"/>
      <c r="E19" s="365"/>
      <c r="F19" s="365"/>
      <c r="G19" s="365"/>
      <c r="H19" s="365"/>
      <c r="I19" s="202">
        <f>SUM(I18:I18)</f>
        <v>19740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41.85" customHeight="1">
      <c r="B22" s="24" t="s">
        <v>2232</v>
      </c>
      <c r="C22" s="368" t="s">
        <v>2236</v>
      </c>
      <c r="D22" s="368"/>
      <c r="E22" s="24" t="s">
        <v>780</v>
      </c>
      <c r="F22" s="24">
        <v>1</v>
      </c>
      <c r="G22" s="24"/>
      <c r="H22" s="24">
        <v>1504752</v>
      </c>
      <c r="I22" s="24">
        <f>F22*H22</f>
        <v>1504752</v>
      </c>
    </row>
    <row r="23" spans="2:9" s="201" customFormat="1" ht="15" customHeight="1">
      <c r="B23" s="24" t="s">
        <v>2233</v>
      </c>
      <c r="C23" s="368" t="s">
        <v>2234</v>
      </c>
      <c r="D23" s="368"/>
      <c r="E23" s="24" t="s">
        <v>390</v>
      </c>
      <c r="F23" s="24">
        <v>1</v>
      </c>
      <c r="G23" s="24"/>
      <c r="H23" s="24">
        <v>130848</v>
      </c>
      <c r="I23" s="24">
        <f>F23*H23</f>
        <v>130848</v>
      </c>
    </row>
    <row r="24" spans="2:9" s="201" customFormat="1" ht="12">
      <c r="B24" s="365" t="s">
        <v>2001</v>
      </c>
      <c r="C24" s="365"/>
      <c r="D24" s="365"/>
      <c r="E24" s="365"/>
      <c r="F24" s="365"/>
      <c r="G24" s="365"/>
      <c r="H24" s="365"/>
      <c r="I24" s="202">
        <f>SUM(I22:I23)</f>
        <v>1635600</v>
      </c>
    </row>
    <row r="25" spans="2:9" s="201" customFormat="1" ht="12">
      <c r="B25" s="365" t="s">
        <v>1062</v>
      </c>
      <c r="C25" s="365"/>
      <c r="D25" s="365"/>
      <c r="E25" s="365"/>
      <c r="F25" s="365"/>
      <c r="G25" s="365"/>
      <c r="H25" s="24">
        <v>0.05</v>
      </c>
      <c r="I25" s="24">
        <f>I24*H25</f>
        <v>81780</v>
      </c>
    </row>
    <row r="26" spans="2:9" s="201" customFormat="1" ht="12">
      <c r="B26" s="365" t="s">
        <v>73</v>
      </c>
      <c r="C26" s="365"/>
      <c r="D26" s="365"/>
      <c r="E26" s="365"/>
      <c r="F26" s="365"/>
      <c r="G26" s="365"/>
      <c r="H26" s="365"/>
      <c r="I26" s="202">
        <f>I24+I25</f>
        <v>1717380</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39480</v>
      </c>
      <c r="H29" s="24">
        <f>E29*F29*G29</f>
        <v>39480</v>
      </c>
      <c r="I29" s="24">
        <f>H29</f>
        <v>39480</v>
      </c>
    </row>
    <row r="30" spans="2:9" s="201" customFormat="1" ht="12">
      <c r="B30" s="365" t="s">
        <v>2001</v>
      </c>
      <c r="C30" s="365"/>
      <c r="D30" s="365"/>
      <c r="E30" s="365"/>
      <c r="F30" s="365"/>
      <c r="G30" s="365"/>
      <c r="H30" s="365"/>
      <c r="I30" s="202">
        <f>SUM(I29:I29)</f>
        <v>39480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2235</v>
      </c>
      <c r="D33" s="368"/>
      <c r="E33" s="24">
        <v>3</v>
      </c>
      <c r="F33" s="24" t="s">
        <v>213</v>
      </c>
      <c r="G33" s="24">
        <v>21500</v>
      </c>
      <c r="H33" s="24">
        <f>E33*G33/I33</f>
        <v>0.32674772036474165</v>
      </c>
      <c r="I33" s="24">
        <f>1974000-I19-I26-I30-0</f>
        <v>197400</v>
      </c>
    </row>
    <row r="34" spans="2:9" s="201" customFormat="1" ht="12">
      <c r="B34" s="365" t="s">
        <v>2001</v>
      </c>
      <c r="C34" s="365"/>
      <c r="D34" s="365"/>
      <c r="E34" s="365"/>
      <c r="F34" s="365"/>
      <c r="G34" s="365"/>
      <c r="H34" s="365"/>
      <c r="I34" s="202">
        <f>SUM(I33:I33)</f>
        <v>197400</v>
      </c>
    </row>
    <row r="35" spans="2:9" s="201" customFormat="1" ht="12"/>
    <row r="36" spans="2:9" s="201" customFormat="1" ht="12">
      <c r="B36" s="369" t="s">
        <v>2026</v>
      </c>
      <c r="C36" s="369"/>
      <c r="D36" s="369"/>
      <c r="E36" s="369"/>
      <c r="F36" s="369"/>
      <c r="G36" s="369"/>
      <c r="H36" s="369"/>
      <c r="I36" s="202">
        <f>I19+I26+I30+I34</f>
        <v>1974000</v>
      </c>
    </row>
    <row r="37" spans="2:9" s="201" customFormat="1" ht="12"/>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E7B5-22A4-4767-B488-1DCA059AE527}">
  <dimension ref="B3:I36"/>
  <sheetViews>
    <sheetView topLeftCell="A4"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1852</v>
      </c>
      <c r="C13" s="355" t="s">
        <v>2237</v>
      </c>
      <c r="D13" s="355"/>
      <c r="E13" s="355"/>
      <c r="F13" s="355"/>
      <c r="G13" s="286" t="s">
        <v>780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660</v>
      </c>
      <c r="I18" s="24">
        <f>H18/F18</f>
        <v>660</v>
      </c>
    </row>
    <row r="19" spans="2:9" s="201" customFormat="1" ht="12">
      <c r="B19" s="365" t="s">
        <v>2001</v>
      </c>
      <c r="C19" s="365"/>
      <c r="D19" s="365"/>
      <c r="E19" s="365"/>
      <c r="F19" s="365"/>
      <c r="G19" s="365"/>
      <c r="H19" s="365"/>
      <c r="I19" s="202">
        <f>SUM(I18:I18)</f>
        <v>660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2238</v>
      </c>
      <c r="C22" s="368" t="s">
        <v>2237</v>
      </c>
      <c r="D22" s="368"/>
      <c r="E22" s="24" t="s">
        <v>780</v>
      </c>
      <c r="F22" s="24">
        <v>1</v>
      </c>
      <c r="G22" s="24"/>
      <c r="H22" s="24">
        <v>52800</v>
      </c>
      <c r="I22" s="24">
        <f>F22*H22</f>
        <v>52800</v>
      </c>
    </row>
    <row r="23" spans="2:9" s="201" customFormat="1" ht="12">
      <c r="B23" s="365" t="s">
        <v>2001</v>
      </c>
      <c r="C23" s="365"/>
      <c r="D23" s="365"/>
      <c r="E23" s="365"/>
      <c r="F23" s="365"/>
      <c r="G23" s="365"/>
      <c r="H23" s="365"/>
      <c r="I23" s="202">
        <f>SUM(I22:I22)</f>
        <v>52800</v>
      </c>
    </row>
    <row r="24" spans="2:9" s="201" customFormat="1" ht="12">
      <c r="B24" s="365" t="s">
        <v>1062</v>
      </c>
      <c r="C24" s="365"/>
      <c r="D24" s="365"/>
      <c r="E24" s="365"/>
      <c r="F24" s="365"/>
      <c r="G24" s="365"/>
      <c r="H24" s="24">
        <v>0.05</v>
      </c>
      <c r="I24" s="24">
        <f>I23*H24</f>
        <v>2640</v>
      </c>
    </row>
    <row r="25" spans="2:9" s="201" customFormat="1" ht="12">
      <c r="B25" s="365" t="s">
        <v>73</v>
      </c>
      <c r="C25" s="365"/>
      <c r="D25" s="365"/>
      <c r="E25" s="365"/>
      <c r="F25" s="365"/>
      <c r="G25" s="365"/>
      <c r="H25" s="365"/>
      <c r="I25" s="202">
        <f>I23+I24</f>
        <v>55440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2239</v>
      </c>
      <c r="D32" s="368"/>
      <c r="E32" s="24">
        <v>0.4</v>
      </c>
      <c r="F32" s="24" t="s">
        <v>213</v>
      </c>
      <c r="G32" s="24">
        <v>13500</v>
      </c>
      <c r="H32" s="24">
        <f>E32*G32/I32</f>
        <v>0.54545454545454541</v>
      </c>
      <c r="I32" s="24">
        <f>66000-I19-I25-I29-0</f>
        <v>9900</v>
      </c>
    </row>
    <row r="33" spans="2:9" s="201" customFormat="1" ht="12">
      <c r="B33" s="365" t="s">
        <v>2001</v>
      </c>
      <c r="C33" s="365"/>
      <c r="D33" s="365"/>
      <c r="E33" s="365"/>
      <c r="F33" s="365"/>
      <c r="G33" s="365"/>
      <c r="H33" s="365"/>
      <c r="I33" s="202">
        <f>SUM(I32:I32)</f>
        <v>9900</v>
      </c>
    </row>
    <row r="34" spans="2:9" s="201" customFormat="1" ht="12"/>
    <row r="35" spans="2:9" s="201" customFormat="1" ht="12">
      <c r="B35" s="369" t="s">
        <v>2026</v>
      </c>
      <c r="C35" s="369"/>
      <c r="D35" s="369"/>
      <c r="E35" s="369"/>
      <c r="F35" s="369"/>
      <c r="G35" s="369"/>
      <c r="H35" s="369"/>
      <c r="I35" s="202">
        <f>I19+I25+I29+I33</f>
        <v>66000</v>
      </c>
    </row>
    <row r="36" spans="2:9" s="201" customFormat="1" ht="12"/>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0C5B1-1FF1-46D0-9298-A02AB93F19BC}">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1853</v>
      </c>
      <c r="C13" s="355" t="s">
        <v>1854</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660</v>
      </c>
      <c r="I18" s="24">
        <f>H18/F18</f>
        <v>660</v>
      </c>
    </row>
    <row r="19" spans="2:9" s="201" customFormat="1" ht="12">
      <c r="B19" s="365" t="s">
        <v>2001</v>
      </c>
      <c r="C19" s="365"/>
      <c r="D19" s="365"/>
      <c r="E19" s="365"/>
      <c r="F19" s="365"/>
      <c r="G19" s="365"/>
      <c r="H19" s="365"/>
      <c r="I19" s="202">
        <f>SUM(I18:I18)</f>
        <v>660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2238</v>
      </c>
      <c r="C22" s="368" t="s">
        <v>1854</v>
      </c>
      <c r="D22" s="368"/>
      <c r="E22" s="24" t="s">
        <v>780</v>
      </c>
      <c r="F22" s="24">
        <v>1</v>
      </c>
      <c r="G22" s="24"/>
      <c r="H22" s="24">
        <v>52800</v>
      </c>
      <c r="I22" s="24">
        <f>F22*H22</f>
        <v>52800</v>
      </c>
    </row>
    <row r="23" spans="2:9" s="201" customFormat="1" ht="12">
      <c r="B23" s="365" t="s">
        <v>2001</v>
      </c>
      <c r="C23" s="365"/>
      <c r="D23" s="365"/>
      <c r="E23" s="365"/>
      <c r="F23" s="365"/>
      <c r="G23" s="365"/>
      <c r="H23" s="365"/>
      <c r="I23" s="202">
        <f>SUM(I22:I22)</f>
        <v>52800</v>
      </c>
    </row>
    <row r="24" spans="2:9" s="201" customFormat="1" ht="12">
      <c r="B24" s="365" t="s">
        <v>1062</v>
      </c>
      <c r="C24" s="365"/>
      <c r="D24" s="365"/>
      <c r="E24" s="365"/>
      <c r="F24" s="365"/>
      <c r="G24" s="365"/>
      <c r="H24" s="24">
        <v>0.05</v>
      </c>
      <c r="I24" s="24">
        <f>I23*H24</f>
        <v>2640</v>
      </c>
    </row>
    <row r="25" spans="2:9" s="201" customFormat="1" ht="12">
      <c r="B25" s="365" t="s">
        <v>73</v>
      </c>
      <c r="C25" s="365"/>
      <c r="D25" s="365"/>
      <c r="E25" s="365"/>
      <c r="F25" s="365"/>
      <c r="G25" s="365"/>
      <c r="H25" s="365"/>
      <c r="I25" s="202">
        <f>I23+I24</f>
        <v>55440</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c r="C28" s="24"/>
      <c r="D28" s="24"/>
      <c r="E28" s="24"/>
      <c r="F28" s="24"/>
      <c r="G28" s="24"/>
      <c r="H28" s="24"/>
      <c r="I28" s="24"/>
    </row>
    <row r="29" spans="2:9" s="201" customFormat="1" ht="12">
      <c r="B29" s="365" t="s">
        <v>2001</v>
      </c>
      <c r="C29" s="365"/>
      <c r="D29" s="365"/>
      <c r="E29" s="365"/>
      <c r="F29" s="365"/>
      <c r="G29" s="365"/>
      <c r="H29" s="365"/>
      <c r="I29" s="202">
        <f>SUM(I28:I28)</f>
        <v>0</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15" customHeight="1">
      <c r="B32" s="24" t="s">
        <v>2022</v>
      </c>
      <c r="C32" s="368" t="s">
        <v>2239</v>
      </c>
      <c r="D32" s="368"/>
      <c r="E32" s="24">
        <v>0.4</v>
      </c>
      <c r="F32" s="24" t="s">
        <v>213</v>
      </c>
      <c r="G32" s="24">
        <v>13500</v>
      </c>
      <c r="H32" s="24">
        <f>E32*G32/I32</f>
        <v>0.54545454545454541</v>
      </c>
      <c r="I32" s="24">
        <f>66000-I19-I25-I29-0</f>
        <v>9900</v>
      </c>
    </row>
    <row r="33" spans="2:9" s="201" customFormat="1" ht="12">
      <c r="B33" s="365" t="s">
        <v>2001</v>
      </c>
      <c r="C33" s="365"/>
      <c r="D33" s="365"/>
      <c r="E33" s="365"/>
      <c r="F33" s="365"/>
      <c r="G33" s="365"/>
      <c r="H33" s="365"/>
      <c r="I33" s="202">
        <f>SUM(I32:I32)</f>
        <v>9900</v>
      </c>
    </row>
    <row r="34" spans="2:9" s="201" customFormat="1" ht="12"/>
    <row r="35" spans="2:9" s="201" customFormat="1" ht="12">
      <c r="B35" s="369" t="s">
        <v>2026</v>
      </c>
      <c r="C35" s="369"/>
      <c r="D35" s="369"/>
      <c r="E35" s="369"/>
      <c r="F35" s="369"/>
      <c r="G35" s="369"/>
      <c r="H35" s="369"/>
      <c r="I35" s="202">
        <f>I19+I25+I29+I33</f>
        <v>66000</v>
      </c>
    </row>
    <row r="36" spans="2:9" s="201" customFormat="1" ht="12"/>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EFE8D-7DE0-4719-9CDC-1929327D4DE7}">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1855</v>
      </c>
      <c r="C13" s="355" t="s">
        <v>1856</v>
      </c>
      <c r="D13" s="355"/>
      <c r="E13" s="355"/>
      <c r="F13" s="355"/>
      <c r="G13" s="286" t="s">
        <v>1000</v>
      </c>
      <c r="H13" s="286"/>
      <c r="I13" s="114">
        <v>10</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372</v>
      </c>
      <c r="I18" s="24">
        <f>H18/F18</f>
        <v>372</v>
      </c>
    </row>
    <row r="19" spans="2:9" s="201" customFormat="1" ht="12">
      <c r="B19" s="365" t="s">
        <v>2001</v>
      </c>
      <c r="C19" s="365"/>
      <c r="D19" s="365"/>
      <c r="E19" s="365"/>
      <c r="F19" s="365"/>
      <c r="G19" s="365"/>
      <c r="H19" s="365"/>
      <c r="I19" s="202">
        <f>SUM(I18:I18)</f>
        <v>372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2240</v>
      </c>
      <c r="C22" s="368" t="s">
        <v>2241</v>
      </c>
      <c r="D22" s="368"/>
      <c r="E22" s="24" t="s">
        <v>390</v>
      </c>
      <c r="F22" s="24">
        <v>0.15</v>
      </c>
      <c r="G22" s="24"/>
      <c r="H22" s="24">
        <v>53142.86</v>
      </c>
      <c r="I22" s="24">
        <f>F22*H22</f>
        <v>7971.4290000000001</v>
      </c>
    </row>
    <row r="23" spans="2:9" s="201" customFormat="1" ht="12">
      <c r="B23" s="365" t="s">
        <v>2001</v>
      </c>
      <c r="C23" s="365"/>
      <c r="D23" s="365"/>
      <c r="E23" s="365"/>
      <c r="F23" s="365"/>
      <c r="G23" s="365"/>
      <c r="H23" s="365"/>
      <c r="I23" s="202">
        <f>SUM(I22:I22)</f>
        <v>7971.4290000000001</v>
      </c>
    </row>
    <row r="24" spans="2:9" s="201" customFormat="1" ht="12">
      <c r="B24" s="365" t="s">
        <v>1062</v>
      </c>
      <c r="C24" s="365"/>
      <c r="D24" s="365"/>
      <c r="E24" s="365"/>
      <c r="F24" s="365"/>
      <c r="G24" s="365"/>
      <c r="H24" s="24">
        <v>0.05</v>
      </c>
      <c r="I24" s="24">
        <f>I23*H24</f>
        <v>398.57145000000003</v>
      </c>
    </row>
    <row r="25" spans="2:9" s="201" customFormat="1" ht="12">
      <c r="B25" s="365" t="s">
        <v>73</v>
      </c>
      <c r="C25" s="365"/>
      <c r="D25" s="365"/>
      <c r="E25" s="365"/>
      <c r="F25" s="365"/>
      <c r="G25" s="365"/>
      <c r="H25" s="365"/>
      <c r="I25" s="202">
        <f>I23+I24</f>
        <v>8370.0004499999995</v>
      </c>
    </row>
    <row r="26" spans="2:9" s="201" customFormat="1" ht="15" customHeight="1">
      <c r="B26" s="367" t="s">
        <v>2016</v>
      </c>
      <c r="C26" s="367"/>
      <c r="D26" s="367"/>
      <c r="E26" s="367"/>
      <c r="F26" s="367"/>
      <c r="G26" s="367"/>
      <c r="H26" s="367"/>
      <c r="I26" s="367"/>
    </row>
    <row r="27" spans="2:9" s="201" customFormat="1" ht="12">
      <c r="B27" s="202" t="s">
        <v>42</v>
      </c>
      <c r="C27" s="202" t="s">
        <v>58</v>
      </c>
      <c r="D27" s="202" t="s">
        <v>136</v>
      </c>
      <c r="E27" s="202" t="s">
        <v>0</v>
      </c>
      <c r="F27" s="202" t="s">
        <v>2017</v>
      </c>
      <c r="G27" s="202" t="s">
        <v>345</v>
      </c>
      <c r="H27" s="202" t="s">
        <v>61</v>
      </c>
      <c r="I27" s="202" t="s">
        <v>79</v>
      </c>
    </row>
    <row r="28" spans="2:9" s="201" customFormat="1" ht="12">
      <c r="B28" s="24" t="s">
        <v>2018</v>
      </c>
      <c r="C28" s="203" t="s">
        <v>2242</v>
      </c>
      <c r="D28" s="24" t="s">
        <v>390</v>
      </c>
      <c r="E28" s="24">
        <v>1</v>
      </c>
      <c r="F28" s="24">
        <v>1</v>
      </c>
      <c r="G28" s="24">
        <v>372</v>
      </c>
      <c r="H28" s="24">
        <f>E28*F28*G28</f>
        <v>372</v>
      </c>
      <c r="I28" s="24">
        <f>H28</f>
        <v>372</v>
      </c>
    </row>
    <row r="29" spans="2:9" s="201" customFormat="1" ht="12">
      <c r="B29" s="365" t="s">
        <v>2001</v>
      </c>
      <c r="C29" s="365"/>
      <c r="D29" s="365"/>
      <c r="E29" s="365"/>
      <c r="F29" s="365"/>
      <c r="G29" s="365"/>
      <c r="H29" s="365"/>
      <c r="I29" s="202">
        <f>SUM(I28:I28)</f>
        <v>372</v>
      </c>
    </row>
    <row r="30" spans="2:9" s="201" customFormat="1" ht="15" customHeight="1">
      <c r="B30" s="367" t="s">
        <v>2020</v>
      </c>
      <c r="C30" s="367"/>
      <c r="D30" s="367"/>
      <c r="E30" s="367"/>
      <c r="F30" s="367"/>
      <c r="G30" s="367"/>
      <c r="H30" s="367"/>
      <c r="I30" s="367"/>
    </row>
    <row r="31" spans="2:9" s="201" customFormat="1" ht="28.35" customHeight="1">
      <c r="B31" s="202" t="s">
        <v>42</v>
      </c>
      <c r="C31" s="367" t="s">
        <v>84</v>
      </c>
      <c r="D31" s="367"/>
      <c r="E31" s="202" t="s">
        <v>2021</v>
      </c>
      <c r="F31" s="202" t="s">
        <v>1</v>
      </c>
      <c r="G31" s="202" t="s">
        <v>77</v>
      </c>
      <c r="H31" s="202" t="s">
        <v>78</v>
      </c>
      <c r="I31" s="202" t="s">
        <v>79</v>
      </c>
    </row>
    <row r="32" spans="2:9" s="201" customFormat="1" ht="28.35" customHeight="1">
      <c r="B32" s="24" t="s">
        <v>2022</v>
      </c>
      <c r="C32" s="368" t="s">
        <v>2243</v>
      </c>
      <c r="D32" s="368"/>
      <c r="E32" s="24">
        <v>0.3</v>
      </c>
      <c r="F32" s="24" t="s">
        <v>213</v>
      </c>
      <c r="G32" s="24">
        <v>19000</v>
      </c>
      <c r="H32" s="24">
        <f>E32*G32/I32</f>
        <v>0.60088554400152794</v>
      </c>
      <c r="I32" s="24">
        <f>18600-I19-I25-I29-0</f>
        <v>9485.9995500000005</v>
      </c>
    </row>
    <row r="33" spans="2:9" s="201" customFormat="1" ht="12">
      <c r="B33" s="365" t="s">
        <v>2001</v>
      </c>
      <c r="C33" s="365"/>
      <c r="D33" s="365"/>
      <c r="E33" s="365"/>
      <c r="F33" s="365"/>
      <c r="G33" s="365"/>
      <c r="H33" s="365"/>
      <c r="I33" s="202">
        <f>SUM(I32:I32)</f>
        <v>9485.9995500000005</v>
      </c>
    </row>
    <row r="34" spans="2:9" s="201" customFormat="1" ht="12"/>
    <row r="35" spans="2:9" s="201" customFormat="1" ht="12">
      <c r="B35" s="369" t="s">
        <v>2026</v>
      </c>
      <c r="C35" s="369"/>
      <c r="D35" s="369"/>
      <c r="E35" s="369"/>
      <c r="F35" s="369"/>
      <c r="G35" s="369"/>
      <c r="H35" s="369"/>
      <c r="I35" s="202">
        <f>I19+I25+I29+I33</f>
        <v>18600</v>
      </c>
    </row>
    <row r="36" spans="2:9" s="201" customFormat="1" ht="12"/>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9:H29"/>
    <mergeCell ref="B16:I16"/>
    <mergeCell ref="C17:D17"/>
    <mergeCell ref="C18:D18"/>
    <mergeCell ref="B19:H19"/>
    <mergeCell ref="B20:I20"/>
    <mergeCell ref="C21:D21"/>
    <mergeCell ref="C22:D22"/>
    <mergeCell ref="B23:H23"/>
    <mergeCell ref="B24:G24"/>
    <mergeCell ref="B25:H25"/>
    <mergeCell ref="B26:I26"/>
    <mergeCell ref="B30:I30"/>
    <mergeCell ref="C31:D31"/>
    <mergeCell ref="C32:D32"/>
    <mergeCell ref="B33:H33"/>
    <mergeCell ref="B35:H35"/>
  </mergeCells>
  <pageMargins left="0.7" right="0.7" top="0.75" bottom="0.75" header="0.3" footer="0.3"/>
  <drawing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19BAF-59E3-4F0A-AAA4-233CF829D579}">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1857</v>
      </c>
      <c r="C13" s="355" t="s">
        <v>1858</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5520</v>
      </c>
      <c r="I18" s="24">
        <f>H18/F18</f>
        <v>5520</v>
      </c>
    </row>
    <row r="19" spans="2:9" s="201" customFormat="1" ht="28.35" customHeight="1">
      <c r="B19" s="24" t="s">
        <v>2118</v>
      </c>
      <c r="C19" s="368" t="s">
        <v>2244</v>
      </c>
      <c r="D19" s="368"/>
      <c r="E19" s="24" t="s">
        <v>390</v>
      </c>
      <c r="F19" s="24">
        <v>1</v>
      </c>
      <c r="G19" s="24"/>
      <c r="H19" s="24">
        <v>60720</v>
      </c>
      <c r="I19" s="24">
        <f>H19/F19</f>
        <v>60720</v>
      </c>
    </row>
    <row r="20" spans="2:9" s="201" customFormat="1" ht="12">
      <c r="B20" s="365" t="s">
        <v>2001</v>
      </c>
      <c r="C20" s="365"/>
      <c r="D20" s="365"/>
      <c r="E20" s="365"/>
      <c r="F20" s="365"/>
      <c r="G20" s="365"/>
      <c r="H20" s="365"/>
      <c r="I20" s="202">
        <f>SUM(I18:I19)</f>
        <v>66240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2245</v>
      </c>
      <c r="C23" s="368" t="s">
        <v>2199</v>
      </c>
      <c r="D23" s="368"/>
      <c r="E23" s="24" t="s">
        <v>390</v>
      </c>
      <c r="F23" s="24">
        <v>1</v>
      </c>
      <c r="G23" s="24"/>
      <c r="H23" s="24">
        <v>16560</v>
      </c>
      <c r="I23" s="24">
        <f>F23*H23</f>
        <v>16560</v>
      </c>
    </row>
    <row r="24" spans="2:9" s="201" customFormat="1" ht="12">
      <c r="B24" s="365" t="s">
        <v>2001</v>
      </c>
      <c r="C24" s="365"/>
      <c r="D24" s="365"/>
      <c r="E24" s="365"/>
      <c r="F24" s="365"/>
      <c r="G24" s="365"/>
      <c r="H24" s="365"/>
      <c r="I24" s="202">
        <f>SUM(I23:I23)</f>
        <v>16560</v>
      </c>
    </row>
    <row r="25" spans="2:9" s="201" customFormat="1" ht="12">
      <c r="B25" s="365" t="s">
        <v>1062</v>
      </c>
      <c r="C25" s="365"/>
      <c r="D25" s="365"/>
      <c r="E25" s="365"/>
      <c r="F25" s="365"/>
      <c r="G25" s="365"/>
      <c r="H25" s="24">
        <v>0.05</v>
      </c>
      <c r="I25" s="24">
        <f>I24*H25</f>
        <v>828</v>
      </c>
    </row>
    <row r="26" spans="2:9" s="201" customFormat="1" ht="12">
      <c r="B26" s="365" t="s">
        <v>73</v>
      </c>
      <c r="C26" s="365"/>
      <c r="D26" s="365"/>
      <c r="E26" s="365"/>
      <c r="F26" s="365"/>
      <c r="G26" s="365"/>
      <c r="H26" s="365"/>
      <c r="I26" s="202">
        <f>I24+I25</f>
        <v>17388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c r="C29" s="24"/>
      <c r="D29" s="24"/>
      <c r="E29" s="24"/>
      <c r="F29" s="24"/>
      <c r="G29" s="24"/>
      <c r="H29" s="24"/>
      <c r="I29" s="24"/>
    </row>
    <row r="30" spans="2:9" s="201" customFormat="1" ht="12">
      <c r="B30" s="365" t="s">
        <v>2001</v>
      </c>
      <c r="C30" s="365"/>
      <c r="D30" s="365"/>
      <c r="E30" s="365"/>
      <c r="F30" s="365"/>
      <c r="G30" s="365"/>
      <c r="H30" s="365"/>
      <c r="I30" s="202">
        <f>SUM(I29:I29)</f>
        <v>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2246</v>
      </c>
      <c r="D33" s="368"/>
      <c r="E33" s="24">
        <v>5</v>
      </c>
      <c r="F33" s="24" t="s">
        <v>213</v>
      </c>
      <c r="G33" s="24">
        <v>21500</v>
      </c>
      <c r="H33" s="24">
        <f>E33*G33/I33</f>
        <v>0.5588131328883621</v>
      </c>
      <c r="I33" s="24">
        <f>276000-I20-I26-I30-0</f>
        <v>192372</v>
      </c>
    </row>
    <row r="34" spans="2:9" s="201" customFormat="1" ht="12">
      <c r="B34" s="365" t="s">
        <v>2001</v>
      </c>
      <c r="C34" s="365"/>
      <c r="D34" s="365"/>
      <c r="E34" s="365"/>
      <c r="F34" s="365"/>
      <c r="G34" s="365"/>
      <c r="H34" s="365"/>
      <c r="I34" s="202">
        <f>SUM(I33:I33)</f>
        <v>192372</v>
      </c>
    </row>
    <row r="35" spans="2:9" s="201" customFormat="1" ht="12"/>
    <row r="36" spans="2:9" s="201" customFormat="1" ht="12">
      <c r="B36" s="369" t="s">
        <v>2026</v>
      </c>
      <c r="C36" s="369"/>
      <c r="D36" s="369"/>
      <c r="E36" s="369"/>
      <c r="F36" s="369"/>
      <c r="G36" s="369"/>
      <c r="H36" s="369"/>
      <c r="I36" s="202">
        <f>I20+I26+I30+I34</f>
        <v>276000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B21:I21"/>
    <mergeCell ref="C13:F13"/>
    <mergeCell ref="G13:H13"/>
    <mergeCell ref="C14:E14"/>
    <mergeCell ref="F14:H14"/>
    <mergeCell ref="C15:E15"/>
    <mergeCell ref="F15:H15"/>
    <mergeCell ref="B16:I16"/>
    <mergeCell ref="C17:D17"/>
    <mergeCell ref="C18:D18"/>
    <mergeCell ref="C19:D19"/>
    <mergeCell ref="B20:H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46570-5D79-47F4-A0E3-78A461B062D0}">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1859</v>
      </c>
      <c r="C13" s="355" t="s">
        <v>2247</v>
      </c>
      <c r="D13" s="355"/>
      <c r="E13" s="355"/>
      <c r="F13" s="355"/>
      <c r="G13" s="286" t="s">
        <v>780</v>
      </c>
      <c r="H13" s="286"/>
      <c r="I13" s="114">
        <v>6</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3582</v>
      </c>
      <c r="I18" s="24">
        <f>H18/F18</f>
        <v>3582</v>
      </c>
    </row>
    <row r="19" spans="2:9" s="201" customFormat="1" ht="12">
      <c r="B19" s="365" t="s">
        <v>2001</v>
      </c>
      <c r="C19" s="365"/>
      <c r="D19" s="365"/>
      <c r="E19" s="365"/>
      <c r="F19" s="365"/>
      <c r="G19" s="365"/>
      <c r="H19" s="365"/>
      <c r="I19" s="202">
        <f>SUM(I18:I18)</f>
        <v>3582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2248</v>
      </c>
      <c r="C22" s="368" t="s">
        <v>2249</v>
      </c>
      <c r="D22" s="368"/>
      <c r="E22" s="24" t="s">
        <v>780</v>
      </c>
      <c r="F22" s="24">
        <v>1</v>
      </c>
      <c r="G22" s="24"/>
      <c r="H22" s="24">
        <v>269673.43</v>
      </c>
      <c r="I22" s="24">
        <f>F22*H22</f>
        <v>269673.43</v>
      </c>
    </row>
    <row r="23" spans="2:9" s="201" customFormat="1" ht="15" customHeight="1">
      <c r="B23" s="24" t="s">
        <v>2250</v>
      </c>
      <c r="C23" s="368" t="s">
        <v>2251</v>
      </c>
      <c r="D23" s="368"/>
      <c r="E23" s="24" t="s">
        <v>390</v>
      </c>
      <c r="F23" s="24">
        <v>1</v>
      </c>
      <c r="G23" s="24"/>
      <c r="H23" s="24">
        <v>20298</v>
      </c>
      <c r="I23" s="24">
        <f>F23*H23</f>
        <v>20298</v>
      </c>
    </row>
    <row r="24" spans="2:9" s="201" customFormat="1" ht="12">
      <c r="B24" s="365" t="s">
        <v>2001</v>
      </c>
      <c r="C24" s="365"/>
      <c r="D24" s="365"/>
      <c r="E24" s="365"/>
      <c r="F24" s="365"/>
      <c r="G24" s="365"/>
      <c r="H24" s="365"/>
      <c r="I24" s="202">
        <f>SUM(I22:I23)</f>
        <v>289971.43</v>
      </c>
    </row>
    <row r="25" spans="2:9" s="201" customFormat="1" ht="12">
      <c r="B25" s="365" t="s">
        <v>1062</v>
      </c>
      <c r="C25" s="365"/>
      <c r="D25" s="365"/>
      <c r="E25" s="365"/>
      <c r="F25" s="365"/>
      <c r="G25" s="365"/>
      <c r="H25" s="24">
        <v>0.05</v>
      </c>
      <c r="I25" s="24">
        <f>I24*H25</f>
        <v>14498.5715</v>
      </c>
    </row>
    <row r="26" spans="2:9" s="201" customFormat="1" ht="12">
      <c r="B26" s="365" t="s">
        <v>73</v>
      </c>
      <c r="C26" s="365"/>
      <c r="D26" s="365"/>
      <c r="E26" s="365"/>
      <c r="F26" s="365"/>
      <c r="G26" s="365"/>
      <c r="H26" s="365"/>
      <c r="I26" s="202">
        <f>I24+I25</f>
        <v>304470.00150000001</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2252</v>
      </c>
      <c r="D29" s="24" t="s">
        <v>390</v>
      </c>
      <c r="E29" s="24">
        <v>1</v>
      </c>
      <c r="F29" s="24">
        <v>1</v>
      </c>
      <c r="G29" s="24">
        <v>7164</v>
      </c>
      <c r="H29" s="24">
        <f>E29*F29*G29</f>
        <v>7164</v>
      </c>
      <c r="I29" s="24">
        <f>H29</f>
        <v>7164</v>
      </c>
    </row>
    <row r="30" spans="2:9" s="201" customFormat="1" ht="12">
      <c r="B30" s="365" t="s">
        <v>2001</v>
      </c>
      <c r="C30" s="365"/>
      <c r="D30" s="365"/>
      <c r="E30" s="365"/>
      <c r="F30" s="365"/>
      <c r="G30" s="365"/>
      <c r="H30" s="365"/>
      <c r="I30" s="202">
        <f>SUM(I29:I29)</f>
        <v>7164</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2253</v>
      </c>
      <c r="D33" s="368"/>
      <c r="E33" s="24">
        <v>1</v>
      </c>
      <c r="F33" s="24" t="s">
        <v>213</v>
      </c>
      <c r="G33" s="24">
        <v>13500</v>
      </c>
      <c r="H33" s="24">
        <f>E33*G33/I33</f>
        <v>0.31407036271881511</v>
      </c>
      <c r="I33" s="24">
        <f>358200-I19-I26-I30-0</f>
        <v>42983.998499999987</v>
      </c>
    </row>
    <row r="34" spans="2:9" s="201" customFormat="1" ht="12">
      <c r="B34" s="365" t="s">
        <v>2001</v>
      </c>
      <c r="C34" s="365"/>
      <c r="D34" s="365"/>
      <c r="E34" s="365"/>
      <c r="F34" s="365"/>
      <c r="G34" s="365"/>
      <c r="H34" s="365"/>
      <c r="I34" s="202">
        <f>SUM(I33:I33)</f>
        <v>42983.998499999987</v>
      </c>
    </row>
    <row r="35" spans="2:9" s="201" customFormat="1" ht="12"/>
    <row r="36" spans="2:9" s="201" customFormat="1" ht="12">
      <c r="B36" s="369" t="s">
        <v>2026</v>
      </c>
      <c r="C36" s="369"/>
      <c r="D36" s="369"/>
      <c r="E36" s="369"/>
      <c r="F36" s="369"/>
      <c r="G36" s="369"/>
      <c r="H36" s="369"/>
      <c r="I36" s="202">
        <f>I19+I26+I30+I34</f>
        <v>358200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6630-B1A6-4D3C-BAF1-2B4BEB44B17C}">
  <sheetPr codeName="Hoja5"/>
  <dimension ref="C2:F87"/>
  <sheetViews>
    <sheetView workbookViewId="0">
      <selection activeCell="D16" sqref="D16"/>
    </sheetView>
  </sheetViews>
  <sheetFormatPr baseColWidth="10" defaultColWidth="11.3984375" defaultRowHeight="11.4"/>
  <cols>
    <col min="1" max="2" width="11.3984375" style="11"/>
    <col min="3" max="3" width="10" style="11" customWidth="1"/>
    <col min="4" max="4" width="49.09765625" style="11" bestFit="1" customWidth="1"/>
    <col min="5" max="5" width="9.8984375" style="11" customWidth="1"/>
    <col min="6" max="6" width="18.3984375" style="11" customWidth="1"/>
    <col min="7" max="9" width="11.3984375" style="11"/>
    <col min="10" max="10" width="13.296875" style="11" bestFit="1" customWidth="1"/>
    <col min="11" max="16384" width="11.3984375" style="11"/>
  </cols>
  <sheetData>
    <row r="2" spans="3:6" ht="12.75" thickBot="1"/>
    <row r="3" spans="3:6" ht="0.75" customHeight="1" thickBot="1">
      <c r="F3" s="61"/>
    </row>
    <row r="4" spans="3:6" ht="48" customHeight="1" thickBot="1">
      <c r="C4" s="62"/>
      <c r="D4" s="255" t="s">
        <v>41</v>
      </c>
      <c r="E4" s="252"/>
      <c r="F4" s="257"/>
    </row>
    <row r="5" spans="3:6" ht="12">
      <c r="C5" s="16"/>
      <c r="D5" s="16"/>
      <c r="E5" s="16"/>
      <c r="F5" s="41"/>
    </row>
    <row r="6" spans="3:6" ht="12">
      <c r="C6" s="63" t="s">
        <v>42</v>
      </c>
      <c r="D6" s="59" t="s">
        <v>54</v>
      </c>
      <c r="E6" s="59" t="s">
        <v>1</v>
      </c>
      <c r="F6" s="64" t="s">
        <v>44</v>
      </c>
    </row>
    <row r="7" spans="3:6" ht="12">
      <c r="C7" s="20" t="s">
        <v>198</v>
      </c>
      <c r="D7" s="17" t="s">
        <v>212</v>
      </c>
      <c r="E7" s="17" t="s">
        <v>213</v>
      </c>
      <c r="F7" s="65">
        <v>145000</v>
      </c>
    </row>
    <row r="8" spans="3:6" ht="12">
      <c r="C8" s="20" t="s">
        <v>182</v>
      </c>
      <c r="D8" s="17" t="s">
        <v>214</v>
      </c>
      <c r="E8" s="17" t="s">
        <v>215</v>
      </c>
      <c r="F8" s="65">
        <v>50000</v>
      </c>
    </row>
    <row r="9" spans="3:6">
      <c r="C9" s="20" t="s">
        <v>172</v>
      </c>
      <c r="D9" s="17" t="s">
        <v>216</v>
      </c>
      <c r="E9" s="17" t="s">
        <v>81</v>
      </c>
      <c r="F9" s="65">
        <v>1250</v>
      </c>
    </row>
    <row r="10" spans="3:6">
      <c r="C10" s="20" t="s">
        <v>217</v>
      </c>
      <c r="D10" s="17" t="s">
        <v>218</v>
      </c>
      <c r="E10" s="17" t="s">
        <v>81</v>
      </c>
      <c r="F10" s="65">
        <v>300</v>
      </c>
    </row>
    <row r="11" spans="3:6">
      <c r="C11" s="20" t="s">
        <v>219</v>
      </c>
      <c r="D11" s="17" t="s">
        <v>220</v>
      </c>
      <c r="E11" s="17" t="s">
        <v>81</v>
      </c>
      <c r="F11" s="65">
        <v>120000</v>
      </c>
    </row>
    <row r="12" spans="3:6" ht="12">
      <c r="C12" s="20" t="s">
        <v>221</v>
      </c>
      <c r="D12" s="17" t="s">
        <v>222</v>
      </c>
      <c r="E12" s="17" t="s">
        <v>213</v>
      </c>
      <c r="F12" s="65">
        <v>93750</v>
      </c>
    </row>
    <row r="13" spans="3:6" ht="12">
      <c r="C13" s="20" t="s">
        <v>223</v>
      </c>
      <c r="D13" s="17" t="s">
        <v>224</v>
      </c>
      <c r="E13" s="17" t="s">
        <v>213</v>
      </c>
      <c r="F13" s="65">
        <v>9550</v>
      </c>
    </row>
    <row r="14" spans="3:6">
      <c r="C14" s="20" t="s">
        <v>225</v>
      </c>
      <c r="D14" s="17" t="s">
        <v>226</v>
      </c>
      <c r="E14" s="17" t="s">
        <v>81</v>
      </c>
      <c r="F14" s="65">
        <v>90000</v>
      </c>
    </row>
    <row r="15" spans="3:6">
      <c r="C15" s="20" t="s">
        <v>174</v>
      </c>
      <c r="D15" s="17" t="s">
        <v>227</v>
      </c>
      <c r="E15" s="17" t="s">
        <v>81</v>
      </c>
      <c r="F15" s="65">
        <v>10000</v>
      </c>
    </row>
    <row r="16" spans="3:6" ht="12">
      <c r="C16" s="20" t="s">
        <v>228</v>
      </c>
      <c r="D16" s="17" t="s">
        <v>229</v>
      </c>
      <c r="E16" s="17" t="s">
        <v>136</v>
      </c>
      <c r="F16" s="65">
        <v>13959</v>
      </c>
    </row>
    <row r="17" spans="3:6">
      <c r="C17" s="20" t="s">
        <v>230</v>
      </c>
      <c r="D17" s="17" t="s">
        <v>231</v>
      </c>
      <c r="E17" s="17" t="s">
        <v>81</v>
      </c>
      <c r="F17" s="65">
        <v>1200</v>
      </c>
    </row>
    <row r="18" spans="3:6" ht="12">
      <c r="C18" s="20" t="s">
        <v>232</v>
      </c>
      <c r="D18" s="17" t="s">
        <v>233</v>
      </c>
      <c r="E18" s="17" t="s">
        <v>213</v>
      </c>
      <c r="F18" s="65">
        <v>179776</v>
      </c>
    </row>
    <row r="19" spans="3:6" ht="12">
      <c r="C19" s="20" t="s">
        <v>234</v>
      </c>
      <c r="D19" s="17" t="s">
        <v>1224</v>
      </c>
      <c r="E19" s="17" t="s">
        <v>251</v>
      </c>
      <c r="F19" s="65">
        <v>150000</v>
      </c>
    </row>
    <row r="20" spans="3:6">
      <c r="C20" s="20" t="s">
        <v>235</v>
      </c>
      <c r="D20" s="17" t="s">
        <v>236</v>
      </c>
      <c r="E20" s="17" t="s">
        <v>81</v>
      </c>
      <c r="F20" s="65">
        <v>55000</v>
      </c>
    </row>
    <row r="21" spans="3:6">
      <c r="C21" s="20" t="s">
        <v>173</v>
      </c>
      <c r="D21" s="17" t="s">
        <v>237</v>
      </c>
      <c r="E21" s="17" t="s">
        <v>81</v>
      </c>
      <c r="F21" s="65">
        <v>850</v>
      </c>
    </row>
    <row r="22" spans="3:6">
      <c r="C22" s="20" t="s">
        <v>238</v>
      </c>
      <c r="D22" s="17" t="s">
        <v>239</v>
      </c>
      <c r="E22" s="17" t="s">
        <v>81</v>
      </c>
      <c r="F22" s="65">
        <v>55200</v>
      </c>
    </row>
    <row r="23" spans="3:6">
      <c r="C23" s="20" t="s">
        <v>240</v>
      </c>
      <c r="D23" s="17" t="s">
        <v>241</v>
      </c>
      <c r="E23" s="17" t="s">
        <v>81</v>
      </c>
      <c r="F23" s="65">
        <v>41650</v>
      </c>
    </row>
    <row r="24" spans="3:6">
      <c r="C24" s="20" t="s">
        <v>242</v>
      </c>
      <c r="D24" s="17" t="s">
        <v>243</v>
      </c>
      <c r="E24" s="17" t="s">
        <v>81</v>
      </c>
      <c r="F24" s="65">
        <v>90000</v>
      </c>
    </row>
    <row r="25" spans="3:6" ht="12">
      <c r="C25" s="20" t="s">
        <v>192</v>
      </c>
      <c r="D25" s="17" t="s">
        <v>341</v>
      </c>
      <c r="E25" s="17" t="s">
        <v>1265</v>
      </c>
      <c r="F25" s="65">
        <v>1500</v>
      </c>
    </row>
    <row r="26" spans="3:6">
      <c r="C26" s="20" t="s">
        <v>244</v>
      </c>
      <c r="D26" s="17" t="s">
        <v>245</v>
      </c>
      <c r="E26" s="17" t="s">
        <v>81</v>
      </c>
      <c r="F26" s="65">
        <v>309</v>
      </c>
    </row>
    <row r="27" spans="3:6" ht="12">
      <c r="C27" s="20" t="s">
        <v>246</v>
      </c>
      <c r="D27" s="17" t="s">
        <v>247</v>
      </c>
      <c r="E27" s="17" t="s">
        <v>248</v>
      </c>
      <c r="F27" s="65">
        <v>13959</v>
      </c>
    </row>
    <row r="28" spans="3:6" ht="12">
      <c r="C28" s="20" t="s">
        <v>249</v>
      </c>
      <c r="D28" s="17" t="s">
        <v>250</v>
      </c>
      <c r="E28" s="17" t="s">
        <v>251</v>
      </c>
      <c r="F28" s="65">
        <v>74158</v>
      </c>
    </row>
    <row r="29" spans="3:6" ht="24">
      <c r="C29" s="20" t="s">
        <v>252</v>
      </c>
      <c r="D29" s="17" t="s">
        <v>253</v>
      </c>
      <c r="E29" s="17" t="s">
        <v>213</v>
      </c>
      <c r="F29" s="65">
        <v>8000</v>
      </c>
    </row>
    <row r="30" spans="3:6" ht="12">
      <c r="C30" s="20" t="s">
        <v>254</v>
      </c>
      <c r="D30" s="17" t="s">
        <v>255</v>
      </c>
      <c r="E30" s="17" t="s">
        <v>251</v>
      </c>
      <c r="F30" s="65">
        <v>75000</v>
      </c>
    </row>
    <row r="31" spans="3:6" ht="12">
      <c r="C31" s="20" t="s">
        <v>193</v>
      </c>
      <c r="D31" s="17" t="s">
        <v>256</v>
      </c>
      <c r="E31" s="17" t="s">
        <v>213</v>
      </c>
      <c r="F31" s="65">
        <v>150000</v>
      </c>
    </row>
    <row r="32" spans="3:6" ht="12">
      <c r="C32" s="20" t="s">
        <v>257</v>
      </c>
      <c r="D32" s="17" t="s">
        <v>258</v>
      </c>
      <c r="E32" s="17" t="s">
        <v>215</v>
      </c>
      <c r="F32" s="65">
        <v>53750</v>
      </c>
    </row>
    <row r="33" spans="3:6">
      <c r="C33" s="20" t="s">
        <v>259</v>
      </c>
      <c r="D33" s="17" t="s">
        <v>260</v>
      </c>
      <c r="E33" s="17" t="s">
        <v>213</v>
      </c>
      <c r="F33" s="65">
        <v>100000</v>
      </c>
    </row>
    <row r="34" spans="3:6">
      <c r="C34" s="20" t="s">
        <v>261</v>
      </c>
      <c r="D34" s="17" t="s">
        <v>262</v>
      </c>
      <c r="E34" s="17" t="s">
        <v>213</v>
      </c>
      <c r="F34" s="65">
        <v>165000</v>
      </c>
    </row>
    <row r="35" spans="3:6">
      <c r="C35" s="20" t="s">
        <v>186</v>
      </c>
      <c r="D35" s="17" t="s">
        <v>263</v>
      </c>
      <c r="E35" s="17" t="s">
        <v>213</v>
      </c>
      <c r="F35" s="65">
        <v>121380</v>
      </c>
    </row>
    <row r="36" spans="3:6">
      <c r="C36" s="20" t="s">
        <v>264</v>
      </c>
      <c r="D36" s="17" t="s">
        <v>265</v>
      </c>
      <c r="E36" s="17" t="s">
        <v>251</v>
      </c>
      <c r="F36" s="65">
        <v>50000</v>
      </c>
    </row>
    <row r="37" spans="3:6">
      <c r="C37" s="20" t="s">
        <v>266</v>
      </c>
      <c r="D37" s="17" t="s">
        <v>267</v>
      </c>
      <c r="E37" s="17" t="s">
        <v>251</v>
      </c>
      <c r="F37" s="65">
        <v>1100</v>
      </c>
    </row>
    <row r="38" spans="3:6">
      <c r="C38" s="20" t="s">
        <v>268</v>
      </c>
      <c r="D38" s="17" t="s">
        <v>269</v>
      </c>
      <c r="E38" s="17" t="s">
        <v>251</v>
      </c>
      <c r="F38" s="65">
        <v>4800</v>
      </c>
    </row>
    <row r="39" spans="3:6">
      <c r="C39" s="20" t="s">
        <v>270</v>
      </c>
      <c r="D39" s="17" t="s">
        <v>271</v>
      </c>
      <c r="E39" s="17" t="s">
        <v>251</v>
      </c>
      <c r="F39" s="65">
        <v>41650</v>
      </c>
    </row>
    <row r="40" spans="3:6">
      <c r="C40" s="20" t="s">
        <v>272</v>
      </c>
      <c r="D40" s="17" t="s">
        <v>273</v>
      </c>
      <c r="E40" s="17" t="s">
        <v>251</v>
      </c>
      <c r="F40" s="65">
        <v>25000</v>
      </c>
    </row>
    <row r="41" spans="3:6">
      <c r="C41" s="20" t="s">
        <v>274</v>
      </c>
      <c r="D41" s="17" t="s">
        <v>275</v>
      </c>
      <c r="E41" s="17"/>
      <c r="F41" s="65">
        <v>34680</v>
      </c>
    </row>
    <row r="42" spans="3:6" ht="22.8">
      <c r="C42" s="20" t="s">
        <v>277</v>
      </c>
      <c r="D42" s="17" t="s">
        <v>278</v>
      </c>
      <c r="E42" s="17" t="s">
        <v>251</v>
      </c>
      <c r="F42" s="65">
        <v>58000</v>
      </c>
    </row>
    <row r="43" spans="3:6">
      <c r="C43" s="20" t="s">
        <v>279</v>
      </c>
      <c r="D43" s="17" t="s">
        <v>280</v>
      </c>
      <c r="E43" s="17" t="s">
        <v>251</v>
      </c>
      <c r="F43" s="65">
        <v>75400</v>
      </c>
    </row>
    <row r="44" spans="3:6">
      <c r="C44" s="20" t="s">
        <v>281</v>
      </c>
      <c r="D44" s="17" t="s">
        <v>282</v>
      </c>
      <c r="E44" s="17" t="s">
        <v>283</v>
      </c>
      <c r="F44" s="65">
        <v>8000</v>
      </c>
    </row>
    <row r="45" spans="3:6">
      <c r="C45" s="20" t="s">
        <v>284</v>
      </c>
      <c r="D45" s="17" t="s">
        <v>285</v>
      </c>
      <c r="E45" s="17" t="s">
        <v>251</v>
      </c>
      <c r="F45" s="65">
        <v>20000</v>
      </c>
    </row>
    <row r="46" spans="3:6">
      <c r="C46" s="20" t="s">
        <v>286</v>
      </c>
      <c r="D46" s="17" t="s">
        <v>287</v>
      </c>
      <c r="E46" s="17" t="s">
        <v>251</v>
      </c>
      <c r="F46" s="65">
        <v>45000</v>
      </c>
    </row>
    <row r="47" spans="3:6">
      <c r="C47" s="20" t="s">
        <v>288</v>
      </c>
      <c r="D47" s="17" t="s">
        <v>289</v>
      </c>
      <c r="E47" s="17" t="s">
        <v>251</v>
      </c>
      <c r="F47" s="65">
        <v>45000</v>
      </c>
    </row>
    <row r="48" spans="3:6">
      <c r="C48" s="20" t="s">
        <v>290</v>
      </c>
      <c r="D48" s="17" t="s">
        <v>291</v>
      </c>
      <c r="E48" s="17" t="s">
        <v>251</v>
      </c>
      <c r="F48" s="65">
        <v>10000</v>
      </c>
    </row>
    <row r="49" spans="3:6">
      <c r="C49" s="20" t="s">
        <v>292</v>
      </c>
      <c r="D49" s="17" t="s">
        <v>293</v>
      </c>
      <c r="E49" s="17" t="s">
        <v>137</v>
      </c>
      <c r="F49" s="65">
        <v>6000</v>
      </c>
    </row>
    <row r="50" spans="3:6">
      <c r="C50" s="20" t="s">
        <v>294</v>
      </c>
      <c r="D50" s="17" t="s">
        <v>295</v>
      </c>
      <c r="E50" s="17" t="s">
        <v>296</v>
      </c>
      <c r="F50" s="65">
        <v>308</v>
      </c>
    </row>
    <row r="51" spans="3:6">
      <c r="C51" s="20" t="s">
        <v>297</v>
      </c>
      <c r="D51" s="17" t="s">
        <v>298</v>
      </c>
      <c r="E51" s="17" t="s">
        <v>296</v>
      </c>
      <c r="F51" s="65">
        <v>309</v>
      </c>
    </row>
    <row r="52" spans="3:6">
      <c r="C52" s="20" t="s">
        <v>299</v>
      </c>
      <c r="D52" s="17" t="s">
        <v>300</v>
      </c>
      <c r="E52" s="17" t="s">
        <v>296</v>
      </c>
      <c r="F52" s="65">
        <v>292</v>
      </c>
    </row>
    <row r="53" spans="3:6">
      <c r="C53" s="20" t="s">
        <v>301</v>
      </c>
      <c r="D53" s="17" t="s">
        <v>302</v>
      </c>
      <c r="E53" s="17" t="s">
        <v>303</v>
      </c>
      <c r="F53" s="65">
        <v>110000</v>
      </c>
    </row>
    <row r="54" spans="3:6">
      <c r="C54" s="20" t="s">
        <v>304</v>
      </c>
      <c r="D54" s="17" t="s">
        <v>305</v>
      </c>
      <c r="E54" s="17" t="s">
        <v>251</v>
      </c>
      <c r="F54" s="65">
        <v>100000</v>
      </c>
    </row>
    <row r="55" spans="3:6">
      <c r="C55" s="20" t="s">
        <v>306</v>
      </c>
      <c r="D55" s="17" t="s">
        <v>307</v>
      </c>
      <c r="E55" s="17" t="s">
        <v>251</v>
      </c>
      <c r="F55" s="65">
        <v>12810</v>
      </c>
    </row>
    <row r="56" spans="3:6">
      <c r="C56" s="20" t="s">
        <v>308</v>
      </c>
      <c r="D56" s="17" t="s">
        <v>309</v>
      </c>
      <c r="E56" s="17" t="s">
        <v>303</v>
      </c>
      <c r="F56" s="65">
        <v>600000</v>
      </c>
    </row>
    <row r="57" spans="3:6">
      <c r="C57" s="20" t="s">
        <v>310</v>
      </c>
      <c r="D57" s="17" t="s">
        <v>311</v>
      </c>
      <c r="E57" s="17" t="s">
        <v>251</v>
      </c>
      <c r="F57" s="65">
        <v>41650</v>
      </c>
    </row>
    <row r="58" spans="3:6">
      <c r="C58" s="20" t="s">
        <v>312</v>
      </c>
      <c r="D58" s="17" t="s">
        <v>313</v>
      </c>
      <c r="E58" s="17" t="s">
        <v>303</v>
      </c>
      <c r="F58" s="65">
        <v>101124</v>
      </c>
    </row>
    <row r="59" spans="3:6">
      <c r="C59" s="20" t="s">
        <v>314</v>
      </c>
      <c r="D59" s="17" t="s">
        <v>315</v>
      </c>
      <c r="E59" s="17" t="s">
        <v>136</v>
      </c>
      <c r="F59" s="65">
        <v>100000</v>
      </c>
    </row>
    <row r="60" spans="3:6">
      <c r="C60" s="20" t="s">
        <v>316</v>
      </c>
      <c r="D60" s="17" t="s">
        <v>317</v>
      </c>
      <c r="E60" s="17" t="s">
        <v>251</v>
      </c>
      <c r="F60" s="65">
        <v>120000</v>
      </c>
    </row>
    <row r="61" spans="3:6">
      <c r="C61" s="20" t="s">
        <v>318</v>
      </c>
      <c r="D61" s="17" t="s">
        <v>319</v>
      </c>
      <c r="E61" s="17" t="s">
        <v>303</v>
      </c>
      <c r="F61" s="65">
        <v>337080</v>
      </c>
    </row>
    <row r="62" spans="3:6">
      <c r="C62" s="20" t="s">
        <v>320</v>
      </c>
      <c r="D62" s="17" t="s">
        <v>321</v>
      </c>
      <c r="E62" s="17" t="s">
        <v>251</v>
      </c>
      <c r="F62" s="65">
        <f>(60000+90000+60000)/3</f>
        <v>70000</v>
      </c>
    </row>
    <row r="63" spans="3:6">
      <c r="C63" s="20" t="s">
        <v>322</v>
      </c>
      <c r="D63" s="17" t="s">
        <v>323</v>
      </c>
      <c r="E63" s="17" t="s">
        <v>251</v>
      </c>
      <c r="F63" s="65">
        <f>25000</f>
        <v>25000</v>
      </c>
    </row>
    <row r="64" spans="3:6">
      <c r="C64" s="20" t="s">
        <v>119</v>
      </c>
      <c r="D64" s="17" t="s">
        <v>324</v>
      </c>
      <c r="E64" s="17" t="s">
        <v>251</v>
      </c>
      <c r="F64" s="65">
        <v>25000</v>
      </c>
    </row>
    <row r="65" spans="3:6">
      <c r="C65" s="20" t="s">
        <v>325</v>
      </c>
      <c r="D65" s="17" t="s">
        <v>326</v>
      </c>
      <c r="E65" s="17" t="s">
        <v>251</v>
      </c>
      <c r="F65" s="65">
        <v>35000</v>
      </c>
    </row>
    <row r="66" spans="3:6">
      <c r="C66" s="20" t="s">
        <v>127</v>
      </c>
      <c r="D66" s="17" t="s">
        <v>327</v>
      </c>
      <c r="E66" s="17" t="s">
        <v>328</v>
      </c>
      <c r="F66" s="65">
        <v>60000</v>
      </c>
    </row>
    <row r="67" spans="3:6">
      <c r="C67" s="20" t="s">
        <v>329</v>
      </c>
      <c r="D67" s="17" t="s">
        <v>330</v>
      </c>
      <c r="E67" s="17" t="s">
        <v>251</v>
      </c>
      <c r="F67" s="65">
        <v>130000</v>
      </c>
    </row>
    <row r="68" spans="3:6">
      <c r="C68" s="20" t="s">
        <v>331</v>
      </c>
      <c r="D68" s="17" t="s">
        <v>332</v>
      </c>
      <c r="E68" s="17" t="s">
        <v>328</v>
      </c>
      <c r="F68" s="66">
        <v>40000</v>
      </c>
    </row>
    <row r="69" spans="3:6">
      <c r="C69" s="20" t="s">
        <v>62</v>
      </c>
      <c r="D69" s="17" t="s">
        <v>199</v>
      </c>
      <c r="E69" s="17" t="s">
        <v>197</v>
      </c>
      <c r="F69" s="65">
        <v>10714</v>
      </c>
    </row>
    <row r="70" spans="3:6">
      <c r="C70" s="20" t="s">
        <v>333</v>
      </c>
      <c r="D70" s="17" t="s">
        <v>334</v>
      </c>
      <c r="E70" s="17" t="s">
        <v>328</v>
      </c>
      <c r="F70" s="65">
        <v>60000</v>
      </c>
    </row>
    <row r="71" spans="3:6">
      <c r="C71" s="20" t="s">
        <v>123</v>
      </c>
      <c r="D71" s="17" t="s">
        <v>335</v>
      </c>
      <c r="E71" s="17" t="s">
        <v>328</v>
      </c>
      <c r="F71" s="67">
        <v>40000</v>
      </c>
    </row>
    <row r="72" spans="3:6">
      <c r="C72" s="20" t="s">
        <v>185</v>
      </c>
      <c r="D72" s="17" t="s">
        <v>336</v>
      </c>
      <c r="E72" s="17" t="s">
        <v>136</v>
      </c>
      <c r="F72" s="67">
        <v>20868</v>
      </c>
    </row>
    <row r="73" spans="3:6">
      <c r="C73" s="20" t="s">
        <v>184</v>
      </c>
      <c r="D73" s="17" t="s">
        <v>337</v>
      </c>
      <c r="E73" s="17" t="s">
        <v>136</v>
      </c>
      <c r="F73" s="67">
        <v>37900</v>
      </c>
    </row>
    <row r="74" spans="3:6">
      <c r="C74" s="68" t="s">
        <v>169</v>
      </c>
      <c r="D74" s="21" t="s">
        <v>338</v>
      </c>
      <c r="E74" s="21" t="s">
        <v>136</v>
      </c>
      <c r="F74" s="69">
        <v>15900</v>
      </c>
    </row>
    <row r="75" spans="3:6">
      <c r="C75" s="68" t="s">
        <v>347</v>
      </c>
      <c r="D75" s="21" t="s">
        <v>348</v>
      </c>
      <c r="E75" s="21" t="s">
        <v>251</v>
      </c>
      <c r="F75" s="69">
        <v>10000</v>
      </c>
    </row>
    <row r="76" spans="3:6">
      <c r="C76" s="68" t="s">
        <v>1263</v>
      </c>
      <c r="D76" s="21" t="s">
        <v>1264</v>
      </c>
      <c r="E76" s="21" t="s">
        <v>276</v>
      </c>
      <c r="F76" s="69">
        <v>12000</v>
      </c>
    </row>
    <row r="77" spans="3:6">
      <c r="C77" s="68" t="s">
        <v>1267</v>
      </c>
      <c r="D77" s="21" t="s">
        <v>1266</v>
      </c>
      <c r="E77" s="21" t="s">
        <v>276</v>
      </c>
      <c r="F77" s="69">
        <v>10500</v>
      </c>
    </row>
    <row r="78" spans="3:6">
      <c r="C78" s="68" t="s">
        <v>1270</v>
      </c>
      <c r="D78" s="21" t="s">
        <v>1269</v>
      </c>
      <c r="E78" s="21" t="s">
        <v>136</v>
      </c>
      <c r="F78" s="69"/>
    </row>
    <row r="79" spans="3:6">
      <c r="C79" s="68" t="s">
        <v>1272</v>
      </c>
      <c r="D79" s="21" t="s">
        <v>1271</v>
      </c>
      <c r="E79" s="21" t="s">
        <v>251</v>
      </c>
      <c r="F79" s="69">
        <v>35000</v>
      </c>
    </row>
    <row r="80" spans="3:6">
      <c r="C80" s="68" t="s">
        <v>1273</v>
      </c>
      <c r="D80" s="21" t="s">
        <v>1275</v>
      </c>
      <c r="E80" s="21" t="s">
        <v>136</v>
      </c>
      <c r="F80" s="69">
        <v>500</v>
      </c>
    </row>
    <row r="81" spans="3:6">
      <c r="C81" s="68" t="s">
        <v>1277</v>
      </c>
      <c r="D81" s="21" t="s">
        <v>1276</v>
      </c>
      <c r="E81" s="21" t="s">
        <v>342</v>
      </c>
      <c r="F81" s="69">
        <v>135</v>
      </c>
    </row>
    <row r="82" spans="3:6">
      <c r="C82" s="68" t="s">
        <v>1284</v>
      </c>
      <c r="D82" s="21" t="s">
        <v>1283</v>
      </c>
      <c r="E82" s="21" t="s">
        <v>196</v>
      </c>
      <c r="F82" s="69">
        <v>7000</v>
      </c>
    </row>
    <row r="83" spans="3:6">
      <c r="C83" s="68" t="s">
        <v>1287</v>
      </c>
      <c r="D83" s="21" t="s">
        <v>1288</v>
      </c>
      <c r="E83" s="21" t="s">
        <v>328</v>
      </c>
      <c r="F83" s="69">
        <v>8500</v>
      </c>
    </row>
    <row r="84" spans="3:6">
      <c r="C84" s="68" t="s">
        <v>1289</v>
      </c>
      <c r="D84" s="21" t="s">
        <v>1290</v>
      </c>
      <c r="E84" s="21" t="s">
        <v>328</v>
      </c>
      <c r="F84" s="69">
        <v>75000</v>
      </c>
    </row>
    <row r="85" spans="3:6" ht="22.8">
      <c r="C85" s="68" t="s">
        <v>1358</v>
      </c>
      <c r="D85" s="60" t="s">
        <v>1359</v>
      </c>
      <c r="E85" s="21" t="s">
        <v>342</v>
      </c>
      <c r="F85" s="69">
        <v>1200000</v>
      </c>
    </row>
    <row r="86" spans="3:6">
      <c r="C86" s="68" t="s">
        <v>1544</v>
      </c>
      <c r="D86" s="21" t="s">
        <v>1545</v>
      </c>
      <c r="E86" s="21" t="s">
        <v>276</v>
      </c>
      <c r="F86" s="69">
        <v>20000</v>
      </c>
    </row>
    <row r="87" spans="3:6">
      <c r="C87" s="68" t="s">
        <v>1773</v>
      </c>
      <c r="D87" s="21" t="s">
        <v>1774</v>
      </c>
      <c r="E87" s="21" t="s">
        <v>328</v>
      </c>
      <c r="F87" s="69">
        <v>50000</v>
      </c>
    </row>
  </sheetData>
  <mergeCells count="1">
    <mergeCell ref="D4:F4"/>
  </mergeCell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8A8F-39C7-46DF-AA83-2095DA77058C}">
  <sheetPr codeName="Hoja16"/>
  <dimension ref="B3:I41"/>
  <sheetViews>
    <sheetView topLeftCell="A26" workbookViewId="0">
      <selection activeCell="K43" sqref="K43"/>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e">
        <f>+#REF!</f>
        <v>#REF!</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3" t="s">
        <v>11</v>
      </c>
      <c r="C13" s="283" t="s">
        <v>1901</v>
      </c>
      <c r="D13" s="284"/>
      <c r="E13" s="284"/>
      <c r="F13" s="285"/>
      <c r="G13" s="286" t="s">
        <v>2</v>
      </c>
      <c r="H13" s="286"/>
      <c r="I13" s="17">
        <v>91.52000000000001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0.1</v>
      </c>
      <c r="H19" s="116">
        <f>F19*G19</f>
        <v>1050</v>
      </c>
      <c r="I19" s="287"/>
    </row>
    <row r="20" spans="2:9">
      <c r="B20" s="71" t="s">
        <v>234</v>
      </c>
      <c r="C20" s="288" t="str">
        <f>VLOOKUP(B20,'MAQUINARIA Y EQUIPOS  '!C7:F95,2,FALSE)</f>
        <v xml:space="preserve">Mezcladora </v>
      </c>
      <c r="D20" s="265"/>
      <c r="E20" s="71" t="str">
        <f>VLOOKUP(B20,'MAQUINARIA Y EQUIPOS  '!C7:F95,3,FALSE)</f>
        <v>DIA</v>
      </c>
      <c r="F20" s="86">
        <f>VLOOKUP(B20,'MAQUINARIA Y EQUIPOS  '!C7:F95,4,FALSE)</f>
        <v>150000</v>
      </c>
      <c r="G20" s="115">
        <v>0.4</v>
      </c>
      <c r="H20" s="116">
        <f>+F20*G20</f>
        <v>60000</v>
      </c>
      <c r="I20" s="287"/>
    </row>
    <row r="21" spans="2:9" ht="12">
      <c r="B21" s="89"/>
      <c r="C21" s="89"/>
      <c r="D21" s="89"/>
      <c r="E21" s="89"/>
      <c r="F21" s="89"/>
      <c r="G21" s="89"/>
      <c r="H21" s="89" t="s">
        <v>64</v>
      </c>
      <c r="I21" s="90">
        <f>SUM(H18:H20)</f>
        <v>62121.4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378</v>
      </c>
      <c r="C24" s="290" t="str">
        <f>VLOOKUP(B24,'INSUMOS '!C6:F500,2,FALSE)</f>
        <v>MORTERO 1:4 ELABORADO OBRA IMPERMEABILIZADO</v>
      </c>
      <c r="D24" s="291"/>
      <c r="E24" s="97" t="str">
        <f>VLOOKUP(B24,'INSUMOS '!C6:F500,3,FALSE)</f>
        <v>M3</v>
      </c>
      <c r="F24" s="98">
        <f>VLOOKUP(B24,'INSUMOS '!C6:F500,4,FALSE)</f>
        <v>644519</v>
      </c>
      <c r="G24" s="71">
        <v>0.05</v>
      </c>
      <c r="H24" s="83">
        <f>+G24*F24</f>
        <v>32225.95</v>
      </c>
      <c r="I24" s="287"/>
    </row>
    <row r="25" spans="2:9">
      <c r="B25" s="71"/>
      <c r="C25" s="290"/>
      <c r="D25" s="293"/>
      <c r="E25" s="97"/>
      <c r="F25" s="117"/>
      <c r="G25" s="132"/>
      <c r="H25" s="83"/>
      <c r="I25" s="287"/>
    </row>
    <row r="26" spans="2:9">
      <c r="B26" s="71"/>
      <c r="C26" s="290"/>
      <c r="D26" s="293"/>
      <c r="E26" s="97"/>
      <c r="F26" s="117"/>
      <c r="G26" s="118"/>
      <c r="H26" s="83"/>
      <c r="I26" s="287"/>
    </row>
    <row r="27" spans="2:9">
      <c r="B27" s="71"/>
      <c r="C27" s="290"/>
      <c r="D27" s="293"/>
      <c r="E27" s="97"/>
      <c r="F27" s="117"/>
      <c r="G27" s="119"/>
      <c r="H27" s="83"/>
      <c r="I27" s="287"/>
    </row>
    <row r="28" spans="2:9" ht="12">
      <c r="B28" s="89"/>
      <c r="C28" s="89"/>
      <c r="D28" s="89"/>
      <c r="E28" s="89"/>
      <c r="F28" s="89"/>
      <c r="G28" s="258" t="s">
        <v>64</v>
      </c>
      <c r="H28" s="258"/>
      <c r="I28" s="85">
        <f>SUM(H24:H27)</f>
        <v>32225.95</v>
      </c>
    </row>
    <row r="29" spans="2:9" ht="12">
      <c r="B29" s="89"/>
      <c r="C29" s="89"/>
      <c r="D29" s="89"/>
      <c r="E29" s="89"/>
      <c r="F29" s="89"/>
      <c r="G29" s="99" t="s">
        <v>72</v>
      </c>
      <c r="H29" s="100">
        <v>0.05</v>
      </c>
      <c r="I29" s="120">
        <f>I28*H29</f>
        <v>1611.2975000000001</v>
      </c>
    </row>
    <row r="30" spans="2:9" ht="12">
      <c r="B30" s="89"/>
      <c r="C30" s="89"/>
      <c r="D30" s="89"/>
      <c r="E30" s="89"/>
      <c r="F30" s="89"/>
      <c r="G30" s="258" t="s">
        <v>73</v>
      </c>
      <c r="H30" s="258"/>
      <c r="I30" s="90">
        <f>SUM(I28:I29)</f>
        <v>33837.247499999998</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22.8">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G38" s="121">
        <v>0.58299999999999996</v>
      </c>
      <c r="H38" s="94">
        <f>F38*G38*D38</f>
        <v>38587.3125</v>
      </c>
      <c r="I38" s="294"/>
    </row>
    <row r="39" spans="2:9">
      <c r="B39" s="106"/>
      <c r="C39" s="106"/>
      <c r="D39" s="106"/>
      <c r="E39" s="106"/>
      <c r="F39" s="86"/>
      <c r="G39" s="121"/>
      <c r="H39" s="94"/>
      <c r="I39" s="294"/>
    </row>
    <row r="40" spans="2:9" ht="12">
      <c r="B40" s="108"/>
      <c r="C40" s="109"/>
      <c r="D40" s="109"/>
      <c r="E40" s="109"/>
      <c r="F40" s="110"/>
      <c r="G40" s="110"/>
      <c r="H40" s="111" t="s">
        <v>64</v>
      </c>
      <c r="I40" s="112">
        <f>SUM(H38:H39)</f>
        <v>38587.3125</v>
      </c>
    </row>
    <row r="41" spans="2:9" ht="12">
      <c r="B41" s="295" t="s">
        <v>83</v>
      </c>
      <c r="C41" s="296"/>
      <c r="D41" s="297" t="s">
        <v>77</v>
      </c>
      <c r="E41" s="298"/>
      <c r="F41" s="298"/>
      <c r="G41" s="298"/>
      <c r="H41" s="299"/>
      <c r="I41" s="113">
        <f>SUM(I21+I35+I30+I40)</f>
        <v>134545.96</v>
      </c>
    </row>
  </sheetData>
  <mergeCells count="40">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3:D23"/>
    <mergeCell ref="I23:I27"/>
    <mergeCell ref="C24:D24"/>
    <mergeCell ref="C25:D25"/>
    <mergeCell ref="C26:D26"/>
    <mergeCell ref="C17:D17"/>
    <mergeCell ref="I17:I20"/>
    <mergeCell ref="C18:D18"/>
    <mergeCell ref="C20:D20"/>
    <mergeCell ref="C22:D22"/>
    <mergeCell ref="C19:D19"/>
    <mergeCell ref="C36:D36"/>
    <mergeCell ref="I37:I39"/>
    <mergeCell ref="B41:C41"/>
    <mergeCell ref="D41:H41"/>
    <mergeCell ref="C27:D27"/>
    <mergeCell ref="G28:H28"/>
    <mergeCell ref="G30:H30"/>
    <mergeCell ref="C31:D31"/>
    <mergeCell ref="I32:I34"/>
    <mergeCell ref="G35:H35"/>
  </mergeCells>
  <pageMargins left="0.7" right="0.7" top="0.75" bottom="0.75" header="0.3" footer="0.3"/>
  <drawing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2FB30-1F3D-4A79-8E75-F6B3598307AA}">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1860</v>
      </c>
      <c r="C13" s="355" t="s">
        <v>2254</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5742</v>
      </c>
      <c r="I18" s="24">
        <f>H18/F18</f>
        <v>5742</v>
      </c>
    </row>
    <row r="19" spans="2:9" s="201" customFormat="1" ht="12">
      <c r="B19" s="365" t="s">
        <v>2001</v>
      </c>
      <c r="C19" s="365"/>
      <c r="D19" s="365"/>
      <c r="E19" s="365"/>
      <c r="F19" s="365"/>
      <c r="G19" s="365"/>
      <c r="H19" s="365"/>
      <c r="I19" s="202">
        <f>SUM(I18:I18)</f>
        <v>5742</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28.35" customHeight="1">
      <c r="B22" s="24" t="s">
        <v>2248</v>
      </c>
      <c r="C22" s="368" t="s">
        <v>2255</v>
      </c>
      <c r="D22" s="368"/>
      <c r="E22" s="24" t="s">
        <v>780</v>
      </c>
      <c r="F22" s="24">
        <v>1</v>
      </c>
      <c r="G22" s="24"/>
      <c r="H22" s="24">
        <v>432290.57</v>
      </c>
      <c r="I22" s="24">
        <f>F22*H22</f>
        <v>432290.57</v>
      </c>
    </row>
    <row r="23" spans="2:9" s="201" customFormat="1" ht="15" customHeight="1">
      <c r="B23" s="24" t="s">
        <v>2250</v>
      </c>
      <c r="C23" s="368" t="s">
        <v>2251</v>
      </c>
      <c r="D23" s="368"/>
      <c r="E23" s="24" t="s">
        <v>390</v>
      </c>
      <c r="F23" s="24">
        <v>1</v>
      </c>
      <c r="G23" s="24"/>
      <c r="H23" s="24">
        <v>32538</v>
      </c>
      <c r="I23" s="24">
        <f>F23*H23</f>
        <v>32538</v>
      </c>
    </row>
    <row r="24" spans="2:9" s="201" customFormat="1" ht="12">
      <c r="B24" s="365" t="s">
        <v>2001</v>
      </c>
      <c r="C24" s="365"/>
      <c r="D24" s="365"/>
      <c r="E24" s="365"/>
      <c r="F24" s="365"/>
      <c r="G24" s="365"/>
      <c r="H24" s="365"/>
      <c r="I24" s="202">
        <f>SUM(I22:I23)</f>
        <v>464828.57</v>
      </c>
    </row>
    <row r="25" spans="2:9" s="201" customFormat="1" ht="12">
      <c r="B25" s="365" t="s">
        <v>1062</v>
      </c>
      <c r="C25" s="365"/>
      <c r="D25" s="365"/>
      <c r="E25" s="365"/>
      <c r="F25" s="365"/>
      <c r="G25" s="365"/>
      <c r="H25" s="24">
        <v>0.05</v>
      </c>
      <c r="I25" s="24">
        <f>I24*H25</f>
        <v>23241.428500000002</v>
      </c>
    </row>
    <row r="26" spans="2:9" s="201" customFormat="1" ht="12">
      <c r="B26" s="365" t="s">
        <v>73</v>
      </c>
      <c r="C26" s="365"/>
      <c r="D26" s="365"/>
      <c r="E26" s="365"/>
      <c r="F26" s="365"/>
      <c r="G26" s="365"/>
      <c r="H26" s="365"/>
      <c r="I26" s="202">
        <f>I24+I25</f>
        <v>488069.99849999999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2252</v>
      </c>
      <c r="D29" s="24" t="s">
        <v>390</v>
      </c>
      <c r="E29" s="24">
        <v>1</v>
      </c>
      <c r="F29" s="24">
        <v>1</v>
      </c>
      <c r="G29" s="24">
        <v>11484</v>
      </c>
      <c r="H29" s="24">
        <f>E29*F29*G29</f>
        <v>11484</v>
      </c>
      <c r="I29" s="24">
        <f>H29</f>
        <v>11484</v>
      </c>
    </row>
    <row r="30" spans="2:9" s="201" customFormat="1" ht="12">
      <c r="B30" s="365" t="s">
        <v>2001</v>
      </c>
      <c r="C30" s="365"/>
      <c r="D30" s="365"/>
      <c r="E30" s="365"/>
      <c r="F30" s="365"/>
      <c r="G30" s="365"/>
      <c r="H30" s="365"/>
      <c r="I30" s="202">
        <f>SUM(I29:I29)</f>
        <v>11484</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2253</v>
      </c>
      <c r="D33" s="368"/>
      <c r="E33" s="24">
        <v>1</v>
      </c>
      <c r="F33" s="24" t="s">
        <v>213</v>
      </c>
      <c r="G33" s="24">
        <v>13500</v>
      </c>
      <c r="H33" s="24">
        <f>E33*G33/I33</f>
        <v>0.19592476062511402</v>
      </c>
      <c r="I33" s="24">
        <f>574200-I19-I26-I30-0</f>
        <v>68904.001500000013</v>
      </c>
    </row>
    <row r="34" spans="2:9" s="201" customFormat="1" ht="12">
      <c r="B34" s="365" t="s">
        <v>2001</v>
      </c>
      <c r="C34" s="365"/>
      <c r="D34" s="365"/>
      <c r="E34" s="365"/>
      <c r="F34" s="365"/>
      <c r="G34" s="365"/>
      <c r="H34" s="365"/>
      <c r="I34" s="202">
        <f>SUM(I33:I33)</f>
        <v>68904.001500000013</v>
      </c>
    </row>
    <row r="35" spans="2:9" s="201" customFormat="1" ht="12"/>
    <row r="36" spans="2:9" s="201" customFormat="1" ht="12">
      <c r="B36" s="369" t="s">
        <v>2026</v>
      </c>
      <c r="C36" s="369"/>
      <c r="D36" s="369"/>
      <c r="E36" s="369"/>
      <c r="F36" s="369"/>
      <c r="G36" s="369"/>
      <c r="H36" s="369"/>
      <c r="I36" s="202">
        <f>I19+I26+I30+I34</f>
        <v>574200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07C93-C592-43A0-8645-4F2CEC02C8BE}">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1861</v>
      </c>
      <c r="C13" s="355" t="s">
        <v>2263</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222000</v>
      </c>
      <c r="I18" s="24">
        <f>H18/F18</f>
        <v>222000</v>
      </c>
    </row>
    <row r="19" spans="2:9" s="201" customFormat="1" ht="15" customHeight="1">
      <c r="B19" s="24" t="s">
        <v>2118</v>
      </c>
      <c r="C19" s="368" t="s">
        <v>2262</v>
      </c>
      <c r="D19" s="368"/>
      <c r="E19" s="24" t="s">
        <v>390</v>
      </c>
      <c r="F19" s="24">
        <v>1</v>
      </c>
      <c r="G19" s="24"/>
      <c r="H19" s="24">
        <v>222000</v>
      </c>
      <c r="I19" s="24">
        <f>H19/F19</f>
        <v>222000</v>
      </c>
    </row>
    <row r="20" spans="2:9" s="201" customFormat="1" ht="12">
      <c r="B20" s="365" t="s">
        <v>2001</v>
      </c>
      <c r="C20" s="365"/>
      <c r="D20" s="365"/>
      <c r="E20" s="365"/>
      <c r="F20" s="365"/>
      <c r="G20" s="365"/>
      <c r="H20" s="365"/>
      <c r="I20" s="202">
        <f>SUM(I18:I19)</f>
        <v>444000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41.85" customHeight="1">
      <c r="B23" s="24" t="s">
        <v>2261</v>
      </c>
      <c r="C23" s="368" t="s">
        <v>2260</v>
      </c>
      <c r="D23" s="368"/>
      <c r="E23" s="24" t="s">
        <v>780</v>
      </c>
      <c r="F23" s="24">
        <v>1</v>
      </c>
      <c r="G23" s="24"/>
      <c r="H23" s="24">
        <v>17506285.710000001</v>
      </c>
      <c r="I23" s="24">
        <f>F23*H23</f>
        <v>17506285.710000001</v>
      </c>
    </row>
    <row r="24" spans="2:9" s="201" customFormat="1" ht="15" customHeight="1">
      <c r="B24" s="24" t="s">
        <v>2259</v>
      </c>
      <c r="C24" s="368" t="s">
        <v>2258</v>
      </c>
      <c r="D24" s="368"/>
      <c r="E24" s="24" t="s">
        <v>390</v>
      </c>
      <c r="F24" s="24">
        <v>1</v>
      </c>
      <c r="G24" s="24"/>
      <c r="H24" s="24">
        <v>1522285.71</v>
      </c>
      <c r="I24" s="24">
        <f>F24*H24</f>
        <v>1522285.71</v>
      </c>
    </row>
    <row r="25" spans="2:9" s="201" customFormat="1" ht="12">
      <c r="B25" s="365" t="s">
        <v>2001</v>
      </c>
      <c r="C25" s="365"/>
      <c r="D25" s="365"/>
      <c r="E25" s="365"/>
      <c r="F25" s="365"/>
      <c r="G25" s="365"/>
      <c r="H25" s="365"/>
      <c r="I25" s="202">
        <f>SUM(I23:I24)</f>
        <v>19028571.420000002</v>
      </c>
    </row>
    <row r="26" spans="2:9" s="201" customFormat="1" ht="12">
      <c r="B26" s="365" t="s">
        <v>1062</v>
      </c>
      <c r="C26" s="365"/>
      <c r="D26" s="365"/>
      <c r="E26" s="365"/>
      <c r="F26" s="365"/>
      <c r="G26" s="365"/>
      <c r="H26" s="24">
        <v>0.05</v>
      </c>
      <c r="I26" s="24">
        <f>I25*H26</f>
        <v>951428.57100000011</v>
      </c>
    </row>
    <row r="27" spans="2:9" s="201" customFormat="1" ht="12">
      <c r="B27" s="365" t="s">
        <v>73</v>
      </c>
      <c r="C27" s="365"/>
      <c r="D27" s="365"/>
      <c r="E27" s="365"/>
      <c r="F27" s="365"/>
      <c r="G27" s="365"/>
      <c r="H27" s="365"/>
      <c r="I27" s="202">
        <f>I25+I26</f>
        <v>19979999.991</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ht="24">
      <c r="B30" s="24" t="s">
        <v>2018</v>
      </c>
      <c r="C30" s="203" t="s">
        <v>2257</v>
      </c>
      <c r="D30" s="24" t="s">
        <v>390</v>
      </c>
      <c r="E30" s="24">
        <v>1</v>
      </c>
      <c r="F30" s="24">
        <v>1</v>
      </c>
      <c r="G30" s="24">
        <v>444000</v>
      </c>
      <c r="H30" s="24">
        <f>E30*F30*G30</f>
        <v>444000</v>
      </c>
      <c r="I30" s="24">
        <f>H30</f>
        <v>444000</v>
      </c>
    </row>
    <row r="31" spans="2:9" s="201" customFormat="1" ht="12">
      <c r="B31" s="365" t="s">
        <v>2001</v>
      </c>
      <c r="C31" s="365"/>
      <c r="D31" s="365"/>
      <c r="E31" s="365"/>
      <c r="F31" s="365"/>
      <c r="G31" s="365"/>
      <c r="H31" s="365"/>
      <c r="I31" s="202">
        <f>SUM(I30:I30)</f>
        <v>444000</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2256</v>
      </c>
      <c r="D34" s="368"/>
      <c r="E34" s="24">
        <v>16</v>
      </c>
      <c r="F34" s="24" t="s">
        <v>213</v>
      </c>
      <c r="G34" s="24">
        <v>27500</v>
      </c>
      <c r="H34" s="24">
        <f>E34*G34/I34</f>
        <v>0.33033032809836876</v>
      </c>
      <c r="I34" s="24">
        <f>22200000-I20-I27-I31-0</f>
        <v>1332000.0089999996</v>
      </c>
    </row>
    <row r="35" spans="2:9" s="201" customFormat="1" ht="12">
      <c r="B35" s="365" t="s">
        <v>2001</v>
      </c>
      <c r="C35" s="365"/>
      <c r="D35" s="365"/>
      <c r="E35" s="365"/>
      <c r="F35" s="365"/>
      <c r="G35" s="365"/>
      <c r="H35" s="365"/>
      <c r="I35" s="202">
        <f>SUM(I34:I34)</f>
        <v>1332000.0089999996</v>
      </c>
    </row>
    <row r="36" spans="2:9" s="201" customFormat="1" ht="12"/>
    <row r="37" spans="2:9" s="201" customFormat="1" ht="12">
      <c r="B37" s="369" t="s">
        <v>2026</v>
      </c>
      <c r="C37" s="369"/>
      <c r="D37" s="369"/>
      <c r="E37" s="369"/>
      <c r="F37" s="369"/>
      <c r="G37" s="369"/>
      <c r="H37" s="369"/>
      <c r="I37" s="202">
        <f>I20+I27+I31+I35</f>
        <v>22200000</v>
      </c>
    </row>
  </sheetData>
  <mergeCells count="38">
    <mergeCell ref="C34:D34"/>
    <mergeCell ref="B35:H35"/>
    <mergeCell ref="B37:H37"/>
    <mergeCell ref="C33:D33"/>
    <mergeCell ref="B26:G26"/>
    <mergeCell ref="B27:H27"/>
    <mergeCell ref="B28:I28"/>
    <mergeCell ref="B31:H31"/>
    <mergeCell ref="B32:I32"/>
    <mergeCell ref="B21:I21"/>
    <mergeCell ref="C22:D22"/>
    <mergeCell ref="C23:D23"/>
    <mergeCell ref="C24:D24"/>
    <mergeCell ref="B25:H25"/>
    <mergeCell ref="B16:I16"/>
    <mergeCell ref="C17:D17"/>
    <mergeCell ref="C18:D18"/>
    <mergeCell ref="C19:D19"/>
    <mergeCell ref="B20:H20"/>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47A5E-BFD2-4C54-9632-49BD72BD97AC}">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1862</v>
      </c>
      <c r="C13" s="355" t="s">
        <v>2264</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8869</v>
      </c>
      <c r="I18" s="24">
        <f>H18/F18</f>
        <v>8869</v>
      </c>
    </row>
    <row r="19" spans="2:9" s="201" customFormat="1" ht="12">
      <c r="B19" s="365" t="s">
        <v>2001</v>
      </c>
      <c r="C19" s="365"/>
      <c r="D19" s="365"/>
      <c r="E19" s="365"/>
      <c r="F19" s="365"/>
      <c r="G19" s="365"/>
      <c r="H19" s="365"/>
      <c r="I19" s="202">
        <f>SUM(I18:I18)</f>
        <v>8869</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2265</v>
      </c>
      <c r="C22" s="368" t="s">
        <v>2264</v>
      </c>
      <c r="D22" s="368"/>
      <c r="E22" s="24" t="s">
        <v>780</v>
      </c>
      <c r="F22" s="24">
        <v>1</v>
      </c>
      <c r="G22" s="24"/>
      <c r="H22" s="24">
        <v>435828.34</v>
      </c>
      <c r="I22" s="24">
        <f>F22*H22</f>
        <v>435828.34</v>
      </c>
    </row>
    <row r="23" spans="2:9" s="201" customFormat="1" ht="15" customHeight="1">
      <c r="B23" s="24" t="s">
        <v>2266</v>
      </c>
      <c r="C23" s="368" t="s">
        <v>2267</v>
      </c>
      <c r="D23" s="368"/>
      <c r="E23" s="24" t="s">
        <v>390</v>
      </c>
      <c r="F23" s="24">
        <v>1</v>
      </c>
      <c r="G23" s="24"/>
      <c r="H23" s="24">
        <v>48425.37</v>
      </c>
      <c r="I23" s="24">
        <f>F23*H23</f>
        <v>48425.37</v>
      </c>
    </row>
    <row r="24" spans="2:9" s="201" customFormat="1" ht="12">
      <c r="B24" s="365" t="s">
        <v>2001</v>
      </c>
      <c r="C24" s="365"/>
      <c r="D24" s="365"/>
      <c r="E24" s="365"/>
      <c r="F24" s="365"/>
      <c r="G24" s="365"/>
      <c r="H24" s="365"/>
      <c r="I24" s="202">
        <f>SUM(I22:I23)</f>
        <v>484253.71</v>
      </c>
    </row>
    <row r="25" spans="2:9" s="201" customFormat="1" ht="12">
      <c r="B25" s="365" t="s">
        <v>1062</v>
      </c>
      <c r="C25" s="365"/>
      <c r="D25" s="365"/>
      <c r="E25" s="365"/>
      <c r="F25" s="365"/>
      <c r="G25" s="365"/>
      <c r="H25" s="24">
        <v>0.05</v>
      </c>
      <c r="I25" s="24">
        <f>I24*H25</f>
        <v>24212.685500000003</v>
      </c>
    </row>
    <row r="26" spans="2:9" s="201" customFormat="1" ht="12">
      <c r="B26" s="365" t="s">
        <v>73</v>
      </c>
      <c r="C26" s="365"/>
      <c r="D26" s="365"/>
      <c r="E26" s="365"/>
      <c r="F26" s="365"/>
      <c r="G26" s="365"/>
      <c r="H26" s="365"/>
      <c r="I26" s="202">
        <f>I24+I25</f>
        <v>508466.39550000004</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11824.8</v>
      </c>
      <c r="H29" s="24">
        <f>E29*F29*G29</f>
        <v>11824.8</v>
      </c>
      <c r="I29" s="24">
        <f>H29</f>
        <v>11824.8</v>
      </c>
    </row>
    <row r="30" spans="2:9" s="201" customFormat="1" ht="12">
      <c r="B30" s="365" t="s">
        <v>2001</v>
      </c>
      <c r="C30" s="365"/>
      <c r="D30" s="365"/>
      <c r="E30" s="365"/>
      <c r="F30" s="365"/>
      <c r="G30" s="365"/>
      <c r="H30" s="365"/>
      <c r="I30" s="202">
        <f>SUM(I29:I29)</f>
        <v>11824.8</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2268</v>
      </c>
      <c r="D33" s="368"/>
      <c r="E33" s="24">
        <v>3</v>
      </c>
      <c r="F33" s="24" t="s">
        <v>213</v>
      </c>
      <c r="G33" s="24">
        <v>27500</v>
      </c>
      <c r="H33" s="24">
        <f>E33*G33/I33</f>
        <v>1.3289345974019628</v>
      </c>
      <c r="I33" s="24">
        <f>591240-I19-I26-I30-0</f>
        <v>62079.804499999955</v>
      </c>
    </row>
    <row r="34" spans="2:9" s="201" customFormat="1" ht="12">
      <c r="B34" s="365" t="s">
        <v>2001</v>
      </c>
      <c r="C34" s="365"/>
      <c r="D34" s="365"/>
      <c r="E34" s="365"/>
      <c r="F34" s="365"/>
      <c r="G34" s="365"/>
      <c r="H34" s="365"/>
      <c r="I34" s="202">
        <f>SUM(I33:I33)</f>
        <v>62079.804499999955</v>
      </c>
    </row>
    <row r="35" spans="2:9" s="201" customFormat="1" ht="12"/>
    <row r="36" spans="2:9" s="201" customFormat="1" ht="12">
      <c r="B36" s="369" t="s">
        <v>2026</v>
      </c>
      <c r="C36" s="369"/>
      <c r="D36" s="369"/>
      <c r="E36" s="369"/>
      <c r="F36" s="369"/>
      <c r="G36" s="369"/>
      <c r="H36" s="369"/>
      <c r="I36" s="202">
        <f>I19+I26+I30+I34</f>
        <v>591240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601D9-0E7D-4AC6-9A1C-44028E38F3FC}">
  <dimension ref="B3:I37"/>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1863</v>
      </c>
      <c r="C13" s="355" t="s">
        <v>1992</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33000</v>
      </c>
      <c r="I18" s="24">
        <f>H18/F18</f>
        <v>33000</v>
      </c>
    </row>
    <row r="19" spans="2:9" s="201" customFormat="1" ht="15" customHeight="1">
      <c r="B19" s="24" t="s">
        <v>2118</v>
      </c>
      <c r="C19" s="368" t="s">
        <v>2262</v>
      </c>
      <c r="D19" s="368"/>
      <c r="E19" s="24" t="s">
        <v>390</v>
      </c>
      <c r="F19" s="24">
        <v>1</v>
      </c>
      <c r="G19" s="24"/>
      <c r="H19" s="24">
        <v>33000</v>
      </c>
      <c r="I19" s="24">
        <f>H19/F19</f>
        <v>33000</v>
      </c>
    </row>
    <row r="20" spans="2:9" s="201" customFormat="1" ht="12">
      <c r="B20" s="365" t="s">
        <v>2001</v>
      </c>
      <c r="C20" s="365"/>
      <c r="D20" s="365"/>
      <c r="E20" s="365"/>
      <c r="F20" s="365"/>
      <c r="G20" s="365"/>
      <c r="H20" s="365"/>
      <c r="I20" s="202">
        <f>SUM(I18:I19)</f>
        <v>66000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15" customHeight="1">
      <c r="B23" s="24" t="s">
        <v>2261</v>
      </c>
      <c r="C23" s="368" t="s">
        <v>1992</v>
      </c>
      <c r="D23" s="368"/>
      <c r="E23" s="24" t="s">
        <v>780</v>
      </c>
      <c r="F23" s="24">
        <v>1</v>
      </c>
      <c r="G23" s="24"/>
      <c r="H23" s="24">
        <v>2602285.71</v>
      </c>
      <c r="I23" s="24">
        <f>F23*H23</f>
        <v>2602285.71</v>
      </c>
    </row>
    <row r="24" spans="2:9" s="201" customFormat="1" ht="15" customHeight="1">
      <c r="B24" s="24" t="s">
        <v>2259</v>
      </c>
      <c r="C24" s="368" t="s">
        <v>2258</v>
      </c>
      <c r="D24" s="368"/>
      <c r="E24" s="24" t="s">
        <v>390</v>
      </c>
      <c r="F24" s="24">
        <v>1</v>
      </c>
      <c r="G24" s="24"/>
      <c r="H24" s="24">
        <v>226285.71</v>
      </c>
      <c r="I24" s="24">
        <f>F24*H24</f>
        <v>226285.71</v>
      </c>
    </row>
    <row r="25" spans="2:9" s="201" customFormat="1" ht="12">
      <c r="B25" s="365" t="s">
        <v>2001</v>
      </c>
      <c r="C25" s="365"/>
      <c r="D25" s="365"/>
      <c r="E25" s="365"/>
      <c r="F25" s="365"/>
      <c r="G25" s="365"/>
      <c r="H25" s="365"/>
      <c r="I25" s="202">
        <f>SUM(I23:I24)</f>
        <v>2828571.42</v>
      </c>
    </row>
    <row r="26" spans="2:9" s="201" customFormat="1" ht="12">
      <c r="B26" s="365" t="s">
        <v>1062</v>
      </c>
      <c r="C26" s="365"/>
      <c r="D26" s="365"/>
      <c r="E26" s="365"/>
      <c r="F26" s="365"/>
      <c r="G26" s="365"/>
      <c r="H26" s="24">
        <v>0.05</v>
      </c>
      <c r="I26" s="24">
        <f>I25*H26</f>
        <v>141428.571</v>
      </c>
    </row>
    <row r="27" spans="2:9" s="201" customFormat="1" ht="12">
      <c r="B27" s="365" t="s">
        <v>73</v>
      </c>
      <c r="C27" s="365"/>
      <c r="D27" s="365"/>
      <c r="E27" s="365"/>
      <c r="F27" s="365"/>
      <c r="G27" s="365"/>
      <c r="H27" s="365"/>
      <c r="I27" s="202">
        <f>I25+I26</f>
        <v>2969999.9909999999</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ht="24">
      <c r="B30" s="24" t="s">
        <v>2018</v>
      </c>
      <c r="C30" s="203" t="s">
        <v>2257</v>
      </c>
      <c r="D30" s="24" t="s">
        <v>390</v>
      </c>
      <c r="E30" s="24">
        <v>1</v>
      </c>
      <c r="F30" s="24">
        <v>1</v>
      </c>
      <c r="G30" s="24">
        <v>66000</v>
      </c>
      <c r="H30" s="24">
        <f>E30*F30*G30</f>
        <v>66000</v>
      </c>
      <c r="I30" s="24">
        <f>H30</f>
        <v>66000</v>
      </c>
    </row>
    <row r="31" spans="2:9" s="201" customFormat="1" ht="12">
      <c r="B31" s="365" t="s">
        <v>2001</v>
      </c>
      <c r="C31" s="365"/>
      <c r="D31" s="365"/>
      <c r="E31" s="365"/>
      <c r="F31" s="365"/>
      <c r="G31" s="365"/>
      <c r="H31" s="365"/>
      <c r="I31" s="202">
        <f>SUM(I30:I30)</f>
        <v>66000</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2256</v>
      </c>
      <c r="D34" s="368"/>
      <c r="E34" s="24">
        <v>16</v>
      </c>
      <c r="F34" s="24" t="s">
        <v>213</v>
      </c>
      <c r="G34" s="24">
        <v>27500</v>
      </c>
      <c r="H34" s="24">
        <f>E34*G34/I34</f>
        <v>2.2222221212121251</v>
      </c>
      <c r="I34" s="24">
        <f>3300000-I20-I27-I31-0</f>
        <v>198000.00900000008</v>
      </c>
    </row>
    <row r="35" spans="2:9" s="201" customFormat="1" ht="12">
      <c r="B35" s="365" t="s">
        <v>2001</v>
      </c>
      <c r="C35" s="365"/>
      <c r="D35" s="365"/>
      <c r="E35" s="365"/>
      <c r="F35" s="365"/>
      <c r="G35" s="365"/>
      <c r="H35" s="365"/>
      <c r="I35" s="202">
        <f>SUM(I34:I34)</f>
        <v>198000.00900000008</v>
      </c>
    </row>
    <row r="36" spans="2:9" s="201" customFormat="1" ht="12"/>
    <row r="37" spans="2:9" s="201" customFormat="1" ht="12">
      <c r="B37" s="369" t="s">
        <v>2026</v>
      </c>
      <c r="C37" s="369"/>
      <c r="D37" s="369"/>
      <c r="E37" s="369"/>
      <c r="F37" s="369"/>
      <c r="G37" s="369"/>
      <c r="H37" s="369"/>
      <c r="I37" s="202">
        <f>I20+I27+I31+I35</f>
        <v>3300000</v>
      </c>
    </row>
  </sheetData>
  <mergeCells count="38">
    <mergeCell ref="C34:D34"/>
    <mergeCell ref="B35:H35"/>
    <mergeCell ref="B37:H37"/>
    <mergeCell ref="C33:D33"/>
    <mergeCell ref="B26:G26"/>
    <mergeCell ref="B27:H27"/>
    <mergeCell ref="B28:I28"/>
    <mergeCell ref="B31:H31"/>
    <mergeCell ref="B32:I32"/>
    <mergeCell ref="B21:I21"/>
    <mergeCell ref="C22:D22"/>
    <mergeCell ref="C23:D23"/>
    <mergeCell ref="C24:D24"/>
    <mergeCell ref="B25:H25"/>
    <mergeCell ref="B16:I16"/>
    <mergeCell ref="C17:D17"/>
    <mergeCell ref="C18:D18"/>
    <mergeCell ref="C19:D19"/>
    <mergeCell ref="B20:H20"/>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DC83-2CC4-4966-B2D8-D485243662E8}">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1864</v>
      </c>
      <c r="C13" s="355" t="s">
        <v>1871</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7141</v>
      </c>
      <c r="I18" s="24">
        <f>H18/F18</f>
        <v>7141</v>
      </c>
    </row>
    <row r="19" spans="2:9" s="201" customFormat="1" ht="12">
      <c r="B19" s="365" t="s">
        <v>2001</v>
      </c>
      <c r="C19" s="365"/>
      <c r="D19" s="365"/>
      <c r="E19" s="365"/>
      <c r="F19" s="365"/>
      <c r="G19" s="365"/>
      <c r="H19" s="365"/>
      <c r="I19" s="202">
        <f>SUM(I18:I18)</f>
        <v>7141</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2265</v>
      </c>
      <c r="C22" s="368" t="s">
        <v>1871</v>
      </c>
      <c r="D22" s="368"/>
      <c r="E22" s="24" t="s">
        <v>780</v>
      </c>
      <c r="F22" s="24">
        <v>1</v>
      </c>
      <c r="G22" s="24"/>
      <c r="H22" s="24">
        <v>350909.49</v>
      </c>
      <c r="I22" s="24">
        <f>F22*H22</f>
        <v>350909.49</v>
      </c>
    </row>
    <row r="23" spans="2:9" s="201" customFormat="1" ht="15" customHeight="1">
      <c r="B23" s="24" t="s">
        <v>2266</v>
      </c>
      <c r="C23" s="368" t="s">
        <v>2267</v>
      </c>
      <c r="D23" s="368"/>
      <c r="E23" s="24" t="s">
        <v>390</v>
      </c>
      <c r="F23" s="24">
        <v>1</v>
      </c>
      <c r="G23" s="24"/>
      <c r="H23" s="24">
        <v>38989.94</v>
      </c>
      <c r="I23" s="24">
        <f>F23*H23</f>
        <v>38989.94</v>
      </c>
    </row>
    <row r="24" spans="2:9" s="201" customFormat="1" ht="12">
      <c r="B24" s="365" t="s">
        <v>2001</v>
      </c>
      <c r="C24" s="365"/>
      <c r="D24" s="365"/>
      <c r="E24" s="365"/>
      <c r="F24" s="365"/>
      <c r="G24" s="365"/>
      <c r="H24" s="365"/>
      <c r="I24" s="202">
        <f>SUM(I22:I23)</f>
        <v>389899.43</v>
      </c>
    </row>
    <row r="25" spans="2:9" s="201" customFormat="1" ht="12">
      <c r="B25" s="365" t="s">
        <v>1062</v>
      </c>
      <c r="C25" s="365"/>
      <c r="D25" s="365"/>
      <c r="E25" s="365"/>
      <c r="F25" s="365"/>
      <c r="G25" s="365"/>
      <c r="H25" s="24">
        <v>0.05</v>
      </c>
      <c r="I25" s="24">
        <f>I24*H25</f>
        <v>19494.9715</v>
      </c>
    </row>
    <row r="26" spans="2:9" s="201" customFormat="1" ht="12">
      <c r="B26" s="365" t="s">
        <v>73</v>
      </c>
      <c r="C26" s="365"/>
      <c r="D26" s="365"/>
      <c r="E26" s="365"/>
      <c r="F26" s="365"/>
      <c r="G26" s="365"/>
      <c r="H26" s="365"/>
      <c r="I26" s="202">
        <f>I24+I25</f>
        <v>409394.40149999998</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9520.7999999999993</v>
      </c>
      <c r="H29" s="24">
        <f>E29*F29*G29</f>
        <v>9520.7999999999993</v>
      </c>
      <c r="I29" s="24">
        <f>H29</f>
        <v>9520.7999999999993</v>
      </c>
    </row>
    <row r="30" spans="2:9" s="201" customFormat="1" ht="12">
      <c r="B30" s="365" t="s">
        <v>2001</v>
      </c>
      <c r="C30" s="365"/>
      <c r="D30" s="365"/>
      <c r="E30" s="365"/>
      <c r="F30" s="365"/>
      <c r="G30" s="365"/>
      <c r="H30" s="365"/>
      <c r="I30" s="202">
        <f>SUM(I29:I29)</f>
        <v>9520.7999999999993</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2268</v>
      </c>
      <c r="D33" s="368"/>
      <c r="E33" s="24">
        <v>3</v>
      </c>
      <c r="F33" s="24" t="s">
        <v>213</v>
      </c>
      <c r="G33" s="24">
        <v>27500</v>
      </c>
      <c r="H33" s="24">
        <f>E33*G33/I33</f>
        <v>1.6505348227986307</v>
      </c>
      <c r="I33" s="24">
        <f>476040-I19-I26-I30-0</f>
        <v>49983.798500000019</v>
      </c>
    </row>
    <row r="34" spans="2:9" s="201" customFormat="1" ht="12">
      <c r="B34" s="365" t="s">
        <v>2001</v>
      </c>
      <c r="C34" s="365"/>
      <c r="D34" s="365"/>
      <c r="E34" s="365"/>
      <c r="F34" s="365"/>
      <c r="G34" s="365"/>
      <c r="H34" s="365"/>
      <c r="I34" s="202">
        <f>SUM(I33:I33)</f>
        <v>49983.798500000019</v>
      </c>
    </row>
    <row r="35" spans="2:9" s="201" customFormat="1" ht="12"/>
    <row r="36" spans="2:9" s="201" customFormat="1" ht="12">
      <c r="B36" s="369" t="s">
        <v>2026</v>
      </c>
      <c r="C36" s="369"/>
      <c r="D36" s="369"/>
      <c r="E36" s="369"/>
      <c r="F36" s="369"/>
      <c r="G36" s="369"/>
      <c r="H36" s="369"/>
      <c r="I36" s="202">
        <f>I19+I26+I30+I34</f>
        <v>476040</v>
      </c>
    </row>
  </sheetData>
  <mergeCells count="37">
    <mergeCell ref="B36:H36"/>
    <mergeCell ref="B19:H19"/>
    <mergeCell ref="B20:I20"/>
    <mergeCell ref="C21:D21"/>
    <mergeCell ref="B24:H24"/>
    <mergeCell ref="B25:G25"/>
    <mergeCell ref="B26:H26"/>
    <mergeCell ref="B27:I27"/>
    <mergeCell ref="B30:H30"/>
    <mergeCell ref="B31:I31"/>
    <mergeCell ref="C33:D33"/>
    <mergeCell ref="C32:D32"/>
    <mergeCell ref="B34:H34"/>
    <mergeCell ref="C22:D22"/>
    <mergeCell ref="C23:D23"/>
    <mergeCell ref="B16:I16"/>
    <mergeCell ref="C17:D17"/>
    <mergeCell ref="C18:D18"/>
    <mergeCell ref="B9:C10"/>
    <mergeCell ref="D9:D10"/>
    <mergeCell ref="E9:I10"/>
    <mergeCell ref="B11:I11"/>
    <mergeCell ref="C12:F12"/>
    <mergeCell ref="G12:H12"/>
    <mergeCell ref="C13:F13"/>
    <mergeCell ref="G13:H13"/>
    <mergeCell ref="C14:E14"/>
    <mergeCell ref="F14:H14"/>
    <mergeCell ref="C15:E15"/>
    <mergeCell ref="F15:H15"/>
    <mergeCell ref="B3:C7"/>
    <mergeCell ref="D3:E5"/>
    <mergeCell ref="G3:I3"/>
    <mergeCell ref="H4:I4"/>
    <mergeCell ref="G5:I5"/>
    <mergeCell ref="D6:E7"/>
    <mergeCell ref="F6:I7"/>
  </mergeCells>
  <pageMargins left="0.7" right="0.7" top="0.75" bottom="0.75" header="0.3" footer="0.3"/>
  <drawing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D9387-DD5D-472A-8736-E72C05385AEF}">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1865</v>
      </c>
      <c r="C13" s="355" t="s">
        <v>2269</v>
      </c>
      <c r="D13" s="355"/>
      <c r="E13" s="355"/>
      <c r="F13" s="355"/>
      <c r="G13" s="286" t="s">
        <v>780</v>
      </c>
      <c r="H13" s="286"/>
      <c r="I13" s="114">
        <v>2</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1777</v>
      </c>
      <c r="I18" s="24">
        <f>H18/F18</f>
        <v>1777</v>
      </c>
    </row>
    <row r="19" spans="2:9" s="201" customFormat="1" ht="12">
      <c r="B19" s="365" t="s">
        <v>2001</v>
      </c>
      <c r="C19" s="365"/>
      <c r="D19" s="365"/>
      <c r="E19" s="365"/>
      <c r="F19" s="365"/>
      <c r="G19" s="365"/>
      <c r="H19" s="365"/>
      <c r="I19" s="202">
        <f>SUM(I18:I18)</f>
        <v>1777</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2265</v>
      </c>
      <c r="C22" s="368" t="s">
        <v>2269</v>
      </c>
      <c r="D22" s="368"/>
      <c r="E22" s="24" t="s">
        <v>780</v>
      </c>
      <c r="F22" s="24">
        <v>1</v>
      </c>
      <c r="G22" s="24"/>
      <c r="H22" s="24">
        <v>87307.199999999997</v>
      </c>
      <c r="I22" s="24">
        <f>F22*H22</f>
        <v>87307.199999999997</v>
      </c>
    </row>
    <row r="23" spans="2:9" s="201" customFormat="1" ht="15" customHeight="1">
      <c r="B23" s="24" t="s">
        <v>2266</v>
      </c>
      <c r="C23" s="368" t="s">
        <v>2267</v>
      </c>
      <c r="D23" s="368"/>
      <c r="E23" s="24" t="s">
        <v>390</v>
      </c>
      <c r="F23" s="24">
        <v>1</v>
      </c>
      <c r="G23" s="24"/>
      <c r="H23" s="24">
        <v>9700.7999999999993</v>
      </c>
      <c r="I23" s="24">
        <f>F23*H23</f>
        <v>9700.7999999999993</v>
      </c>
    </row>
    <row r="24" spans="2:9" s="201" customFormat="1" ht="12">
      <c r="B24" s="365" t="s">
        <v>2001</v>
      </c>
      <c r="C24" s="365"/>
      <c r="D24" s="365"/>
      <c r="E24" s="365"/>
      <c r="F24" s="365"/>
      <c r="G24" s="365"/>
      <c r="H24" s="365"/>
      <c r="I24" s="202">
        <f>SUM(I22:I23)</f>
        <v>97008</v>
      </c>
    </row>
    <row r="25" spans="2:9" s="201" customFormat="1" ht="12">
      <c r="B25" s="365" t="s">
        <v>1062</v>
      </c>
      <c r="C25" s="365"/>
      <c r="D25" s="365"/>
      <c r="E25" s="365"/>
      <c r="F25" s="365"/>
      <c r="G25" s="365"/>
      <c r="H25" s="24">
        <v>0.05</v>
      </c>
      <c r="I25" s="24">
        <f>I24*H25</f>
        <v>4850.4000000000005</v>
      </c>
    </row>
    <row r="26" spans="2:9" s="201" customFormat="1" ht="12">
      <c r="B26" s="365" t="s">
        <v>73</v>
      </c>
      <c r="C26" s="365"/>
      <c r="D26" s="365"/>
      <c r="E26" s="365"/>
      <c r="F26" s="365"/>
      <c r="G26" s="365"/>
      <c r="H26" s="365"/>
      <c r="I26" s="202">
        <f>I24+I25</f>
        <v>101858.4</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2368.8000000000002</v>
      </c>
      <c r="H29" s="24">
        <f>E29*F29*G29</f>
        <v>2368.8000000000002</v>
      </c>
      <c r="I29" s="24">
        <f>H29</f>
        <v>2368.8000000000002</v>
      </c>
    </row>
    <row r="30" spans="2:9" s="201" customFormat="1" ht="12">
      <c r="B30" s="365" t="s">
        <v>2001</v>
      </c>
      <c r="C30" s="365"/>
      <c r="D30" s="365"/>
      <c r="E30" s="365"/>
      <c r="F30" s="365"/>
      <c r="G30" s="365"/>
      <c r="H30" s="365"/>
      <c r="I30" s="202">
        <f>SUM(I29:I29)</f>
        <v>2368.8000000000002</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2268</v>
      </c>
      <c r="D33" s="368"/>
      <c r="E33" s="24">
        <v>3</v>
      </c>
      <c r="F33" s="24" t="s">
        <v>213</v>
      </c>
      <c r="G33" s="24">
        <v>27500</v>
      </c>
      <c r="H33" s="24">
        <f>E33*G33/I33</f>
        <v>6.6340725968574565</v>
      </c>
      <c r="I33" s="24">
        <f>118440-I19-I26-I30-0</f>
        <v>12435.800000000007</v>
      </c>
    </row>
    <row r="34" spans="2:9" s="201" customFormat="1" ht="12">
      <c r="B34" s="365" t="s">
        <v>2001</v>
      </c>
      <c r="C34" s="365"/>
      <c r="D34" s="365"/>
      <c r="E34" s="365"/>
      <c r="F34" s="365"/>
      <c r="G34" s="365"/>
      <c r="H34" s="365"/>
      <c r="I34" s="202">
        <f>SUM(I33:I33)</f>
        <v>12435.800000000007</v>
      </c>
    </row>
    <row r="35" spans="2:9" s="201" customFormat="1" ht="12"/>
    <row r="36" spans="2:9" s="201" customFormat="1" ht="12">
      <c r="B36" s="369" t="s">
        <v>2026</v>
      </c>
      <c r="C36" s="369"/>
      <c r="D36" s="369"/>
      <c r="E36" s="369"/>
      <c r="F36" s="369"/>
      <c r="G36" s="369"/>
      <c r="H36" s="369"/>
      <c r="I36" s="202">
        <f>I19+I26+I30+I34</f>
        <v>118440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21BD4-2FCF-44E5-8EC0-9034DB6D5DC8}">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1866</v>
      </c>
      <c r="C13" s="355" t="s">
        <v>1872</v>
      </c>
      <c r="D13" s="355"/>
      <c r="E13" s="355"/>
      <c r="F13" s="355"/>
      <c r="G13" s="286" t="s">
        <v>780</v>
      </c>
      <c r="H13" s="286"/>
      <c r="I13" s="114">
        <v>2</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6313</v>
      </c>
      <c r="I18" s="24">
        <f>H18/F18</f>
        <v>6313</v>
      </c>
    </row>
    <row r="19" spans="2:9" s="201" customFormat="1" ht="12">
      <c r="B19" s="365" t="s">
        <v>2001</v>
      </c>
      <c r="C19" s="365"/>
      <c r="D19" s="365"/>
      <c r="E19" s="365"/>
      <c r="F19" s="365"/>
      <c r="G19" s="365"/>
      <c r="H19" s="365"/>
      <c r="I19" s="202">
        <f>SUM(I18:I18)</f>
        <v>6313</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2265</v>
      </c>
      <c r="C22" s="368" t="s">
        <v>1872</v>
      </c>
      <c r="D22" s="368"/>
      <c r="E22" s="24" t="s">
        <v>780</v>
      </c>
      <c r="F22" s="24">
        <v>1</v>
      </c>
      <c r="G22" s="24"/>
      <c r="H22" s="24">
        <v>310219.2</v>
      </c>
      <c r="I22" s="24">
        <f>F22*H22</f>
        <v>310219.2</v>
      </c>
    </row>
    <row r="23" spans="2:9" s="201" customFormat="1" ht="15" customHeight="1">
      <c r="B23" s="24" t="s">
        <v>2266</v>
      </c>
      <c r="C23" s="368" t="s">
        <v>2267</v>
      </c>
      <c r="D23" s="368"/>
      <c r="E23" s="24" t="s">
        <v>390</v>
      </c>
      <c r="F23" s="24">
        <v>1</v>
      </c>
      <c r="G23" s="24"/>
      <c r="H23" s="24">
        <v>34468.800000000003</v>
      </c>
      <c r="I23" s="24">
        <f>F23*H23</f>
        <v>34468.800000000003</v>
      </c>
    </row>
    <row r="24" spans="2:9" s="201" customFormat="1" ht="12">
      <c r="B24" s="365" t="s">
        <v>2001</v>
      </c>
      <c r="C24" s="365"/>
      <c r="D24" s="365"/>
      <c r="E24" s="365"/>
      <c r="F24" s="365"/>
      <c r="G24" s="365"/>
      <c r="H24" s="365"/>
      <c r="I24" s="202">
        <f>SUM(I22:I23)</f>
        <v>344688</v>
      </c>
    </row>
    <row r="25" spans="2:9" s="201" customFormat="1" ht="12">
      <c r="B25" s="365" t="s">
        <v>1062</v>
      </c>
      <c r="C25" s="365"/>
      <c r="D25" s="365"/>
      <c r="E25" s="365"/>
      <c r="F25" s="365"/>
      <c r="G25" s="365"/>
      <c r="H25" s="24">
        <v>0.05</v>
      </c>
      <c r="I25" s="24">
        <f>I24*H25</f>
        <v>17234.400000000001</v>
      </c>
    </row>
    <row r="26" spans="2:9" s="201" customFormat="1" ht="12">
      <c r="B26" s="365" t="s">
        <v>73</v>
      </c>
      <c r="C26" s="365"/>
      <c r="D26" s="365"/>
      <c r="E26" s="365"/>
      <c r="F26" s="365"/>
      <c r="G26" s="365"/>
      <c r="H26" s="365"/>
      <c r="I26" s="202">
        <f>I24+I25</f>
        <v>361922.4</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8416.7999999999993</v>
      </c>
      <c r="H29" s="24">
        <f>E29*F29*G29</f>
        <v>8416.7999999999993</v>
      </c>
      <c r="I29" s="24">
        <f>H29</f>
        <v>8416.7999999999993</v>
      </c>
    </row>
    <row r="30" spans="2:9" s="201" customFormat="1" ht="12">
      <c r="B30" s="365" t="s">
        <v>2001</v>
      </c>
      <c r="C30" s="365"/>
      <c r="D30" s="365"/>
      <c r="E30" s="365"/>
      <c r="F30" s="365"/>
      <c r="G30" s="365"/>
      <c r="H30" s="365"/>
      <c r="I30" s="202">
        <f>SUM(I29:I29)</f>
        <v>8416.7999999999993</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2268</v>
      </c>
      <c r="D33" s="368"/>
      <c r="E33" s="24">
        <v>3</v>
      </c>
      <c r="F33" s="24" t="s">
        <v>213</v>
      </c>
      <c r="G33" s="24">
        <v>27500</v>
      </c>
      <c r="H33" s="24">
        <f>E33*G33/I33</f>
        <v>1.8670311714998269</v>
      </c>
      <c r="I33" s="24">
        <f>420840-I19-I26-I30-0</f>
        <v>44187.799999999974</v>
      </c>
    </row>
    <row r="34" spans="2:9" s="201" customFormat="1" ht="12">
      <c r="B34" s="365" t="s">
        <v>2001</v>
      </c>
      <c r="C34" s="365"/>
      <c r="D34" s="365"/>
      <c r="E34" s="365"/>
      <c r="F34" s="365"/>
      <c r="G34" s="365"/>
      <c r="H34" s="365"/>
      <c r="I34" s="202">
        <f>SUM(I33:I33)</f>
        <v>44187.799999999974</v>
      </c>
    </row>
    <row r="35" spans="2:9" s="201" customFormat="1" ht="12"/>
    <row r="36" spans="2:9" s="201" customFormat="1" ht="12">
      <c r="B36" s="369" t="s">
        <v>2026</v>
      </c>
      <c r="C36" s="369"/>
      <c r="D36" s="369"/>
      <c r="E36" s="369"/>
      <c r="F36" s="369"/>
      <c r="G36" s="369"/>
      <c r="H36" s="369"/>
      <c r="I36" s="202">
        <f>I19+I26+I30+I34</f>
        <v>420840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37F67-A17A-433D-8726-422842A341D8}">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1867</v>
      </c>
      <c r="C13" s="355" t="s">
        <v>2270</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2430</v>
      </c>
      <c r="I18" s="24">
        <f>H18/F18</f>
        <v>2430</v>
      </c>
    </row>
    <row r="19" spans="2:9" s="201" customFormat="1" ht="12">
      <c r="B19" s="365" t="s">
        <v>2001</v>
      </c>
      <c r="C19" s="365"/>
      <c r="D19" s="365"/>
      <c r="E19" s="365"/>
      <c r="F19" s="365"/>
      <c r="G19" s="365"/>
      <c r="H19" s="365"/>
      <c r="I19" s="202">
        <f>SUM(I18:I18)</f>
        <v>2430</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2265</v>
      </c>
      <c r="C22" s="368" t="s">
        <v>2270</v>
      </c>
      <c r="D22" s="368"/>
      <c r="E22" s="24" t="s">
        <v>780</v>
      </c>
      <c r="F22" s="24">
        <v>1</v>
      </c>
      <c r="G22" s="24"/>
      <c r="H22" s="24">
        <v>119417.14</v>
      </c>
      <c r="I22" s="24">
        <f>F22*H22</f>
        <v>119417.14</v>
      </c>
    </row>
    <row r="23" spans="2:9" s="201" customFormat="1" ht="15" customHeight="1">
      <c r="B23" s="24" t="s">
        <v>2266</v>
      </c>
      <c r="C23" s="368" t="s">
        <v>2267</v>
      </c>
      <c r="D23" s="368"/>
      <c r="E23" s="24" t="s">
        <v>390</v>
      </c>
      <c r="F23" s="24">
        <v>1</v>
      </c>
      <c r="G23" s="24"/>
      <c r="H23" s="24">
        <v>13268.57</v>
      </c>
      <c r="I23" s="24">
        <f>F23*H23</f>
        <v>13268.57</v>
      </c>
    </row>
    <row r="24" spans="2:9" s="201" customFormat="1" ht="12">
      <c r="B24" s="365" t="s">
        <v>2001</v>
      </c>
      <c r="C24" s="365"/>
      <c r="D24" s="365"/>
      <c r="E24" s="365"/>
      <c r="F24" s="365"/>
      <c r="G24" s="365"/>
      <c r="H24" s="365"/>
      <c r="I24" s="202">
        <f>SUM(I22:I23)</f>
        <v>132685.71</v>
      </c>
    </row>
    <row r="25" spans="2:9" s="201" customFormat="1" ht="12">
      <c r="B25" s="365" t="s">
        <v>1062</v>
      </c>
      <c r="C25" s="365"/>
      <c r="D25" s="365"/>
      <c r="E25" s="365"/>
      <c r="F25" s="365"/>
      <c r="G25" s="365"/>
      <c r="H25" s="24">
        <v>0.05</v>
      </c>
      <c r="I25" s="24">
        <f>I24*H25</f>
        <v>6634.2855</v>
      </c>
    </row>
    <row r="26" spans="2:9" s="201" customFormat="1" ht="12">
      <c r="B26" s="365" t="s">
        <v>73</v>
      </c>
      <c r="C26" s="365"/>
      <c r="D26" s="365"/>
      <c r="E26" s="365"/>
      <c r="F26" s="365"/>
      <c r="G26" s="365"/>
      <c r="H26" s="365"/>
      <c r="I26" s="202">
        <f>I24+I25</f>
        <v>139319.99549999999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ht="12">
      <c r="B29" s="24" t="s">
        <v>2018</v>
      </c>
      <c r="C29" s="203" t="s">
        <v>2049</v>
      </c>
      <c r="D29" s="24" t="s">
        <v>390</v>
      </c>
      <c r="E29" s="24">
        <v>1</v>
      </c>
      <c r="F29" s="24">
        <v>1</v>
      </c>
      <c r="G29" s="24">
        <v>3240</v>
      </c>
      <c r="H29" s="24">
        <f>E29*F29*G29</f>
        <v>3240</v>
      </c>
      <c r="I29" s="24">
        <f>H29</f>
        <v>3240</v>
      </c>
    </row>
    <row r="30" spans="2:9" s="201" customFormat="1" ht="12">
      <c r="B30" s="365" t="s">
        <v>2001</v>
      </c>
      <c r="C30" s="365"/>
      <c r="D30" s="365"/>
      <c r="E30" s="365"/>
      <c r="F30" s="365"/>
      <c r="G30" s="365"/>
      <c r="H30" s="365"/>
      <c r="I30" s="202">
        <f>SUM(I29:I29)</f>
        <v>3240</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15" customHeight="1">
      <c r="B33" s="24" t="s">
        <v>2022</v>
      </c>
      <c r="C33" s="368" t="s">
        <v>2268</v>
      </c>
      <c r="D33" s="368"/>
      <c r="E33" s="24">
        <v>3</v>
      </c>
      <c r="F33" s="24" t="s">
        <v>213</v>
      </c>
      <c r="G33" s="24">
        <v>27500</v>
      </c>
      <c r="H33" s="24">
        <f>E33*G33/I33</f>
        <v>4.8500869003297415</v>
      </c>
      <c r="I33" s="24">
        <f>162000-I19-I26-I30-0</f>
        <v>17010.00450000001</v>
      </c>
    </row>
    <row r="34" spans="2:9" s="201" customFormat="1" ht="12">
      <c r="B34" s="365" t="s">
        <v>2001</v>
      </c>
      <c r="C34" s="365"/>
      <c r="D34" s="365"/>
      <c r="E34" s="365"/>
      <c r="F34" s="365"/>
      <c r="G34" s="365"/>
      <c r="H34" s="365"/>
      <c r="I34" s="202">
        <f>SUM(I33:I33)</f>
        <v>17010.00450000001</v>
      </c>
    </row>
    <row r="35" spans="2:9" s="201" customFormat="1" ht="12"/>
    <row r="36" spans="2:9" s="201" customFormat="1" ht="12">
      <c r="B36" s="369" t="s">
        <v>2026</v>
      </c>
      <c r="C36" s="369"/>
      <c r="D36" s="369"/>
      <c r="E36" s="369"/>
      <c r="F36" s="369"/>
      <c r="G36" s="369"/>
      <c r="H36" s="369"/>
      <c r="I36" s="202">
        <f>I19+I26+I30+I34</f>
        <v>162000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65D1-2B48-4375-9C21-BCDD9612D188}">
  <dimension ref="B3:I36"/>
  <sheetViews>
    <sheetView zoomScale="70" zoomScaleNormal="70"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1868</v>
      </c>
      <c r="C13" s="355" t="s">
        <v>1993</v>
      </c>
      <c r="D13" s="355"/>
      <c r="E13" s="355"/>
      <c r="F13" s="355"/>
      <c r="G13" s="286" t="s">
        <v>27</v>
      </c>
      <c r="H13" s="286"/>
      <c r="I13" s="114">
        <v>6</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28.35" customHeight="1">
      <c r="B18" s="24" t="s">
        <v>2007</v>
      </c>
      <c r="C18" s="368" t="s">
        <v>2008</v>
      </c>
      <c r="D18" s="368"/>
      <c r="E18" s="24" t="s">
        <v>390</v>
      </c>
      <c r="F18" s="24">
        <v>1</v>
      </c>
      <c r="G18" s="24"/>
      <c r="H18" s="24">
        <v>528</v>
      </c>
      <c r="I18" s="24">
        <f>H18/F18</f>
        <v>528</v>
      </c>
    </row>
    <row r="19" spans="2:9" s="201" customFormat="1" ht="12">
      <c r="B19" s="365" t="s">
        <v>2001</v>
      </c>
      <c r="C19" s="365"/>
      <c r="D19" s="365"/>
      <c r="E19" s="365"/>
      <c r="F19" s="365"/>
      <c r="G19" s="365"/>
      <c r="H19" s="365"/>
      <c r="I19" s="202">
        <f>SUM(I18:I18)</f>
        <v>528</v>
      </c>
    </row>
    <row r="20" spans="2:9" s="201" customFormat="1" ht="15" customHeight="1">
      <c r="B20" s="367" t="s">
        <v>2009</v>
      </c>
      <c r="C20" s="367"/>
      <c r="D20" s="367"/>
      <c r="E20" s="367"/>
      <c r="F20" s="367"/>
      <c r="G20" s="367"/>
      <c r="H20" s="367"/>
      <c r="I20" s="367"/>
    </row>
    <row r="21" spans="2:9" s="201" customFormat="1" ht="15" customHeight="1">
      <c r="B21" s="202" t="s">
        <v>42</v>
      </c>
      <c r="C21" s="367" t="s">
        <v>58</v>
      </c>
      <c r="D21" s="367"/>
      <c r="E21" s="202" t="s">
        <v>1</v>
      </c>
      <c r="F21" s="202" t="s">
        <v>67</v>
      </c>
      <c r="G21" s="202"/>
      <c r="H21" s="202" t="s">
        <v>61</v>
      </c>
      <c r="I21" s="202" t="s">
        <v>79</v>
      </c>
    </row>
    <row r="22" spans="2:9" s="201" customFormat="1" ht="15" customHeight="1">
      <c r="B22" s="24" t="s">
        <v>2271</v>
      </c>
      <c r="C22" s="368" t="s">
        <v>2272</v>
      </c>
      <c r="D22" s="368"/>
      <c r="E22" s="24" t="s">
        <v>137</v>
      </c>
      <c r="F22" s="24">
        <v>1</v>
      </c>
      <c r="G22" s="24"/>
      <c r="H22" s="24">
        <v>23508.57</v>
      </c>
      <c r="I22" s="24">
        <f>F22*H22</f>
        <v>23508.57</v>
      </c>
    </row>
    <row r="23" spans="2:9" s="201" customFormat="1" ht="15" customHeight="1">
      <c r="B23" s="24" t="s">
        <v>2273</v>
      </c>
      <c r="C23" s="368" t="s">
        <v>2274</v>
      </c>
      <c r="D23" s="368"/>
      <c r="E23" s="24" t="s">
        <v>390</v>
      </c>
      <c r="F23" s="24">
        <v>1</v>
      </c>
      <c r="G23" s="24"/>
      <c r="H23" s="24">
        <v>4148.57</v>
      </c>
      <c r="I23" s="24">
        <f>F23*H23</f>
        <v>4148.57</v>
      </c>
    </row>
    <row r="24" spans="2:9" s="201" customFormat="1" ht="12">
      <c r="B24" s="365" t="s">
        <v>2001</v>
      </c>
      <c r="C24" s="365"/>
      <c r="D24" s="365"/>
      <c r="E24" s="365"/>
      <c r="F24" s="365"/>
      <c r="G24" s="365"/>
      <c r="H24" s="365"/>
      <c r="I24" s="202">
        <f>SUM(I22:I23)</f>
        <v>27657.14</v>
      </c>
    </row>
    <row r="25" spans="2:9" s="201" customFormat="1" ht="12">
      <c r="B25" s="365" t="s">
        <v>1062</v>
      </c>
      <c r="C25" s="365"/>
      <c r="D25" s="365"/>
      <c r="E25" s="365"/>
      <c r="F25" s="365"/>
      <c r="G25" s="365"/>
      <c r="H25" s="24">
        <v>0.05</v>
      </c>
      <c r="I25" s="24">
        <f>I24*H25</f>
        <v>1382.857</v>
      </c>
    </row>
    <row r="26" spans="2:9" s="201" customFormat="1" ht="12">
      <c r="B26" s="365" t="s">
        <v>73</v>
      </c>
      <c r="C26" s="365"/>
      <c r="D26" s="365"/>
      <c r="E26" s="365"/>
      <c r="F26" s="365"/>
      <c r="G26" s="365"/>
      <c r="H26" s="365"/>
      <c r="I26" s="202">
        <f>I24+I25</f>
        <v>29039.996999999999</v>
      </c>
    </row>
    <row r="27" spans="2:9" s="201" customFormat="1" ht="15" customHeight="1">
      <c r="B27" s="367" t="s">
        <v>2016</v>
      </c>
      <c r="C27" s="367"/>
      <c r="D27" s="367"/>
      <c r="E27" s="367"/>
      <c r="F27" s="367"/>
      <c r="G27" s="367"/>
      <c r="H27" s="367"/>
      <c r="I27" s="367"/>
    </row>
    <row r="28" spans="2:9" s="201" customFormat="1" ht="12">
      <c r="B28" s="202" t="s">
        <v>42</v>
      </c>
      <c r="C28" s="202" t="s">
        <v>58</v>
      </c>
      <c r="D28" s="202" t="s">
        <v>136</v>
      </c>
      <c r="E28" s="202" t="s">
        <v>0</v>
      </c>
      <c r="F28" s="202" t="s">
        <v>2017</v>
      </c>
      <c r="G28" s="202" t="s">
        <v>345</v>
      </c>
      <c r="H28" s="202" t="s">
        <v>61</v>
      </c>
      <c r="I28" s="202" t="s">
        <v>79</v>
      </c>
    </row>
    <row r="29" spans="2:9" s="201" customFormat="1">
      <c r="B29" s="24" t="s">
        <v>2018</v>
      </c>
      <c r="C29" s="203" t="s">
        <v>2038</v>
      </c>
      <c r="D29" s="24" t="s">
        <v>390</v>
      </c>
      <c r="E29" s="24">
        <v>1</v>
      </c>
      <c r="F29" s="24">
        <v>1</v>
      </c>
      <c r="G29" s="24">
        <v>1584</v>
      </c>
      <c r="H29" s="24">
        <f>E29*F29*G29</f>
        <v>1584</v>
      </c>
      <c r="I29" s="24">
        <f>H29</f>
        <v>1584</v>
      </c>
    </row>
    <row r="30" spans="2:9" s="201" customFormat="1" ht="12">
      <c r="B30" s="365" t="s">
        <v>2001</v>
      </c>
      <c r="C30" s="365"/>
      <c r="D30" s="365"/>
      <c r="E30" s="365"/>
      <c r="F30" s="365"/>
      <c r="G30" s="365"/>
      <c r="H30" s="365"/>
      <c r="I30" s="202">
        <f>SUM(I29:I29)</f>
        <v>1584</v>
      </c>
    </row>
    <row r="31" spans="2:9" s="201" customFormat="1" ht="15" customHeight="1">
      <c r="B31" s="367" t="s">
        <v>2020</v>
      </c>
      <c r="C31" s="367"/>
      <c r="D31" s="367"/>
      <c r="E31" s="367"/>
      <c r="F31" s="367"/>
      <c r="G31" s="367"/>
      <c r="H31" s="367"/>
      <c r="I31" s="367"/>
    </row>
    <row r="32" spans="2:9" s="201" customFormat="1" ht="28.35" customHeight="1">
      <c r="B32" s="202" t="s">
        <v>42</v>
      </c>
      <c r="C32" s="367" t="s">
        <v>84</v>
      </c>
      <c r="D32" s="367"/>
      <c r="E32" s="202" t="s">
        <v>2021</v>
      </c>
      <c r="F32" s="202" t="s">
        <v>1</v>
      </c>
      <c r="G32" s="202" t="s">
        <v>77</v>
      </c>
      <c r="H32" s="202" t="s">
        <v>78</v>
      </c>
      <c r="I32" s="202" t="s">
        <v>79</v>
      </c>
    </row>
    <row r="33" spans="2:9" s="201" customFormat="1" ht="28.35" customHeight="1">
      <c r="B33" s="24" t="s">
        <v>2022</v>
      </c>
      <c r="C33" s="368" t="s">
        <v>2275</v>
      </c>
      <c r="D33" s="368"/>
      <c r="E33" s="24">
        <v>1.5</v>
      </c>
      <c r="F33" s="24" t="s">
        <v>213</v>
      </c>
      <c r="G33" s="24">
        <v>19000</v>
      </c>
      <c r="H33" s="24">
        <f>E33*G33/I33</f>
        <v>1.3165186645622693</v>
      </c>
      <c r="I33" s="24">
        <f>52800-I19-I26-I30-0</f>
        <v>21648.003000000001</v>
      </c>
    </row>
    <row r="34" spans="2:9" s="201" customFormat="1" ht="12">
      <c r="B34" s="365" t="s">
        <v>2001</v>
      </c>
      <c r="C34" s="365"/>
      <c r="D34" s="365"/>
      <c r="E34" s="365"/>
      <c r="F34" s="365"/>
      <c r="G34" s="365"/>
      <c r="H34" s="365"/>
      <c r="I34" s="202">
        <f>SUM(I33:I33)</f>
        <v>21648.003000000001</v>
      </c>
    </row>
    <row r="35" spans="2:9" s="201" customFormat="1" ht="12"/>
    <row r="36" spans="2:9" s="201" customFormat="1" ht="12">
      <c r="B36" s="369" t="s">
        <v>2026</v>
      </c>
      <c r="C36" s="369"/>
      <c r="D36" s="369"/>
      <c r="E36" s="369"/>
      <c r="F36" s="369"/>
      <c r="G36" s="369"/>
      <c r="H36" s="369"/>
      <c r="I36" s="202">
        <f>I19+I26+I30+I34</f>
        <v>52800</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1:D21"/>
    <mergeCell ref="C13:F13"/>
    <mergeCell ref="G13:H13"/>
    <mergeCell ref="C14:E14"/>
    <mergeCell ref="F14:H14"/>
    <mergeCell ref="C15:E15"/>
    <mergeCell ref="F15:H15"/>
    <mergeCell ref="B16:I16"/>
    <mergeCell ref="C17:D17"/>
    <mergeCell ref="C18:D18"/>
    <mergeCell ref="B19:H19"/>
    <mergeCell ref="B20:I20"/>
    <mergeCell ref="B36:H36"/>
    <mergeCell ref="C22:D22"/>
    <mergeCell ref="C23:D23"/>
    <mergeCell ref="B24:H24"/>
    <mergeCell ref="B25:G25"/>
    <mergeCell ref="B26:H26"/>
    <mergeCell ref="B27:I27"/>
    <mergeCell ref="B30:H30"/>
    <mergeCell ref="B31:I31"/>
    <mergeCell ref="C32:D32"/>
    <mergeCell ref="C33:D33"/>
    <mergeCell ref="B34:H34"/>
  </mergeCells>
  <pageMargins left="0.7" right="0.7" top="0.75" bottom="0.75" header="0.3" footer="0.3"/>
  <drawing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809C-6599-493F-A3BD-C9A416CFDEC7}">
  <dimension ref="B3:I37"/>
  <sheetViews>
    <sheetView zoomScale="70" zoomScaleNormal="70" workbookViewId="0">
      <selection activeCell="J14" sqref="J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1869</v>
      </c>
      <c r="C13" s="355" t="s">
        <v>1994</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258000</v>
      </c>
      <c r="I18" s="24">
        <f>H18/F18</f>
        <v>258000</v>
      </c>
    </row>
    <row r="19" spans="2:9" s="201" customFormat="1" ht="15" customHeight="1">
      <c r="B19" s="24" t="s">
        <v>2118</v>
      </c>
      <c r="C19" s="368" t="s">
        <v>2262</v>
      </c>
      <c r="D19" s="368"/>
      <c r="E19" s="24" t="s">
        <v>390</v>
      </c>
      <c r="F19" s="24">
        <v>1</v>
      </c>
      <c r="G19" s="24"/>
      <c r="H19" s="24">
        <v>258000</v>
      </c>
      <c r="I19" s="24">
        <f>H19/F19</f>
        <v>258000</v>
      </c>
    </row>
    <row r="20" spans="2:9" s="201" customFormat="1" ht="12">
      <c r="B20" s="365" t="s">
        <v>2001</v>
      </c>
      <c r="C20" s="365"/>
      <c r="D20" s="365"/>
      <c r="E20" s="365"/>
      <c r="F20" s="365"/>
      <c r="G20" s="365"/>
      <c r="H20" s="365"/>
      <c r="I20" s="202">
        <f>SUM(I18:I19)</f>
        <v>516000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28.35" customHeight="1">
      <c r="B23" s="24" t="s">
        <v>2261</v>
      </c>
      <c r="C23" s="368" t="s">
        <v>2276</v>
      </c>
      <c r="D23" s="368"/>
      <c r="E23" s="24" t="s">
        <v>780</v>
      </c>
      <c r="F23" s="24">
        <v>1</v>
      </c>
      <c r="G23" s="24"/>
      <c r="H23" s="24">
        <v>20345142.859999999</v>
      </c>
      <c r="I23" s="24">
        <f>F23*H23</f>
        <v>20345142.859999999</v>
      </c>
    </row>
    <row r="24" spans="2:9" s="201" customFormat="1" ht="15" customHeight="1">
      <c r="B24" s="24" t="s">
        <v>2259</v>
      </c>
      <c r="C24" s="368" t="s">
        <v>2258</v>
      </c>
      <c r="D24" s="368"/>
      <c r="E24" s="24" t="s">
        <v>390</v>
      </c>
      <c r="F24" s="24">
        <v>1</v>
      </c>
      <c r="G24" s="24"/>
      <c r="H24" s="24">
        <v>1769142.86</v>
      </c>
      <c r="I24" s="24">
        <f>F24*H24</f>
        <v>1769142.86</v>
      </c>
    </row>
    <row r="25" spans="2:9" s="201" customFormat="1" ht="12">
      <c r="B25" s="365" t="s">
        <v>2001</v>
      </c>
      <c r="C25" s="365"/>
      <c r="D25" s="365"/>
      <c r="E25" s="365"/>
      <c r="F25" s="365"/>
      <c r="G25" s="365"/>
      <c r="H25" s="365"/>
      <c r="I25" s="202">
        <f>SUM(I23:I24)</f>
        <v>22114285.719999999</v>
      </c>
    </row>
    <row r="26" spans="2:9" s="201" customFormat="1" ht="12">
      <c r="B26" s="365" t="s">
        <v>1062</v>
      </c>
      <c r="C26" s="365"/>
      <c r="D26" s="365"/>
      <c r="E26" s="365"/>
      <c r="F26" s="365"/>
      <c r="G26" s="365"/>
      <c r="H26" s="24">
        <v>0.05</v>
      </c>
      <c r="I26" s="24">
        <f>I25*H26</f>
        <v>1105714.2860000001</v>
      </c>
    </row>
    <row r="27" spans="2:9" s="201" customFormat="1" ht="12">
      <c r="B27" s="365" t="s">
        <v>73</v>
      </c>
      <c r="C27" s="365"/>
      <c r="D27" s="365"/>
      <c r="E27" s="365"/>
      <c r="F27" s="365"/>
      <c r="G27" s="365"/>
      <c r="H27" s="365"/>
      <c r="I27" s="202">
        <f>I25+I26</f>
        <v>23220000.005999997</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ht="24">
      <c r="B30" s="24" t="s">
        <v>2018</v>
      </c>
      <c r="C30" s="203" t="s">
        <v>2257</v>
      </c>
      <c r="D30" s="24" t="s">
        <v>390</v>
      </c>
      <c r="E30" s="24">
        <v>1</v>
      </c>
      <c r="F30" s="24">
        <v>1</v>
      </c>
      <c r="G30" s="24">
        <v>516000</v>
      </c>
      <c r="H30" s="24">
        <f>E30*F30*G30</f>
        <v>516000</v>
      </c>
      <c r="I30" s="24">
        <f>H30</f>
        <v>516000</v>
      </c>
    </row>
    <row r="31" spans="2:9" s="201" customFormat="1" ht="12">
      <c r="B31" s="365" t="s">
        <v>2001</v>
      </c>
      <c r="C31" s="365"/>
      <c r="D31" s="365"/>
      <c r="E31" s="365"/>
      <c r="F31" s="365"/>
      <c r="G31" s="365"/>
      <c r="H31" s="365"/>
      <c r="I31" s="202">
        <f>SUM(I30:I30)</f>
        <v>516000</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2256</v>
      </c>
      <c r="D34" s="368"/>
      <c r="E34" s="24">
        <v>16</v>
      </c>
      <c r="F34" s="24" t="s">
        <v>213</v>
      </c>
      <c r="G34" s="24">
        <v>27500</v>
      </c>
      <c r="H34" s="24">
        <f>E34*G34/I34</f>
        <v>0.28423772719988732</v>
      </c>
      <c r="I34" s="24">
        <f>25800000-I20-I27-I31-0</f>
        <v>1547999.9940000027</v>
      </c>
    </row>
    <row r="35" spans="2:9" s="201" customFormat="1" ht="12">
      <c r="B35" s="365" t="s">
        <v>2001</v>
      </c>
      <c r="C35" s="365"/>
      <c r="D35" s="365"/>
      <c r="E35" s="365"/>
      <c r="F35" s="365"/>
      <c r="G35" s="365"/>
      <c r="H35" s="365"/>
      <c r="I35" s="202">
        <f>SUM(I34:I34)</f>
        <v>1547999.9940000027</v>
      </c>
    </row>
    <row r="36" spans="2:9" s="201" customFormat="1" ht="12"/>
    <row r="37" spans="2:9" s="201" customFormat="1" ht="12">
      <c r="B37" s="369" t="s">
        <v>2026</v>
      </c>
      <c r="C37" s="369"/>
      <c r="D37" s="369"/>
      <c r="E37" s="369"/>
      <c r="F37" s="369"/>
      <c r="G37" s="369"/>
      <c r="H37" s="369"/>
      <c r="I37" s="202">
        <f>I20+I27+I31+I35</f>
        <v>25800000</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H27"/>
    <mergeCell ref="B16:I16"/>
    <mergeCell ref="C17:D17"/>
    <mergeCell ref="C18:D18"/>
    <mergeCell ref="C19:D19"/>
    <mergeCell ref="B20:H20"/>
    <mergeCell ref="B21:I21"/>
    <mergeCell ref="C22:D22"/>
    <mergeCell ref="C23:D23"/>
    <mergeCell ref="C24:D24"/>
    <mergeCell ref="B25:H25"/>
    <mergeCell ref="B26:G26"/>
    <mergeCell ref="B37:H37"/>
    <mergeCell ref="B28:I28"/>
    <mergeCell ref="B31:H31"/>
    <mergeCell ref="B32:I32"/>
    <mergeCell ref="C33:D33"/>
    <mergeCell ref="C34:D34"/>
    <mergeCell ref="B35:H35"/>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CA22-6D20-4076-BA38-F20F1D391AC6}">
  <sheetPr codeName="Hoja17"/>
  <dimension ref="B3:O42"/>
  <sheetViews>
    <sheetView topLeftCell="A13" zoomScale="98" zoomScaleNormal="98" workbookViewId="0">
      <selection activeCell="L20" sqref="L20"/>
    </sheetView>
  </sheetViews>
  <sheetFormatPr baseColWidth="10" defaultColWidth="11.3984375" defaultRowHeight="11.4"/>
  <cols>
    <col min="1" max="2" width="11.3984375" style="11"/>
    <col min="3" max="3" width="25.3984375" style="11" customWidth="1"/>
    <col min="4" max="4" width="24" style="11" customWidth="1"/>
    <col min="5" max="5" width="29.3984375" style="11" customWidth="1"/>
    <col min="6" max="6" width="22.3984375" style="11" customWidth="1"/>
    <col min="7" max="7" width="17.09765625" style="11" customWidth="1"/>
    <col min="8" max="8" width="20.69921875" style="11" customWidth="1"/>
    <col min="9" max="9" width="13.09765625" style="11" customWidth="1"/>
    <col min="10" max="11" width="11.3984375" style="11"/>
    <col min="12" max="12" width="14.69921875" style="11" bestFit="1" customWidth="1"/>
    <col min="13" max="13" width="14.09765625" style="11" bestFit="1" customWidth="1"/>
    <col min="14" max="14" width="11.3984375" style="11" bestFit="1" customWidth="1"/>
    <col min="15" max="15" width="14.09765625" style="11" bestFit="1" customWidth="1"/>
    <col min="16"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6.5" customHeight="1">
      <c r="B13" s="13" t="s">
        <v>13</v>
      </c>
      <c r="C13" s="283" t="s">
        <v>1902</v>
      </c>
      <c r="D13" s="284"/>
      <c r="E13" s="284"/>
      <c r="F13" s="285"/>
      <c r="G13" s="286" t="s">
        <v>1530</v>
      </c>
      <c r="H13" s="286"/>
      <c r="I13" s="17">
        <v>23.06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5" ht="12">
      <c r="B17" s="70" t="s">
        <v>42</v>
      </c>
      <c r="C17" s="286" t="s">
        <v>58</v>
      </c>
      <c r="D17" s="286"/>
      <c r="E17" s="70" t="s">
        <v>1</v>
      </c>
      <c r="F17" s="80" t="s">
        <v>59</v>
      </c>
      <c r="G17" s="70" t="s">
        <v>60</v>
      </c>
      <c r="H17" s="80" t="s">
        <v>61</v>
      </c>
      <c r="I17" s="287"/>
    </row>
    <row r="18" spans="2:15">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5">
      <c r="B19" s="71" t="s">
        <v>234</v>
      </c>
      <c r="C19" s="288" t="str">
        <f>VLOOKUP(B19,'MAQUINARIA Y EQUIPOS  '!C7:F95,2,FALSE)</f>
        <v xml:space="preserve">Mezcladora </v>
      </c>
      <c r="D19" s="265"/>
      <c r="E19" s="71" t="str">
        <f>VLOOKUP(B19,'MAQUINARIA Y EQUIPOS  '!C7:F95,3,FALSE)</f>
        <v>DIA</v>
      </c>
      <c r="F19" s="86">
        <f>VLOOKUP(B19,'MAQUINARIA Y EQUIPOS  '!C7:F95,4,FALSE)</f>
        <v>150000</v>
      </c>
      <c r="G19" s="115">
        <v>1.7000000000000001E-2</v>
      </c>
      <c r="H19" s="116">
        <f>+F19*G19</f>
        <v>2550</v>
      </c>
      <c r="I19" s="287"/>
    </row>
    <row r="20" spans="2:15">
      <c r="B20" s="71" t="s">
        <v>1267</v>
      </c>
      <c r="C20" s="288" t="str">
        <f>VLOOKUP(B20,'MAQUINARIA Y EQUIPOS  '!C8:F96,2,FALSE)</f>
        <v xml:space="preserve">Pluma grua </v>
      </c>
      <c r="D20" s="265"/>
      <c r="E20" s="88" t="str">
        <f>VLOOKUP(B20,'MAQUINARIA Y EQUIPOS  '!C8:F96,3,FALSE)</f>
        <v>HH</v>
      </c>
      <c r="F20" s="86">
        <f>VLOOKUP(B20,'MAQUINARIA Y EQUIPOS  '!C8:F96,4,FALSE)</f>
        <v>10500</v>
      </c>
      <c r="G20" s="71">
        <v>0.2</v>
      </c>
      <c r="H20" s="116">
        <f>+F20*G20</f>
        <v>2100</v>
      </c>
      <c r="I20" s="287"/>
    </row>
    <row r="21" spans="2:15">
      <c r="B21" s="71" t="s">
        <v>1272</v>
      </c>
      <c r="C21" s="253" t="str">
        <f>VLOOKUP(B21,'MAQUINARIA Y EQUIPOS  '!C7:F95,2,FALSE)</f>
        <v xml:space="preserve">FORMALETA </v>
      </c>
      <c r="D21" s="258"/>
      <c r="E21" s="88" t="str">
        <f>VLOOKUP(B21,'MAQUINARIA Y EQUIPOS  '!C7:F95,3,FALSE)</f>
        <v>DIA</v>
      </c>
      <c r="F21" s="86">
        <f>VLOOKUP(B21,'MAQUINARIA Y EQUIPOS  '!C7:F95,4,FALSE)</f>
        <v>35000</v>
      </c>
      <c r="G21" s="131">
        <v>0.2</v>
      </c>
      <c r="H21" s="130">
        <f>+G21*F21</f>
        <v>7000</v>
      </c>
      <c r="I21" s="287"/>
    </row>
    <row r="22" spans="2:15" ht="12">
      <c r="B22" s="89"/>
      <c r="C22" s="89"/>
      <c r="D22" s="89"/>
      <c r="E22" s="89"/>
      <c r="F22" s="89"/>
      <c r="G22" s="89"/>
      <c r="H22" s="89" t="s">
        <v>64</v>
      </c>
      <c r="I22" s="90">
        <f>SUM(H18:H21)</f>
        <v>12721.4</v>
      </c>
    </row>
    <row r="23" spans="2:15" ht="12">
      <c r="B23" s="78"/>
      <c r="C23" s="289" t="s">
        <v>65</v>
      </c>
      <c r="D23" s="289"/>
      <c r="E23" s="78"/>
      <c r="F23" s="78"/>
      <c r="G23" s="78"/>
      <c r="H23" s="78"/>
      <c r="I23" s="79"/>
    </row>
    <row r="24" spans="2:15" ht="12">
      <c r="B24" s="70" t="s">
        <v>42</v>
      </c>
      <c r="C24" s="286" t="s">
        <v>58</v>
      </c>
      <c r="D24" s="286"/>
      <c r="E24" s="70" t="s">
        <v>1</v>
      </c>
      <c r="F24" s="80" t="s">
        <v>66</v>
      </c>
      <c r="G24" s="70" t="s">
        <v>67</v>
      </c>
      <c r="H24" s="70" t="s">
        <v>61</v>
      </c>
      <c r="I24" s="287"/>
    </row>
    <row r="25" spans="2:15">
      <c r="B25" s="71" t="s">
        <v>168</v>
      </c>
      <c r="C25" s="290" t="str">
        <f>VLOOKUP(B25,'INSUMOS '!C7:F616,2,FALSE)</f>
        <v>ALAMBRE NEGRO NO.18</v>
      </c>
      <c r="D25" s="293"/>
      <c r="E25" s="97" t="str">
        <f>VLOOKUP(B25,'INSUMOS '!C7:F616,3,FALSE)</f>
        <v>KG</v>
      </c>
      <c r="F25" s="117">
        <f>VLOOKUP(B25,'INSUMOS '!C7:F616,4,FALSE)</f>
        <v>6218</v>
      </c>
      <c r="G25" s="71">
        <v>0.03</v>
      </c>
      <c r="H25" s="83">
        <f>+G25*F25</f>
        <v>186.54</v>
      </c>
      <c r="I25" s="287"/>
    </row>
    <row r="26" spans="2:15">
      <c r="B26" s="71" t="s">
        <v>422</v>
      </c>
      <c r="C26" s="290" t="str">
        <f>VLOOKUP(B26,'INSUMOS '!C7:F616,2,FALSE)</f>
        <v>Varilla 3/8" G-60</v>
      </c>
      <c r="D26" s="293"/>
      <c r="E26" s="97" t="str">
        <f>VLOOKUP(B26,'INSUMOS '!C7:F616,3,FALSE)</f>
        <v>KG</v>
      </c>
      <c r="F26" s="117">
        <f>VLOOKUP(B26,'INSUMOS '!C7:F616,4,FALSE)</f>
        <v>4446.43</v>
      </c>
      <c r="G26" s="71">
        <f>2*0.56</f>
        <v>1.1200000000000001</v>
      </c>
      <c r="H26" s="83">
        <f>+G26*F26</f>
        <v>4980.0016000000005</v>
      </c>
      <c r="I26" s="287"/>
      <c r="M26" s="43"/>
      <c r="O26" s="43"/>
    </row>
    <row r="27" spans="2:15">
      <c r="B27" s="71" t="s">
        <v>420</v>
      </c>
      <c r="C27" s="290" t="str">
        <f>VLOOKUP(B27,'INSUMOS '!C7:F616,2,FALSE)</f>
        <v>Varilla 1/4" G-60</v>
      </c>
      <c r="D27" s="293"/>
      <c r="E27" s="97" t="str">
        <f>VLOOKUP(B27,'INSUMOS '!C7:F616,3,FALSE)</f>
        <v>KG</v>
      </c>
      <c r="F27" s="117">
        <f>VLOOKUP(B27,'INSUMOS '!C7:F616,4,FALSE)</f>
        <v>4912.99</v>
      </c>
      <c r="G27" s="118">
        <v>0.63</v>
      </c>
      <c r="H27" s="83">
        <f>+G27*F27</f>
        <v>3095.1837</v>
      </c>
      <c r="I27" s="287"/>
      <c r="M27" s="43"/>
      <c r="O27" s="43"/>
    </row>
    <row r="28" spans="2:15">
      <c r="B28" s="71" t="s">
        <v>371</v>
      </c>
      <c r="C28" s="290" t="str">
        <f>VLOOKUP(B28,'INSUMOS '!C7:F616,2,FALSE)</f>
        <v>CONCRETO DE 3000 PSI IMPERMEABILIZADO ELABORADO EN OBRA</v>
      </c>
      <c r="D28" s="293"/>
      <c r="E28" s="97" t="str">
        <f>VLOOKUP(B28,'INSUMOS '!C7:F616,3,FALSE)</f>
        <v>M3</v>
      </c>
      <c r="F28" s="98">
        <f>VLOOKUP(B28,'INSUMOS '!C7:F616,4,FALSE)</f>
        <v>530000</v>
      </c>
      <c r="G28" s="119">
        <v>0.02</v>
      </c>
      <c r="H28" s="83">
        <f>+G28*F28</f>
        <v>10600</v>
      </c>
      <c r="I28" s="287"/>
      <c r="M28" s="43"/>
      <c r="O28" s="43"/>
    </row>
    <row r="29" spans="2:15" ht="12">
      <c r="B29" s="89"/>
      <c r="C29" s="89"/>
      <c r="D29" s="89"/>
      <c r="E29" s="89"/>
      <c r="F29" s="89"/>
      <c r="G29" s="258" t="s">
        <v>64</v>
      </c>
      <c r="H29" s="258"/>
      <c r="I29" s="85">
        <f>SUM(H25:H28)</f>
        <v>18861.725299999998</v>
      </c>
      <c r="M29" s="43"/>
      <c r="O29" s="43"/>
    </row>
    <row r="30" spans="2:15" ht="12">
      <c r="B30" s="89"/>
      <c r="C30" s="89"/>
      <c r="D30" s="89"/>
      <c r="E30" s="89"/>
      <c r="F30" s="89"/>
      <c r="G30" s="99" t="s">
        <v>72</v>
      </c>
      <c r="H30" s="100">
        <v>0.05</v>
      </c>
      <c r="I30" s="120">
        <f>I29*H30</f>
        <v>943.08626499999991</v>
      </c>
    </row>
    <row r="31" spans="2:15" ht="12">
      <c r="B31" s="89"/>
      <c r="C31" s="89"/>
      <c r="D31" s="89"/>
      <c r="E31" s="89"/>
      <c r="F31" s="89"/>
      <c r="G31" s="258" t="s">
        <v>73</v>
      </c>
      <c r="H31" s="258"/>
      <c r="I31" s="90">
        <f>SUM(I29:I30)</f>
        <v>19804.811564999996</v>
      </c>
      <c r="O31" s="53"/>
    </row>
    <row r="32" spans="2:15"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c r="C34" s="70"/>
      <c r="D34" s="75"/>
      <c r="E34" s="70"/>
      <c r="F34" s="70"/>
      <c r="G34" s="102"/>
      <c r="H34" s="103"/>
      <c r="I34" s="301"/>
    </row>
    <row r="35" spans="2:9">
      <c r="B35" s="71"/>
      <c r="C35" s="71"/>
      <c r="D35" s="82"/>
      <c r="E35" s="71"/>
      <c r="F35" s="71"/>
      <c r="G35" s="86"/>
      <c r="H35" s="86"/>
      <c r="I35" s="301"/>
    </row>
    <row r="36" spans="2:9" ht="12">
      <c r="B36" s="89"/>
      <c r="C36" s="89"/>
      <c r="D36" s="89"/>
      <c r="E36" s="89"/>
      <c r="F36" s="89"/>
      <c r="G36" s="302" t="s">
        <v>64</v>
      </c>
      <c r="H36" s="302"/>
      <c r="I36" s="104">
        <f>+H34</f>
        <v>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27" customHeight="1">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0.77800000000000002</v>
      </c>
      <c r="H39" s="94">
        <f>F39*G39*D39</f>
        <v>51493.875</v>
      </c>
      <c r="I39" s="294"/>
    </row>
    <row r="40" spans="2:9">
      <c r="B40" s="106"/>
      <c r="C40" s="106"/>
      <c r="D40" s="106"/>
      <c r="E40" s="106"/>
      <c r="F40" s="86"/>
      <c r="G40" s="121"/>
      <c r="H40" s="94"/>
      <c r="I40" s="294"/>
    </row>
    <row r="41" spans="2:9" ht="12">
      <c r="B41" s="108"/>
      <c r="C41" s="109"/>
      <c r="D41" s="109"/>
      <c r="E41" s="109"/>
      <c r="F41" s="110"/>
      <c r="G41" s="110"/>
      <c r="H41" s="111" t="s">
        <v>64</v>
      </c>
      <c r="I41" s="112">
        <f>SUM(H39:H40)</f>
        <v>51493.875</v>
      </c>
    </row>
    <row r="42" spans="2:9" ht="12">
      <c r="B42" s="295" t="s">
        <v>83</v>
      </c>
      <c r="C42" s="296"/>
      <c r="D42" s="297" t="s">
        <v>77</v>
      </c>
      <c r="E42" s="298"/>
      <c r="F42" s="298"/>
      <c r="G42" s="298"/>
      <c r="H42" s="299"/>
      <c r="I42" s="113">
        <f>SUM(I22+I36+I31+I41)</f>
        <v>84020.086565000005</v>
      </c>
    </row>
  </sheetData>
  <mergeCells count="41">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4:D24"/>
    <mergeCell ref="I24:I28"/>
    <mergeCell ref="C25:D25"/>
    <mergeCell ref="C26:D26"/>
    <mergeCell ref="C27:D27"/>
    <mergeCell ref="C17:D17"/>
    <mergeCell ref="I17:I21"/>
    <mergeCell ref="C18:D18"/>
    <mergeCell ref="C21:D21"/>
    <mergeCell ref="C23:D23"/>
    <mergeCell ref="C19:D19"/>
    <mergeCell ref="C20:D20"/>
    <mergeCell ref="C37:D37"/>
    <mergeCell ref="I38:I40"/>
    <mergeCell ref="B42:C42"/>
    <mergeCell ref="D42:H42"/>
    <mergeCell ref="C28:D28"/>
    <mergeCell ref="G29:H29"/>
    <mergeCell ref="G31:H31"/>
    <mergeCell ref="C32:D32"/>
    <mergeCell ref="I33:I35"/>
    <mergeCell ref="G36:H36"/>
  </mergeCells>
  <pageMargins left="0.7" right="0.7" top="0.75" bottom="0.75" header="0.3" footer="0.3"/>
  <drawing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1960-B8FD-4308-80C9-E535291DD5E6}">
  <dimension ref="B3:I37"/>
  <sheetViews>
    <sheetView zoomScale="70" zoomScaleNormal="70" workbookViewId="0">
      <selection activeCell="Q20" sqref="Q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9.296875" style="1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15</v>
      </c>
      <c r="E9" s="276" t="s">
        <v>2045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4.25" customHeight="1">
      <c r="B13" s="174" t="s">
        <v>1870</v>
      </c>
      <c r="C13" s="355" t="s">
        <v>2277</v>
      </c>
      <c r="D13" s="355"/>
      <c r="E13" s="355"/>
      <c r="F13" s="355"/>
      <c r="G13" s="286" t="s">
        <v>780</v>
      </c>
      <c r="H13" s="286"/>
      <c r="I13" s="114">
        <v>1</v>
      </c>
    </row>
    <row r="14" spans="2:9" ht="12">
      <c r="B14" s="70"/>
      <c r="C14" s="286"/>
      <c r="D14" s="286"/>
      <c r="E14" s="286"/>
      <c r="F14" s="286" t="s">
        <v>55</v>
      </c>
      <c r="G14" s="286"/>
      <c r="H14" s="286"/>
      <c r="I14" s="76"/>
    </row>
    <row r="15" spans="2:9" ht="12.75" customHeight="1">
      <c r="B15" s="71"/>
      <c r="C15" s="258"/>
      <c r="D15" s="258"/>
      <c r="E15" s="258"/>
      <c r="F15" s="258" t="s">
        <v>56</v>
      </c>
      <c r="G15" s="258"/>
      <c r="H15" s="258"/>
      <c r="I15" s="77"/>
    </row>
    <row r="16" spans="2:9" s="201" customFormat="1" ht="15" customHeight="1">
      <c r="B16" s="367" t="s">
        <v>57</v>
      </c>
      <c r="C16" s="367"/>
      <c r="D16" s="367"/>
      <c r="E16" s="367"/>
      <c r="F16" s="367"/>
      <c r="G16" s="367"/>
      <c r="H16" s="367"/>
      <c r="I16" s="367"/>
    </row>
    <row r="17" spans="2:9" s="201" customFormat="1" ht="15" customHeight="1">
      <c r="B17" s="202" t="s">
        <v>42</v>
      </c>
      <c r="C17" s="367" t="s">
        <v>58</v>
      </c>
      <c r="D17" s="367"/>
      <c r="E17" s="202" t="s">
        <v>1</v>
      </c>
      <c r="F17" s="202" t="s">
        <v>60</v>
      </c>
      <c r="G17" s="202"/>
      <c r="H17" s="202" t="s">
        <v>61</v>
      </c>
      <c r="I17" s="202" t="s">
        <v>79</v>
      </c>
    </row>
    <row r="18" spans="2:9" s="201" customFormat="1" ht="15" customHeight="1">
      <c r="B18" s="24" t="s">
        <v>2007</v>
      </c>
      <c r="C18" s="368" t="s">
        <v>2117</v>
      </c>
      <c r="D18" s="368"/>
      <c r="E18" s="24" t="s">
        <v>390</v>
      </c>
      <c r="F18" s="24">
        <v>1</v>
      </c>
      <c r="G18" s="24"/>
      <c r="H18" s="24">
        <v>510000</v>
      </c>
      <c r="I18" s="24">
        <f>H18/F18</f>
        <v>510000</v>
      </c>
    </row>
    <row r="19" spans="2:9" s="201" customFormat="1" ht="15" customHeight="1">
      <c r="B19" s="24" t="s">
        <v>2118</v>
      </c>
      <c r="C19" s="368" t="s">
        <v>2262</v>
      </c>
      <c r="D19" s="368"/>
      <c r="E19" s="24" t="s">
        <v>390</v>
      </c>
      <c r="F19" s="24">
        <v>1</v>
      </c>
      <c r="G19" s="24"/>
      <c r="H19" s="24">
        <v>510000</v>
      </c>
      <c r="I19" s="24">
        <f>H19/F19</f>
        <v>510000</v>
      </c>
    </row>
    <row r="20" spans="2:9" s="201" customFormat="1" ht="12">
      <c r="B20" s="365" t="s">
        <v>2001</v>
      </c>
      <c r="C20" s="365"/>
      <c r="D20" s="365"/>
      <c r="E20" s="365"/>
      <c r="F20" s="365"/>
      <c r="G20" s="365"/>
      <c r="H20" s="365"/>
      <c r="I20" s="202">
        <f>SUM(I18:I19)</f>
        <v>1020000</v>
      </c>
    </row>
    <row r="21" spans="2:9" s="201" customFormat="1" ht="15" customHeight="1">
      <c r="B21" s="367" t="s">
        <v>2009</v>
      </c>
      <c r="C21" s="367"/>
      <c r="D21" s="367"/>
      <c r="E21" s="367"/>
      <c r="F21" s="367"/>
      <c r="G21" s="367"/>
      <c r="H21" s="367"/>
      <c r="I21" s="367"/>
    </row>
    <row r="22" spans="2:9" s="201" customFormat="1" ht="15" customHeight="1">
      <c r="B22" s="202" t="s">
        <v>42</v>
      </c>
      <c r="C22" s="367" t="s">
        <v>58</v>
      </c>
      <c r="D22" s="367"/>
      <c r="E22" s="202" t="s">
        <v>1</v>
      </c>
      <c r="F22" s="202" t="s">
        <v>67</v>
      </c>
      <c r="G22" s="202"/>
      <c r="H22" s="202" t="s">
        <v>61</v>
      </c>
      <c r="I22" s="202" t="s">
        <v>79</v>
      </c>
    </row>
    <row r="23" spans="2:9" s="201" customFormat="1" ht="41.85" customHeight="1">
      <c r="B23" s="24" t="s">
        <v>2261</v>
      </c>
      <c r="C23" s="368" t="s">
        <v>2278</v>
      </c>
      <c r="D23" s="368"/>
      <c r="E23" s="24" t="s">
        <v>780</v>
      </c>
      <c r="F23" s="24">
        <v>1</v>
      </c>
      <c r="G23" s="24"/>
      <c r="H23" s="24">
        <v>40217142.859999999</v>
      </c>
      <c r="I23" s="24">
        <f>F23*H23</f>
        <v>40217142.859999999</v>
      </c>
    </row>
    <row r="24" spans="2:9" s="201" customFormat="1" ht="15" customHeight="1">
      <c r="B24" s="24" t="s">
        <v>2259</v>
      </c>
      <c r="C24" s="368" t="s">
        <v>2258</v>
      </c>
      <c r="D24" s="368"/>
      <c r="E24" s="24" t="s">
        <v>390</v>
      </c>
      <c r="F24" s="24">
        <v>1</v>
      </c>
      <c r="G24" s="24"/>
      <c r="H24" s="24">
        <v>3497142.86</v>
      </c>
      <c r="I24" s="24">
        <f>F24*H24</f>
        <v>3497142.86</v>
      </c>
    </row>
    <row r="25" spans="2:9" s="201" customFormat="1" ht="12">
      <c r="B25" s="365" t="s">
        <v>2001</v>
      </c>
      <c r="C25" s="365"/>
      <c r="D25" s="365"/>
      <c r="E25" s="365"/>
      <c r="F25" s="365"/>
      <c r="G25" s="365"/>
      <c r="H25" s="365"/>
      <c r="I25" s="202">
        <f>SUM(I23:I24)</f>
        <v>43714285.719999999</v>
      </c>
    </row>
    <row r="26" spans="2:9" s="201" customFormat="1" ht="12">
      <c r="B26" s="365" t="s">
        <v>1062</v>
      </c>
      <c r="C26" s="365"/>
      <c r="D26" s="365"/>
      <c r="E26" s="365"/>
      <c r="F26" s="365"/>
      <c r="G26" s="365"/>
      <c r="H26" s="24">
        <v>0.05</v>
      </c>
      <c r="I26" s="24">
        <f>I25*H26</f>
        <v>2185714.2859999998</v>
      </c>
    </row>
    <row r="27" spans="2:9" s="201" customFormat="1" ht="12">
      <c r="B27" s="365" t="s">
        <v>73</v>
      </c>
      <c r="C27" s="365"/>
      <c r="D27" s="365"/>
      <c r="E27" s="365"/>
      <c r="F27" s="365"/>
      <c r="G27" s="365"/>
      <c r="H27" s="365"/>
      <c r="I27" s="202">
        <f>I25+I26</f>
        <v>45900000.005999997</v>
      </c>
    </row>
    <row r="28" spans="2:9" s="201" customFormat="1" ht="15" customHeight="1">
      <c r="B28" s="367" t="s">
        <v>2016</v>
      </c>
      <c r="C28" s="367"/>
      <c r="D28" s="367"/>
      <c r="E28" s="367"/>
      <c r="F28" s="367"/>
      <c r="G28" s="367"/>
      <c r="H28" s="367"/>
      <c r="I28" s="367"/>
    </row>
    <row r="29" spans="2:9" s="201" customFormat="1" ht="12">
      <c r="B29" s="202" t="s">
        <v>42</v>
      </c>
      <c r="C29" s="202" t="s">
        <v>58</v>
      </c>
      <c r="D29" s="202" t="s">
        <v>136</v>
      </c>
      <c r="E29" s="202" t="s">
        <v>0</v>
      </c>
      <c r="F29" s="202" t="s">
        <v>2017</v>
      </c>
      <c r="G29" s="202" t="s">
        <v>345</v>
      </c>
      <c r="H29" s="202" t="s">
        <v>61</v>
      </c>
      <c r="I29" s="202" t="s">
        <v>79</v>
      </c>
    </row>
    <row r="30" spans="2:9" s="201" customFormat="1" ht="24">
      <c r="B30" s="24" t="s">
        <v>2018</v>
      </c>
      <c r="C30" s="203" t="s">
        <v>2257</v>
      </c>
      <c r="D30" s="24" t="s">
        <v>390</v>
      </c>
      <c r="E30" s="24">
        <v>1</v>
      </c>
      <c r="F30" s="24">
        <v>1</v>
      </c>
      <c r="G30" s="24">
        <v>1020000</v>
      </c>
      <c r="H30" s="24">
        <f>E30*F30*G30</f>
        <v>1020000</v>
      </c>
      <c r="I30" s="24">
        <f>H30</f>
        <v>1020000</v>
      </c>
    </row>
    <row r="31" spans="2:9" s="201" customFormat="1" ht="12">
      <c r="B31" s="365" t="s">
        <v>2001</v>
      </c>
      <c r="C31" s="365"/>
      <c r="D31" s="365"/>
      <c r="E31" s="365"/>
      <c r="F31" s="365"/>
      <c r="G31" s="365"/>
      <c r="H31" s="365"/>
      <c r="I31" s="202">
        <f>SUM(I30:I30)</f>
        <v>1020000</v>
      </c>
    </row>
    <row r="32" spans="2:9" s="201" customFormat="1" ht="15" customHeight="1">
      <c r="B32" s="367" t="s">
        <v>2020</v>
      </c>
      <c r="C32" s="367"/>
      <c r="D32" s="367"/>
      <c r="E32" s="367"/>
      <c r="F32" s="367"/>
      <c r="G32" s="367"/>
      <c r="H32" s="367"/>
      <c r="I32" s="367"/>
    </row>
    <row r="33" spans="2:9" s="201" customFormat="1" ht="28.35" customHeight="1">
      <c r="B33" s="202" t="s">
        <v>42</v>
      </c>
      <c r="C33" s="367" t="s">
        <v>84</v>
      </c>
      <c r="D33" s="367"/>
      <c r="E33" s="202" t="s">
        <v>2021</v>
      </c>
      <c r="F33" s="202" t="s">
        <v>1</v>
      </c>
      <c r="G33" s="202" t="s">
        <v>77</v>
      </c>
      <c r="H33" s="202" t="s">
        <v>78</v>
      </c>
      <c r="I33" s="202" t="s">
        <v>79</v>
      </c>
    </row>
    <row r="34" spans="2:9" s="201" customFormat="1" ht="28.35" customHeight="1">
      <c r="B34" s="24" t="s">
        <v>2022</v>
      </c>
      <c r="C34" s="368" t="s">
        <v>2256</v>
      </c>
      <c r="D34" s="368"/>
      <c r="E34" s="24">
        <v>16</v>
      </c>
      <c r="F34" s="24" t="s">
        <v>213</v>
      </c>
      <c r="G34" s="24">
        <v>27500</v>
      </c>
      <c r="H34" s="24">
        <f>E34*G34/I34</f>
        <v>0.14379084995514532</v>
      </c>
      <c r="I34" s="24">
        <f>51000000-I20-I27-I31-0</f>
        <v>3059999.9940000027</v>
      </c>
    </row>
    <row r="35" spans="2:9" s="201" customFormat="1" ht="12">
      <c r="B35" s="365" t="s">
        <v>2001</v>
      </c>
      <c r="C35" s="365"/>
      <c r="D35" s="365"/>
      <c r="E35" s="365"/>
      <c r="F35" s="365"/>
      <c r="G35" s="365"/>
      <c r="H35" s="365"/>
      <c r="I35" s="202">
        <f>SUM(I34:I34)</f>
        <v>3059999.9940000027</v>
      </c>
    </row>
    <row r="36" spans="2:9" s="201" customFormat="1" ht="12"/>
    <row r="37" spans="2:9" s="201" customFormat="1" ht="12">
      <c r="B37" s="369" t="s">
        <v>2026</v>
      </c>
      <c r="C37" s="369"/>
      <c r="D37" s="369"/>
      <c r="E37" s="369"/>
      <c r="F37" s="369"/>
      <c r="G37" s="369"/>
      <c r="H37" s="369"/>
      <c r="I37" s="202">
        <f>I20+I27+I31+I35</f>
        <v>51000000</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27:H27"/>
    <mergeCell ref="B16:I16"/>
    <mergeCell ref="C17:D17"/>
    <mergeCell ref="C18:D18"/>
    <mergeCell ref="C19:D19"/>
    <mergeCell ref="B20:H20"/>
    <mergeCell ref="B21:I21"/>
    <mergeCell ref="C22:D22"/>
    <mergeCell ref="C23:D23"/>
    <mergeCell ref="C24:D24"/>
    <mergeCell ref="B25:H25"/>
    <mergeCell ref="B26:G26"/>
    <mergeCell ref="B37:H37"/>
    <mergeCell ref="B28:I28"/>
    <mergeCell ref="B31:H31"/>
    <mergeCell ref="B32:I32"/>
    <mergeCell ref="C33:D33"/>
    <mergeCell ref="C34:D34"/>
    <mergeCell ref="B35:H35"/>
  </mergeCells>
  <pageMargins left="0.7" right="0.7" top="0.75" bottom="0.75" header="0.3" footer="0.3"/>
  <drawing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59298-8BA7-417A-9797-4311EAB99D3E}">
  <sheetPr codeName="Hoja2">
    <pageSetUpPr fitToPage="1"/>
  </sheetPr>
  <dimension ref="D1:M316"/>
  <sheetViews>
    <sheetView showGridLines="0" zoomScaleNormal="100" zoomScaleSheetLayoutView="89" workbookViewId="0">
      <selection activeCell="I120" sqref="I120"/>
    </sheetView>
  </sheetViews>
  <sheetFormatPr baseColWidth="10" defaultColWidth="9.09765625" defaultRowHeight="11.4"/>
  <cols>
    <col min="1" max="3" width="9.09765625" style="11"/>
    <col min="4" max="4" width="10" style="11" customWidth="1"/>
    <col min="5" max="5" width="50" style="11" customWidth="1"/>
    <col min="6" max="6" width="8" style="11" customWidth="1"/>
    <col min="7" max="7" width="12" style="11" customWidth="1"/>
    <col min="8" max="8" width="16" style="11" customWidth="1"/>
    <col min="9" max="9" width="15.69921875" style="11" customWidth="1"/>
    <col min="10" max="10" width="9.09765625" style="11"/>
    <col min="11" max="11" width="10.8984375" style="11" bestFit="1" customWidth="1"/>
    <col min="12" max="12" width="9.69921875" style="11" bestFit="1" customWidth="1"/>
    <col min="13" max="16384" width="9.09765625" style="11"/>
  </cols>
  <sheetData>
    <row r="1" spans="4:9" ht="26.1" customHeight="1">
      <c r="D1" s="376" t="s">
        <v>1409</v>
      </c>
      <c r="E1" s="377"/>
      <c r="F1" s="377"/>
      <c r="G1" s="377"/>
      <c r="H1" s="377"/>
      <c r="I1" s="377"/>
    </row>
    <row r="2" spans="4:9" ht="20.100000000000001" customHeight="1">
      <c r="D2" s="378" t="s">
        <v>2289</v>
      </c>
      <c r="E2" s="379"/>
      <c r="F2" s="379"/>
      <c r="G2" s="379"/>
      <c r="H2" s="379"/>
      <c r="I2" s="379"/>
    </row>
    <row r="3" spans="4:9" ht="36" customHeight="1" thickBot="1">
      <c r="D3" s="380" t="s">
        <v>1410</v>
      </c>
      <c r="E3" s="381"/>
      <c r="F3" s="381"/>
      <c r="G3" s="381"/>
      <c r="H3" s="381"/>
      <c r="I3" s="381"/>
    </row>
    <row r="4" spans="4:9" ht="15.9" customHeight="1" thickBot="1">
      <c r="D4" s="30" t="s">
        <v>53</v>
      </c>
      <c r="E4" s="31" t="s">
        <v>1411</v>
      </c>
      <c r="F4" s="31" t="s">
        <v>136</v>
      </c>
      <c r="G4" s="31" t="s">
        <v>0</v>
      </c>
      <c r="H4" s="31" t="s">
        <v>1412</v>
      </c>
      <c r="I4" s="32" t="s">
        <v>1413</v>
      </c>
    </row>
    <row r="5" spans="4:9" ht="15" customHeight="1">
      <c r="D5" s="1" t="s">
        <v>1703</v>
      </c>
      <c r="E5" s="2" t="s">
        <v>1414</v>
      </c>
      <c r="F5" s="2" t="s">
        <v>1339</v>
      </c>
      <c r="G5" s="3">
        <v>0.1</v>
      </c>
      <c r="H5" s="25">
        <v>10800</v>
      </c>
      <c r="I5" s="26">
        <f>+H5*G5</f>
        <v>1080</v>
      </c>
    </row>
    <row r="6" spans="4:9" ht="15" customHeight="1">
      <c r="D6" s="1" t="s">
        <v>1703</v>
      </c>
      <c r="E6" s="2" t="s">
        <v>1415</v>
      </c>
      <c r="F6" s="2" t="s">
        <v>23</v>
      </c>
      <c r="G6" s="4">
        <v>1</v>
      </c>
      <c r="H6" s="25">
        <v>9000000</v>
      </c>
      <c r="I6" s="26">
        <f>+H6*G6</f>
        <v>9000000</v>
      </c>
    </row>
    <row r="7" spans="4:9" ht="15" customHeight="1">
      <c r="D7" s="1" t="s">
        <v>1703</v>
      </c>
      <c r="E7" s="2" t="s">
        <v>1266</v>
      </c>
      <c r="F7" s="2" t="s">
        <v>1416</v>
      </c>
      <c r="G7" s="4">
        <v>0.8</v>
      </c>
      <c r="H7" s="25">
        <v>10500</v>
      </c>
      <c r="I7" s="26">
        <f>+H7*G7</f>
        <v>8400</v>
      </c>
    </row>
    <row r="8" spans="4:9" ht="15" customHeight="1">
      <c r="D8" s="1" t="s">
        <v>1703</v>
      </c>
      <c r="E8" s="2" t="s">
        <v>1417</v>
      </c>
      <c r="F8" s="2" t="s">
        <v>1408</v>
      </c>
      <c r="G8" s="4">
        <v>1</v>
      </c>
      <c r="H8" s="25">
        <v>400000</v>
      </c>
      <c r="I8" s="26">
        <f>+H8*G8</f>
        <v>400000</v>
      </c>
    </row>
    <row r="9" spans="4:9" ht="15" customHeight="1" thickBot="1">
      <c r="D9" s="5" t="s">
        <v>1703</v>
      </c>
      <c r="E9" s="6" t="s">
        <v>1418</v>
      </c>
      <c r="F9" s="6" t="s">
        <v>1408</v>
      </c>
      <c r="G9" s="7">
        <v>1</v>
      </c>
      <c r="H9" s="27">
        <v>30000</v>
      </c>
      <c r="I9" s="28">
        <f>+H9*G9</f>
        <v>30000</v>
      </c>
    </row>
    <row r="10" spans="4:9" ht="18" customHeight="1" thickBot="1">
      <c r="D10" s="382" t="s">
        <v>1419</v>
      </c>
      <c r="E10" s="383"/>
      <c r="F10" s="383"/>
      <c r="G10" s="383"/>
      <c r="H10" s="384"/>
      <c r="I10" s="29">
        <f>+SUM(I5:I9)</f>
        <v>9439480</v>
      </c>
    </row>
    <row r="12" spans="4:9" ht="12.75" thickBot="1"/>
    <row r="13" spans="4:9" ht="20.100000000000001" customHeight="1" thickBot="1">
      <c r="D13" s="385" t="s">
        <v>2290</v>
      </c>
      <c r="E13" s="340"/>
      <c r="F13" s="340"/>
      <c r="G13" s="340"/>
      <c r="H13" s="340"/>
      <c r="I13" s="340"/>
    </row>
    <row r="14" spans="4:9" ht="36" customHeight="1" thickBot="1">
      <c r="D14" s="386" t="s">
        <v>1420</v>
      </c>
      <c r="E14" s="340"/>
      <c r="F14" s="340"/>
      <c r="G14" s="340"/>
      <c r="H14" s="340"/>
      <c r="I14" s="340"/>
    </row>
    <row r="15" spans="4:9" ht="15.9" customHeight="1" thickBot="1">
      <c r="D15" s="30" t="s">
        <v>53</v>
      </c>
      <c r="E15" s="31" t="s">
        <v>1411</v>
      </c>
      <c r="F15" s="31" t="s">
        <v>136</v>
      </c>
      <c r="G15" s="31" t="s">
        <v>0</v>
      </c>
      <c r="H15" s="31" t="s">
        <v>1412</v>
      </c>
      <c r="I15" s="32" t="s">
        <v>1413</v>
      </c>
    </row>
    <row r="16" spans="4:9" ht="15" customHeight="1">
      <c r="D16" s="1" t="s">
        <v>1704</v>
      </c>
      <c r="E16" s="2" t="s">
        <v>1414</v>
      </c>
      <c r="F16" s="2" t="s">
        <v>1339</v>
      </c>
      <c r="G16" s="3">
        <v>0.1</v>
      </c>
      <c r="H16" s="25">
        <v>10800</v>
      </c>
      <c r="I16" s="26">
        <f>+H16*G16</f>
        <v>1080</v>
      </c>
    </row>
    <row r="17" spans="4:12" ht="15" customHeight="1">
      <c r="D17" s="1" t="s">
        <v>1704</v>
      </c>
      <c r="E17" s="2" t="s">
        <v>1421</v>
      </c>
      <c r="F17" s="2" t="s">
        <v>23</v>
      </c>
      <c r="G17" s="4">
        <v>1</v>
      </c>
      <c r="H17" s="25">
        <v>950000</v>
      </c>
      <c r="I17" s="26">
        <v>950000</v>
      </c>
    </row>
    <row r="18" spans="4:12" ht="15" customHeight="1">
      <c r="D18" s="5" t="s">
        <v>1704</v>
      </c>
      <c r="E18" s="6" t="s">
        <v>1422</v>
      </c>
      <c r="F18" s="6" t="s">
        <v>27</v>
      </c>
      <c r="G18" s="7">
        <v>15</v>
      </c>
      <c r="H18" s="27">
        <v>3500</v>
      </c>
      <c r="I18" s="28">
        <v>52500</v>
      </c>
    </row>
    <row r="19" spans="4:12" ht="15" customHeight="1">
      <c r="D19" s="1" t="s">
        <v>1704</v>
      </c>
      <c r="E19" s="2" t="s">
        <v>1423</v>
      </c>
      <c r="F19" s="2" t="s">
        <v>1408</v>
      </c>
      <c r="G19" s="4">
        <v>1</v>
      </c>
      <c r="H19" s="25">
        <v>250000</v>
      </c>
      <c r="I19" s="26">
        <f>+H19*G19</f>
        <v>250000</v>
      </c>
    </row>
    <row r="20" spans="4:12" ht="15" customHeight="1" thickBot="1">
      <c r="D20" s="5" t="s">
        <v>1704</v>
      </c>
      <c r="E20" s="6" t="s">
        <v>1424</v>
      </c>
      <c r="F20" s="6" t="s">
        <v>1408</v>
      </c>
      <c r="G20" s="7">
        <v>1</v>
      </c>
      <c r="H20" s="27">
        <v>15000</v>
      </c>
      <c r="I20" s="28">
        <v>15000</v>
      </c>
    </row>
    <row r="21" spans="4:12" ht="18" customHeight="1" thickBot="1">
      <c r="D21" s="382" t="s">
        <v>1419</v>
      </c>
      <c r="E21" s="383"/>
      <c r="F21" s="383"/>
      <c r="G21" s="383"/>
      <c r="H21" s="384"/>
      <c r="I21" s="29">
        <f>+SUM(I16:I20)</f>
        <v>1268580</v>
      </c>
    </row>
    <row r="24" spans="4:12" ht="26.1" customHeight="1" thickBot="1">
      <c r="D24" s="387" t="s">
        <v>2291</v>
      </c>
      <c r="E24" s="340"/>
      <c r="F24" s="340"/>
      <c r="G24" s="340"/>
      <c r="H24" s="340"/>
      <c r="I24" s="340"/>
    </row>
    <row r="25" spans="4:12" ht="20.100000000000001" customHeight="1" thickBot="1">
      <c r="D25" s="385" t="s">
        <v>2292</v>
      </c>
      <c r="E25" s="340"/>
      <c r="F25" s="340"/>
      <c r="G25" s="340"/>
      <c r="H25" s="340"/>
      <c r="I25" s="340"/>
    </row>
    <row r="26" spans="4:12" ht="36" customHeight="1" thickBot="1">
      <c r="D26" s="386" t="s">
        <v>1425</v>
      </c>
      <c r="E26" s="340"/>
      <c r="F26" s="340"/>
      <c r="G26" s="340"/>
      <c r="H26" s="340"/>
      <c r="I26" s="340"/>
    </row>
    <row r="27" spans="4:12" ht="15.9" customHeight="1" thickBot="1">
      <c r="D27" s="30" t="s">
        <v>53</v>
      </c>
      <c r="E27" s="31" t="s">
        <v>1411</v>
      </c>
      <c r="F27" s="31" t="s">
        <v>136</v>
      </c>
      <c r="G27" s="31" t="s">
        <v>0</v>
      </c>
      <c r="H27" s="31" t="s">
        <v>1412</v>
      </c>
      <c r="I27" s="32" t="s">
        <v>1413</v>
      </c>
      <c r="L27" s="249"/>
    </row>
    <row r="28" spans="4:12" ht="15" customHeight="1">
      <c r="D28" s="1" t="s">
        <v>1705</v>
      </c>
      <c r="E28" s="2" t="s">
        <v>1414</v>
      </c>
      <c r="F28" s="2" t="s">
        <v>1339</v>
      </c>
      <c r="G28" s="3">
        <v>0.1</v>
      </c>
      <c r="H28" s="25">
        <v>10800</v>
      </c>
      <c r="I28" s="26">
        <f>+H28*G28</f>
        <v>1080</v>
      </c>
      <c r="K28" s="249"/>
    </row>
    <row r="29" spans="4:12" ht="15" customHeight="1">
      <c r="D29" s="1" t="s">
        <v>1705</v>
      </c>
      <c r="E29" s="2" t="s">
        <v>1266</v>
      </c>
      <c r="F29" s="2" t="s">
        <v>1416</v>
      </c>
      <c r="G29" s="4">
        <v>0.02</v>
      </c>
      <c r="H29" s="25">
        <v>10500</v>
      </c>
      <c r="I29" s="26">
        <f>+H29*G29</f>
        <v>210</v>
      </c>
    </row>
    <row r="30" spans="4:12" ht="15" customHeight="1">
      <c r="D30" s="1" t="s">
        <v>1705</v>
      </c>
      <c r="E30" s="2" t="s">
        <v>1426</v>
      </c>
      <c r="F30" s="2" t="s">
        <v>27</v>
      </c>
      <c r="G30" s="4">
        <v>1.05</v>
      </c>
      <c r="H30" s="25">
        <v>18000</v>
      </c>
      <c r="I30" s="26">
        <f>+H30*G30</f>
        <v>18900</v>
      </c>
      <c r="L30" s="250"/>
    </row>
    <row r="31" spans="4:12" ht="15" customHeight="1">
      <c r="D31" s="5" t="s">
        <v>1705</v>
      </c>
      <c r="E31" s="6" t="s">
        <v>1427</v>
      </c>
      <c r="F31" s="6" t="s">
        <v>1408</v>
      </c>
      <c r="G31" s="7">
        <v>1</v>
      </c>
      <c r="H31" s="27">
        <v>8710</v>
      </c>
      <c r="I31" s="28">
        <f>+H31*G31</f>
        <v>8710</v>
      </c>
    </row>
    <row r="32" spans="4:12" ht="15" customHeight="1" thickBot="1">
      <c r="D32" s="1" t="s">
        <v>1705</v>
      </c>
      <c r="E32" s="2" t="s">
        <v>1247</v>
      </c>
      <c r="F32" s="2" t="s">
        <v>1428</v>
      </c>
      <c r="G32" s="4">
        <v>0.13</v>
      </c>
      <c r="H32" s="25">
        <v>40081.250000000007</v>
      </c>
      <c r="I32" s="26">
        <f>+H32*G32</f>
        <v>5210.5625000000009</v>
      </c>
    </row>
    <row r="33" spans="4:12" ht="18" customHeight="1" thickBot="1">
      <c r="D33" s="382" t="s">
        <v>1429</v>
      </c>
      <c r="E33" s="383"/>
      <c r="F33" s="383"/>
      <c r="G33" s="383"/>
      <c r="H33" s="384"/>
      <c r="I33" s="29">
        <f>ROUND(SUM(I28:I32),0)</f>
        <v>34111</v>
      </c>
    </row>
    <row r="34" spans="4:12" ht="12" thickBot="1"/>
    <row r="35" spans="4:12" ht="20.100000000000001" customHeight="1" thickBot="1">
      <c r="D35" s="385" t="s">
        <v>2293</v>
      </c>
      <c r="E35" s="340"/>
      <c r="F35" s="340"/>
      <c r="G35" s="340"/>
      <c r="H35" s="340"/>
      <c r="I35" s="340"/>
    </row>
    <row r="36" spans="4:12" ht="36" customHeight="1" thickBot="1">
      <c r="D36" s="386" t="s">
        <v>1430</v>
      </c>
      <c r="E36" s="340"/>
      <c r="F36" s="340"/>
      <c r="G36" s="340"/>
      <c r="H36" s="340"/>
      <c r="I36" s="340"/>
    </row>
    <row r="37" spans="4:12" ht="15.75" customHeight="1" thickBot="1">
      <c r="D37" s="30" t="s">
        <v>53</v>
      </c>
      <c r="E37" s="31" t="s">
        <v>1411</v>
      </c>
      <c r="F37" s="31" t="s">
        <v>136</v>
      </c>
      <c r="G37" s="31" t="s">
        <v>0</v>
      </c>
      <c r="H37" s="31" t="s">
        <v>1412</v>
      </c>
      <c r="I37" s="32" t="s">
        <v>1413</v>
      </c>
    </row>
    <row r="38" spans="4:12" ht="15" customHeight="1">
      <c r="D38" s="1" t="s">
        <v>1706</v>
      </c>
      <c r="E38" s="2" t="s">
        <v>1414</v>
      </c>
      <c r="F38" s="2" t="s">
        <v>1339</v>
      </c>
      <c r="G38" s="3">
        <v>0.1</v>
      </c>
      <c r="H38" s="25">
        <v>10800</v>
      </c>
      <c r="I38" s="26">
        <f>+H38*G38</f>
        <v>1080</v>
      </c>
    </row>
    <row r="39" spans="4:12" ht="15" customHeight="1">
      <c r="D39" s="1" t="s">
        <v>1706</v>
      </c>
      <c r="E39" s="2" t="s">
        <v>1266</v>
      </c>
      <c r="F39" s="2" t="s">
        <v>1416</v>
      </c>
      <c r="G39" s="4">
        <v>0.02</v>
      </c>
      <c r="H39" s="25">
        <v>10500</v>
      </c>
      <c r="I39" s="26">
        <f>+H39*G39</f>
        <v>210</v>
      </c>
      <c r="L39" s="250"/>
    </row>
    <row r="40" spans="4:12" ht="15" customHeight="1">
      <c r="D40" s="1" t="s">
        <v>1706</v>
      </c>
      <c r="E40" s="2" t="s">
        <v>1431</v>
      </c>
      <c r="F40" s="2" t="s">
        <v>27</v>
      </c>
      <c r="G40" s="4">
        <v>1.05</v>
      </c>
      <c r="H40" s="25">
        <v>31993.33</v>
      </c>
      <c r="I40" s="26">
        <f>+H40*G40</f>
        <v>33592.996500000001</v>
      </c>
      <c r="K40" s="249"/>
    </row>
    <row r="41" spans="4:12" ht="15" customHeight="1">
      <c r="D41" s="1" t="s">
        <v>1706</v>
      </c>
      <c r="E41" s="6" t="s">
        <v>1432</v>
      </c>
      <c r="F41" s="6" t="s">
        <v>1408</v>
      </c>
      <c r="G41" s="7">
        <v>1</v>
      </c>
      <c r="H41" s="27">
        <v>8710</v>
      </c>
      <c r="I41" s="28">
        <f>+H41*G41</f>
        <v>8710</v>
      </c>
    </row>
    <row r="42" spans="4:12" ht="15" customHeight="1" thickBot="1">
      <c r="D42" s="1" t="s">
        <v>1706</v>
      </c>
      <c r="E42" s="2" t="s">
        <v>1247</v>
      </c>
      <c r="F42" s="2" t="s">
        <v>1428</v>
      </c>
      <c r="G42" s="4">
        <v>0.13</v>
      </c>
      <c r="H42" s="25">
        <v>40081.250000000007</v>
      </c>
      <c r="I42" s="26">
        <f>+H42*G42</f>
        <v>5210.5625000000009</v>
      </c>
      <c r="L42" s="249"/>
    </row>
    <row r="43" spans="4:12" ht="18" customHeight="1" thickBot="1">
      <c r="D43" s="382" t="s">
        <v>1429</v>
      </c>
      <c r="E43" s="383"/>
      <c r="F43" s="383"/>
      <c r="G43" s="383"/>
      <c r="H43" s="384"/>
      <c r="I43" s="29">
        <f>ROUND(+SUM(I38:I42),0)</f>
        <v>48804</v>
      </c>
    </row>
    <row r="44" spans="4:12" ht="12" thickBot="1"/>
    <row r="45" spans="4:12" ht="20.100000000000001" customHeight="1" thickBot="1">
      <c r="D45" s="385" t="s">
        <v>2294</v>
      </c>
      <c r="E45" s="340"/>
      <c r="F45" s="340"/>
      <c r="G45" s="340"/>
      <c r="H45" s="340"/>
      <c r="I45" s="340"/>
    </row>
    <row r="46" spans="4:12" ht="36" customHeight="1" thickBot="1">
      <c r="D46" s="386" t="s">
        <v>1433</v>
      </c>
      <c r="E46" s="340"/>
      <c r="F46" s="340"/>
      <c r="G46" s="340"/>
      <c r="H46" s="340"/>
      <c r="I46" s="340"/>
    </row>
    <row r="47" spans="4:12" ht="15.9" customHeight="1" thickBot="1">
      <c r="D47" s="30" t="s">
        <v>53</v>
      </c>
      <c r="E47" s="31" t="s">
        <v>1411</v>
      </c>
      <c r="F47" s="31" t="s">
        <v>136</v>
      </c>
      <c r="G47" s="31" t="s">
        <v>0</v>
      </c>
      <c r="H47" s="31" t="s">
        <v>1412</v>
      </c>
      <c r="I47" s="32" t="s">
        <v>1413</v>
      </c>
      <c r="L47" s="250"/>
    </row>
    <row r="48" spans="4:12" ht="15" customHeight="1">
      <c r="D48" s="5" t="s">
        <v>1707</v>
      </c>
      <c r="E48" s="2" t="s">
        <v>1414</v>
      </c>
      <c r="F48" s="2" t="s">
        <v>1339</v>
      </c>
      <c r="G48" s="3">
        <v>0.1</v>
      </c>
      <c r="H48" s="25">
        <v>10800</v>
      </c>
      <c r="I48" s="26">
        <f>+H48*G48</f>
        <v>1080</v>
      </c>
    </row>
    <row r="49" spans="4:13" ht="15" customHeight="1">
      <c r="D49" s="1" t="s">
        <v>1707</v>
      </c>
      <c r="E49" s="2" t="s">
        <v>1266</v>
      </c>
      <c r="F49" s="2" t="s">
        <v>1416</v>
      </c>
      <c r="G49" s="8">
        <v>1.2500000000000001E-2</v>
      </c>
      <c r="H49" s="25">
        <v>10500</v>
      </c>
      <c r="I49" s="26">
        <f>+H49*G49</f>
        <v>131.25</v>
      </c>
      <c r="K49" s="249"/>
    </row>
    <row r="50" spans="4:13" ht="15" customHeight="1">
      <c r="D50" s="1" t="s">
        <v>1707</v>
      </c>
      <c r="E50" s="2" t="s">
        <v>1434</v>
      </c>
      <c r="F50" s="2" t="s">
        <v>27</v>
      </c>
      <c r="G50" s="4">
        <v>1.05</v>
      </c>
      <c r="H50" s="25">
        <v>7846</v>
      </c>
      <c r="I50" s="26">
        <f>+H50*G50</f>
        <v>8238.3000000000011</v>
      </c>
    </row>
    <row r="51" spans="4:13" ht="15" customHeight="1">
      <c r="D51" s="5" t="s">
        <v>1707</v>
      </c>
      <c r="E51" s="6" t="s">
        <v>1435</v>
      </c>
      <c r="F51" s="6" t="s">
        <v>23</v>
      </c>
      <c r="G51" s="7">
        <v>0.1</v>
      </c>
      <c r="H51" s="27">
        <v>35000</v>
      </c>
      <c r="I51" s="28">
        <f>+H51*G51</f>
        <v>3500</v>
      </c>
      <c r="L51" s="249"/>
    </row>
    <row r="52" spans="4:13" ht="15" customHeight="1" thickBot="1">
      <c r="D52" s="1" t="s">
        <v>1707</v>
      </c>
      <c r="E52" s="2" t="s">
        <v>1247</v>
      </c>
      <c r="F52" s="2" t="s">
        <v>1428</v>
      </c>
      <c r="G52" s="4">
        <v>0.15</v>
      </c>
      <c r="H52" s="25">
        <v>40081.250000000007</v>
      </c>
      <c r="I52" s="26">
        <f>+H52*G52</f>
        <v>6012.1875000000009</v>
      </c>
    </row>
    <row r="53" spans="4:13" ht="18" customHeight="1" thickBot="1">
      <c r="D53" s="382" t="s">
        <v>1429</v>
      </c>
      <c r="E53" s="383"/>
      <c r="F53" s="383"/>
      <c r="G53" s="383"/>
      <c r="H53" s="384"/>
      <c r="I53" s="29">
        <f>ROUND(+SUM(I48:I52),0)</f>
        <v>18962</v>
      </c>
    </row>
    <row r="54" spans="4:13" ht="12" thickBot="1"/>
    <row r="55" spans="4:13" ht="20.100000000000001" customHeight="1" thickBot="1">
      <c r="D55" s="385" t="s">
        <v>2295</v>
      </c>
      <c r="E55" s="340"/>
      <c r="F55" s="340"/>
      <c r="G55" s="340"/>
      <c r="H55" s="340"/>
      <c r="I55" s="340"/>
    </row>
    <row r="56" spans="4:13" ht="36" customHeight="1" thickBot="1">
      <c r="D56" s="386" t="s">
        <v>1436</v>
      </c>
      <c r="E56" s="340"/>
      <c r="F56" s="340"/>
      <c r="G56" s="340"/>
      <c r="H56" s="340"/>
      <c r="I56" s="340"/>
    </row>
    <row r="57" spans="4:13" ht="15.9" customHeight="1" thickBot="1">
      <c r="D57" s="30" t="s">
        <v>53</v>
      </c>
      <c r="E57" s="31" t="s">
        <v>1411</v>
      </c>
      <c r="F57" s="31" t="s">
        <v>136</v>
      </c>
      <c r="G57" s="31" t="s">
        <v>0</v>
      </c>
      <c r="H57" s="31" t="s">
        <v>1412</v>
      </c>
      <c r="I57" s="32" t="s">
        <v>1413</v>
      </c>
      <c r="L57" s="249"/>
    </row>
    <row r="58" spans="4:13" ht="15" customHeight="1">
      <c r="D58" s="5" t="s">
        <v>1708</v>
      </c>
      <c r="E58" s="2" t="s">
        <v>1414</v>
      </c>
      <c r="F58" s="2" t="s">
        <v>1339</v>
      </c>
      <c r="G58" s="3">
        <v>0.1</v>
      </c>
      <c r="H58" s="25">
        <v>10800</v>
      </c>
      <c r="I58" s="26">
        <f>+H58*G58</f>
        <v>1080</v>
      </c>
      <c r="M58" s="250"/>
    </row>
    <row r="59" spans="4:13" ht="15" customHeight="1">
      <c r="D59" s="5" t="s">
        <v>1708</v>
      </c>
      <c r="E59" s="2" t="s">
        <v>1266</v>
      </c>
      <c r="F59" s="2" t="s">
        <v>1416</v>
      </c>
      <c r="G59" s="4">
        <v>0.02</v>
      </c>
      <c r="H59" s="25">
        <v>10500</v>
      </c>
      <c r="I59" s="26">
        <f>+H59*G59</f>
        <v>210</v>
      </c>
      <c r="L59" s="249"/>
    </row>
    <row r="60" spans="4:13" ht="15" customHeight="1">
      <c r="D60" s="5" t="s">
        <v>1708</v>
      </c>
      <c r="E60" s="2" t="s">
        <v>1437</v>
      </c>
      <c r="F60" s="2" t="s">
        <v>27</v>
      </c>
      <c r="G60" s="4">
        <v>1.05</v>
      </c>
      <c r="H60" s="25">
        <v>18000</v>
      </c>
      <c r="I60" s="26">
        <f>+H60*G60</f>
        <v>18900</v>
      </c>
    </row>
    <row r="61" spans="4:13" ht="15" customHeight="1">
      <c r="D61" s="5" t="s">
        <v>1708</v>
      </c>
      <c r="E61" s="6" t="s">
        <v>1438</v>
      </c>
      <c r="F61" s="6" t="s">
        <v>1408</v>
      </c>
      <c r="G61" s="7">
        <v>1</v>
      </c>
      <c r="H61" s="27">
        <v>8710</v>
      </c>
      <c r="I61" s="28">
        <f>+H61*G61</f>
        <v>8710</v>
      </c>
    </row>
    <row r="62" spans="4:13" ht="15" customHeight="1" thickBot="1">
      <c r="D62" s="5" t="s">
        <v>1708</v>
      </c>
      <c r="E62" s="2" t="s">
        <v>1247</v>
      </c>
      <c r="F62" s="2" t="s">
        <v>1428</v>
      </c>
      <c r="G62" s="4">
        <v>0.15</v>
      </c>
      <c r="H62" s="25">
        <v>40081.250000000007</v>
      </c>
      <c r="I62" s="26">
        <f>+H62*G62</f>
        <v>6012.1875000000009</v>
      </c>
    </row>
    <row r="63" spans="4:13" ht="18" customHeight="1" thickBot="1">
      <c r="D63" s="382" t="s">
        <v>1429</v>
      </c>
      <c r="E63" s="383"/>
      <c r="F63" s="383"/>
      <c r="G63" s="383"/>
      <c r="H63" s="384"/>
      <c r="I63" s="29">
        <f>ROUND(SUM(I58:I62),0)</f>
        <v>34912</v>
      </c>
    </row>
    <row r="64" spans="4:13" ht="12" thickBot="1"/>
    <row r="65" spans="4:10" ht="20.100000000000001" customHeight="1" thickBot="1">
      <c r="D65" s="385" t="s">
        <v>2296</v>
      </c>
      <c r="E65" s="340"/>
      <c r="F65" s="340"/>
      <c r="G65" s="340"/>
      <c r="H65" s="340"/>
      <c r="I65" s="340"/>
    </row>
    <row r="66" spans="4:10" ht="36" customHeight="1" thickBot="1">
      <c r="D66" s="386" t="s">
        <v>1439</v>
      </c>
      <c r="E66" s="340"/>
      <c r="F66" s="340"/>
      <c r="G66" s="340"/>
      <c r="H66" s="340"/>
      <c r="I66" s="340"/>
    </row>
    <row r="67" spans="4:10" ht="15.9" customHeight="1" thickBot="1">
      <c r="D67" s="30" t="s">
        <v>53</v>
      </c>
      <c r="E67" s="31" t="s">
        <v>1411</v>
      </c>
      <c r="F67" s="31" t="s">
        <v>136</v>
      </c>
      <c r="G67" s="31" t="s">
        <v>0</v>
      </c>
      <c r="H67" s="31" t="s">
        <v>1412</v>
      </c>
      <c r="I67" s="32" t="s">
        <v>1413</v>
      </c>
    </row>
    <row r="68" spans="4:10" ht="15" customHeight="1">
      <c r="D68" s="1" t="s">
        <v>1709</v>
      </c>
      <c r="E68" s="2" t="s">
        <v>1414</v>
      </c>
      <c r="F68" s="2" t="s">
        <v>1339</v>
      </c>
      <c r="G68" s="3">
        <v>0.1</v>
      </c>
      <c r="H68" s="25">
        <v>10800</v>
      </c>
      <c r="I68" s="26">
        <f>+H68*G68</f>
        <v>1080</v>
      </c>
    </row>
    <row r="69" spans="4:10" ht="15" customHeight="1">
      <c r="D69" s="1" t="s">
        <v>1709</v>
      </c>
      <c r="E69" s="2" t="s">
        <v>1440</v>
      </c>
      <c r="F69" s="2" t="s">
        <v>23</v>
      </c>
      <c r="G69" s="4">
        <v>1</v>
      </c>
      <c r="H69" s="25">
        <v>65000</v>
      </c>
      <c r="I69" s="26">
        <f>+H69*G69</f>
        <v>65000</v>
      </c>
    </row>
    <row r="70" spans="4:10" ht="15" customHeight="1">
      <c r="D70" s="1" t="s">
        <v>1709</v>
      </c>
      <c r="E70" s="6" t="s">
        <v>1441</v>
      </c>
      <c r="F70" s="6" t="s">
        <v>23</v>
      </c>
      <c r="G70" s="7">
        <v>1</v>
      </c>
      <c r="H70" s="27">
        <v>75000</v>
      </c>
      <c r="I70" s="26">
        <f>H70*G70</f>
        <v>75000</v>
      </c>
    </row>
    <row r="71" spans="4:10" ht="15" customHeight="1" thickBot="1">
      <c r="D71" s="1" t="s">
        <v>1709</v>
      </c>
      <c r="E71" s="33" t="s">
        <v>1442</v>
      </c>
      <c r="F71" s="33" t="s">
        <v>23</v>
      </c>
      <c r="G71" s="34">
        <v>1</v>
      </c>
      <c r="H71" s="35">
        <v>30000</v>
      </c>
      <c r="I71" s="36">
        <f t="shared" ref="I71" si="0">+H71*G71</f>
        <v>30000</v>
      </c>
      <c r="J71" s="10"/>
    </row>
    <row r="72" spans="4:10" ht="18" customHeight="1" thickBot="1">
      <c r="D72" s="382" t="s">
        <v>1419</v>
      </c>
      <c r="E72" s="383"/>
      <c r="F72" s="383"/>
      <c r="G72" s="383"/>
      <c r="H72" s="384"/>
      <c r="I72" s="29">
        <f>ROUND(SUM(I68:I71),0)</f>
        <v>171080</v>
      </c>
    </row>
    <row r="73" spans="4:10" ht="12" thickBot="1"/>
    <row r="74" spans="4:10" ht="20.100000000000001" customHeight="1" thickBot="1">
      <c r="D74" s="385" t="s">
        <v>2297</v>
      </c>
      <c r="E74" s="340"/>
      <c r="F74" s="340"/>
      <c r="G74" s="340"/>
      <c r="H74" s="340"/>
      <c r="I74" s="340"/>
    </row>
    <row r="75" spans="4:10" ht="36" customHeight="1" thickBot="1">
      <c r="D75" s="386" t="s">
        <v>1443</v>
      </c>
      <c r="E75" s="340"/>
      <c r="F75" s="340"/>
      <c r="G75" s="340"/>
      <c r="H75" s="340"/>
      <c r="I75" s="340"/>
    </row>
    <row r="76" spans="4:10" ht="15.9" customHeight="1" thickBot="1">
      <c r="D76" s="30" t="s">
        <v>53</v>
      </c>
      <c r="E76" s="31" t="s">
        <v>1411</v>
      </c>
      <c r="F76" s="31" t="s">
        <v>136</v>
      </c>
      <c r="G76" s="31" t="s">
        <v>0</v>
      </c>
      <c r="H76" s="31" t="s">
        <v>1412</v>
      </c>
      <c r="I76" s="32" t="s">
        <v>1413</v>
      </c>
    </row>
    <row r="77" spans="4:10" ht="15" customHeight="1">
      <c r="D77" s="5" t="s">
        <v>1708</v>
      </c>
      <c r="E77" s="2" t="s">
        <v>1414</v>
      </c>
      <c r="F77" s="2" t="s">
        <v>1339</v>
      </c>
      <c r="G77" s="3">
        <v>0.1</v>
      </c>
      <c r="H77" s="25">
        <v>10800</v>
      </c>
      <c r="I77" s="26">
        <f>+H77*G77</f>
        <v>1080</v>
      </c>
    </row>
    <row r="78" spans="4:10" ht="15" customHeight="1">
      <c r="D78" s="5" t="s">
        <v>1708</v>
      </c>
      <c r="E78" s="2" t="s">
        <v>1444</v>
      </c>
      <c r="F78" s="2" t="s">
        <v>23</v>
      </c>
      <c r="G78" s="4">
        <v>1</v>
      </c>
      <c r="H78" s="25">
        <v>20000</v>
      </c>
      <c r="I78" s="26">
        <f>+H78*G78</f>
        <v>20000</v>
      </c>
    </row>
    <row r="79" spans="4:10" ht="15" customHeight="1" thickBot="1">
      <c r="D79" s="5" t="s">
        <v>1708</v>
      </c>
      <c r="E79" s="6" t="s">
        <v>1247</v>
      </c>
      <c r="F79" s="6" t="s">
        <v>1428</v>
      </c>
      <c r="G79" s="7">
        <v>0.15</v>
      </c>
      <c r="H79" s="27">
        <v>40081.250000000007</v>
      </c>
      <c r="I79" s="28">
        <f>+H79*G79</f>
        <v>6012.1875000000009</v>
      </c>
    </row>
    <row r="80" spans="4:10" ht="18" customHeight="1" thickBot="1">
      <c r="D80" s="382" t="s">
        <v>1419</v>
      </c>
      <c r="E80" s="383"/>
      <c r="F80" s="383"/>
      <c r="G80" s="383"/>
      <c r="H80" s="384"/>
      <c r="I80" s="29">
        <f>ROUND(SUM(I77:I79),0)</f>
        <v>27092</v>
      </c>
    </row>
    <row r="81" spans="4:9" ht="12" thickBot="1"/>
    <row r="82" spans="4:9" ht="20.100000000000001" customHeight="1" thickBot="1">
      <c r="D82" s="385" t="s">
        <v>2298</v>
      </c>
      <c r="E82" s="340"/>
      <c r="F82" s="340"/>
      <c r="G82" s="340"/>
      <c r="H82" s="340"/>
      <c r="I82" s="340"/>
    </row>
    <row r="83" spans="4:9" ht="36" customHeight="1" thickBot="1">
      <c r="D83" s="386" t="s">
        <v>1445</v>
      </c>
      <c r="E83" s="340"/>
      <c r="F83" s="340"/>
      <c r="G83" s="340"/>
      <c r="H83" s="340"/>
      <c r="I83" s="340"/>
    </row>
    <row r="84" spans="4:9" ht="15.9" customHeight="1" thickBot="1">
      <c r="D84" s="30" t="s">
        <v>53</v>
      </c>
      <c r="E84" s="31" t="s">
        <v>1411</v>
      </c>
      <c r="F84" s="31" t="s">
        <v>136</v>
      </c>
      <c r="G84" s="31" t="s">
        <v>0</v>
      </c>
      <c r="H84" s="31" t="s">
        <v>1412</v>
      </c>
      <c r="I84" s="32" t="s">
        <v>1413</v>
      </c>
    </row>
    <row r="85" spans="4:9" ht="15" customHeight="1">
      <c r="D85" s="1" t="s">
        <v>1710</v>
      </c>
      <c r="E85" s="2" t="s">
        <v>1446</v>
      </c>
      <c r="F85" s="2" t="s">
        <v>1408</v>
      </c>
      <c r="G85" s="4">
        <v>1</v>
      </c>
      <c r="H85" s="25">
        <v>120000</v>
      </c>
      <c r="I85" s="26">
        <f>+H85*G85</f>
        <v>120000</v>
      </c>
    </row>
    <row r="86" spans="4:9" ht="15" customHeight="1">
      <c r="D86" s="1" t="s">
        <v>1710</v>
      </c>
      <c r="E86" s="6" t="s">
        <v>1447</v>
      </c>
      <c r="F86" s="6" t="s">
        <v>1408</v>
      </c>
      <c r="G86" s="7">
        <v>1</v>
      </c>
      <c r="H86" s="27">
        <v>80000</v>
      </c>
      <c r="I86" s="28">
        <f>+H86*G86</f>
        <v>80000</v>
      </c>
    </row>
    <row r="87" spans="4:9" ht="15" customHeight="1">
      <c r="D87" s="1" t="s">
        <v>1710</v>
      </c>
      <c r="E87" s="2" t="s">
        <v>1448</v>
      </c>
      <c r="F87" s="2" t="s">
        <v>1408</v>
      </c>
      <c r="G87" s="4">
        <v>1</v>
      </c>
      <c r="H87" s="25">
        <v>45000</v>
      </c>
      <c r="I87" s="26">
        <f>+H87*G87</f>
        <v>45000</v>
      </c>
    </row>
    <row r="88" spans="4:9" ht="15" customHeight="1" thickBot="1">
      <c r="D88" s="1" t="s">
        <v>1710</v>
      </c>
      <c r="E88" s="6" t="s">
        <v>1449</v>
      </c>
      <c r="F88" s="6" t="s">
        <v>1408</v>
      </c>
      <c r="G88" s="7">
        <v>1</v>
      </c>
      <c r="H88" s="27">
        <v>90000</v>
      </c>
      <c r="I88" s="28">
        <f>+H88*G88</f>
        <v>90000</v>
      </c>
    </row>
    <row r="89" spans="4:9" ht="18" customHeight="1" thickBot="1">
      <c r="D89" s="382" t="s">
        <v>1450</v>
      </c>
      <c r="E89" s="383"/>
      <c r="F89" s="383"/>
      <c r="G89" s="383"/>
      <c r="H89" s="384"/>
      <c r="I89" s="29">
        <f>ROUND(+SUM(I85:I88),0)</f>
        <v>335000</v>
      </c>
    </row>
    <row r="90" spans="4:9" ht="12" thickBot="1"/>
    <row r="91" spans="4:9" ht="20.100000000000001" customHeight="1" thickBot="1">
      <c r="D91" s="385" t="s">
        <v>2299</v>
      </c>
      <c r="E91" s="340"/>
      <c r="F91" s="340"/>
      <c r="G91" s="340"/>
      <c r="H91" s="340"/>
      <c r="I91" s="340"/>
    </row>
    <row r="92" spans="4:9" ht="36" customHeight="1" thickBot="1">
      <c r="D92" s="386" t="s">
        <v>1451</v>
      </c>
      <c r="E92" s="340"/>
      <c r="F92" s="340"/>
      <c r="G92" s="340"/>
      <c r="H92" s="340"/>
      <c r="I92" s="340"/>
    </row>
    <row r="93" spans="4:9" ht="15.9" customHeight="1" thickBot="1">
      <c r="D93" s="30" t="s">
        <v>53</v>
      </c>
      <c r="E93" s="31" t="s">
        <v>1411</v>
      </c>
      <c r="F93" s="31" t="s">
        <v>136</v>
      </c>
      <c r="G93" s="31" t="s">
        <v>0</v>
      </c>
      <c r="H93" s="31" t="s">
        <v>1412</v>
      </c>
      <c r="I93" s="32" t="s">
        <v>1413</v>
      </c>
    </row>
    <row r="94" spans="4:9" ht="15" customHeight="1">
      <c r="D94" s="1" t="s">
        <v>1711</v>
      </c>
      <c r="E94" s="2" t="s">
        <v>1414</v>
      </c>
      <c r="F94" s="2" t="s">
        <v>1339</v>
      </c>
      <c r="G94" s="3">
        <v>0.1</v>
      </c>
      <c r="H94" s="25">
        <v>10800</v>
      </c>
      <c r="I94" s="26">
        <f>+H94*G94</f>
        <v>1080</v>
      </c>
    </row>
    <row r="95" spans="4:9" ht="15" customHeight="1">
      <c r="D95" s="1" t="s">
        <v>1711</v>
      </c>
      <c r="E95" s="2" t="s">
        <v>1452</v>
      </c>
      <c r="F95" s="2" t="s">
        <v>23</v>
      </c>
      <c r="G95" s="4">
        <v>1</v>
      </c>
      <c r="H95" s="25">
        <v>9200</v>
      </c>
      <c r="I95" s="26">
        <f>+H95*G95</f>
        <v>9200</v>
      </c>
    </row>
    <row r="96" spans="4:9" ht="15" customHeight="1">
      <c r="D96" s="1" t="s">
        <v>1711</v>
      </c>
      <c r="E96" s="6" t="s">
        <v>1453</v>
      </c>
      <c r="F96" s="6" t="s">
        <v>23</v>
      </c>
      <c r="G96" s="7">
        <v>1</v>
      </c>
      <c r="H96" s="27">
        <v>1000</v>
      </c>
      <c r="I96" s="28">
        <f>+H96*G96</f>
        <v>1000</v>
      </c>
    </row>
    <row r="97" spans="4:9" ht="15" customHeight="1" thickBot="1">
      <c r="D97" s="1" t="s">
        <v>1711</v>
      </c>
      <c r="E97" s="2" t="s">
        <v>1247</v>
      </c>
      <c r="F97" s="2" t="s">
        <v>1428</v>
      </c>
      <c r="G97" s="4">
        <v>0.06</v>
      </c>
      <c r="H97" s="25">
        <v>40081.250000000007</v>
      </c>
      <c r="I97" s="26">
        <f>+H97*G97</f>
        <v>2404.8750000000005</v>
      </c>
    </row>
    <row r="98" spans="4:9" ht="18" customHeight="1" thickBot="1">
      <c r="D98" s="382" t="s">
        <v>1419</v>
      </c>
      <c r="E98" s="383"/>
      <c r="F98" s="383"/>
      <c r="G98" s="383"/>
      <c r="H98" s="384"/>
      <c r="I98" s="29">
        <f>ROUND(SUM(I94:I97),0)</f>
        <v>13685</v>
      </c>
    </row>
    <row r="101" spans="4:9" ht="26.1" customHeight="1" thickBot="1">
      <c r="D101" s="387" t="s">
        <v>2300</v>
      </c>
      <c r="E101" s="340"/>
      <c r="F101" s="340"/>
      <c r="G101" s="340"/>
      <c r="H101" s="340"/>
      <c r="I101" s="340"/>
    </row>
    <row r="102" spans="4:9" ht="20.100000000000001" customHeight="1" thickBot="1">
      <c r="D102" s="385" t="s">
        <v>2301</v>
      </c>
      <c r="E102" s="340"/>
      <c r="F102" s="340"/>
      <c r="G102" s="340"/>
      <c r="H102" s="340"/>
      <c r="I102" s="340"/>
    </row>
    <row r="103" spans="4:9" ht="36" customHeight="1" thickBot="1">
      <c r="D103" s="386" t="s">
        <v>1454</v>
      </c>
      <c r="E103" s="340"/>
      <c r="F103" s="340"/>
      <c r="G103" s="340"/>
      <c r="H103" s="340"/>
      <c r="I103" s="340"/>
    </row>
    <row r="104" spans="4:9" ht="15.9" customHeight="1" thickBot="1">
      <c r="D104" s="30" t="s">
        <v>53</v>
      </c>
      <c r="E104" s="31" t="s">
        <v>1411</v>
      </c>
      <c r="F104" s="31" t="s">
        <v>136</v>
      </c>
      <c r="G104" s="31" t="s">
        <v>0</v>
      </c>
      <c r="H104" s="31" t="s">
        <v>1412</v>
      </c>
      <c r="I104" s="32" t="s">
        <v>1413</v>
      </c>
    </row>
    <row r="105" spans="4:9" ht="15" customHeight="1">
      <c r="D105" s="5" t="s">
        <v>1712</v>
      </c>
      <c r="E105" s="2" t="s">
        <v>1414</v>
      </c>
      <c r="F105" s="2" t="s">
        <v>1339</v>
      </c>
      <c r="G105" s="3">
        <v>0.1</v>
      </c>
      <c r="H105" s="25">
        <v>10800</v>
      </c>
      <c r="I105" s="26">
        <f>+H105*G105</f>
        <v>1080</v>
      </c>
    </row>
    <row r="106" spans="4:9" ht="15" customHeight="1">
      <c r="D106" s="5" t="s">
        <v>1712</v>
      </c>
      <c r="E106" s="2" t="s">
        <v>1266</v>
      </c>
      <c r="F106" s="2" t="s">
        <v>1416</v>
      </c>
      <c r="G106" s="4">
        <v>0.02</v>
      </c>
      <c r="H106" s="25">
        <v>10500</v>
      </c>
      <c r="I106" s="26">
        <f t="shared" ref="I106:I109" si="1">+H106*G106</f>
        <v>210</v>
      </c>
    </row>
    <row r="107" spans="4:9" ht="15" customHeight="1">
      <c r="D107" s="5" t="s">
        <v>1712</v>
      </c>
      <c r="E107" s="2" t="s">
        <v>1455</v>
      </c>
      <c r="F107" s="2" t="s">
        <v>27</v>
      </c>
      <c r="G107" s="4">
        <v>1.05</v>
      </c>
      <c r="H107" s="25">
        <v>6000</v>
      </c>
      <c r="I107" s="26">
        <f t="shared" si="1"/>
        <v>6300</v>
      </c>
    </row>
    <row r="108" spans="4:9" ht="15" customHeight="1">
      <c r="D108" s="5" t="s">
        <v>1712</v>
      </c>
      <c r="E108" s="6" t="s">
        <v>1456</v>
      </c>
      <c r="F108" s="6" t="s">
        <v>1408</v>
      </c>
      <c r="G108" s="7">
        <v>1</v>
      </c>
      <c r="H108" s="27">
        <v>1000</v>
      </c>
      <c r="I108" s="26">
        <f t="shared" si="1"/>
        <v>1000</v>
      </c>
    </row>
    <row r="109" spans="4:9" ht="15" customHeight="1" thickBot="1">
      <c r="D109" s="5" t="s">
        <v>1712</v>
      </c>
      <c r="E109" s="2" t="s">
        <v>1247</v>
      </c>
      <c r="F109" s="2" t="s">
        <v>1416</v>
      </c>
      <c r="G109" s="4">
        <v>0.1</v>
      </c>
      <c r="H109" s="25">
        <v>40081.250000000007</v>
      </c>
      <c r="I109" s="26">
        <f t="shared" si="1"/>
        <v>4008.1250000000009</v>
      </c>
    </row>
    <row r="110" spans="4:9" ht="18" customHeight="1" thickBot="1">
      <c r="D110" s="382" t="s">
        <v>1429</v>
      </c>
      <c r="E110" s="383"/>
      <c r="F110" s="383"/>
      <c r="G110" s="383"/>
      <c r="H110" s="384"/>
      <c r="I110" s="29">
        <f>ROUND(SUM(I105:I109),0)</f>
        <v>12598</v>
      </c>
    </row>
    <row r="111" spans="4:9" ht="12" thickBot="1"/>
    <row r="112" spans="4:9" ht="20.100000000000001" customHeight="1" thickBot="1">
      <c r="D112" s="385" t="s">
        <v>2302</v>
      </c>
      <c r="E112" s="340"/>
      <c r="F112" s="340"/>
      <c r="G112" s="340"/>
      <c r="H112" s="340"/>
      <c r="I112" s="340"/>
    </row>
    <row r="113" spans="4:9" ht="36" customHeight="1" thickBot="1">
      <c r="D113" s="386" t="s">
        <v>1457</v>
      </c>
      <c r="E113" s="340"/>
      <c r="F113" s="340"/>
      <c r="G113" s="340"/>
      <c r="H113" s="340"/>
      <c r="I113" s="340"/>
    </row>
    <row r="114" spans="4:9" ht="15.9" customHeight="1" thickBot="1">
      <c r="D114" s="30" t="s">
        <v>53</v>
      </c>
      <c r="E114" s="31" t="s">
        <v>1411</v>
      </c>
      <c r="F114" s="31" t="s">
        <v>136</v>
      </c>
      <c r="G114" s="31" t="s">
        <v>0</v>
      </c>
      <c r="H114" s="31" t="s">
        <v>1412</v>
      </c>
      <c r="I114" s="32" t="s">
        <v>1413</v>
      </c>
    </row>
    <row r="115" spans="4:9" ht="15" customHeight="1">
      <c r="D115" s="5" t="s">
        <v>1713</v>
      </c>
      <c r="E115" s="2" t="s">
        <v>1414</v>
      </c>
      <c r="F115" s="2" t="s">
        <v>1339</v>
      </c>
      <c r="G115" s="3">
        <v>0.1</v>
      </c>
      <c r="H115" s="25">
        <v>10800</v>
      </c>
      <c r="I115" s="26">
        <f>+H115*G115</f>
        <v>1080</v>
      </c>
    </row>
    <row r="116" spans="4:9" ht="15" customHeight="1">
      <c r="D116" s="5" t="s">
        <v>1713</v>
      </c>
      <c r="E116" s="2" t="s">
        <v>1266</v>
      </c>
      <c r="F116" s="2" t="s">
        <v>1416</v>
      </c>
      <c r="G116" s="4">
        <v>0.02</v>
      </c>
      <c r="H116" s="25">
        <v>10500</v>
      </c>
      <c r="I116" s="26">
        <f t="shared" ref="I116:I119" si="2">+H116*G116</f>
        <v>210</v>
      </c>
    </row>
    <row r="117" spans="4:9" ht="15" customHeight="1">
      <c r="D117" s="5" t="s">
        <v>1713</v>
      </c>
      <c r="E117" s="2" t="s">
        <v>1458</v>
      </c>
      <c r="F117" s="2" t="s">
        <v>27</v>
      </c>
      <c r="G117" s="4">
        <v>1.05</v>
      </c>
      <c r="H117" s="25">
        <v>10285.16</v>
      </c>
      <c r="I117" s="26">
        <f t="shared" si="2"/>
        <v>10799.418</v>
      </c>
    </row>
    <row r="118" spans="4:9" ht="15" customHeight="1">
      <c r="D118" s="5" t="s">
        <v>1713</v>
      </c>
      <c r="E118" s="6" t="s">
        <v>1456</v>
      </c>
      <c r="F118" s="6" t="s">
        <v>1408</v>
      </c>
      <c r="G118" s="7">
        <v>1</v>
      </c>
      <c r="H118" s="27">
        <v>1000</v>
      </c>
      <c r="I118" s="26">
        <f t="shared" si="2"/>
        <v>1000</v>
      </c>
    </row>
    <row r="119" spans="4:9" ht="15" customHeight="1" thickBot="1">
      <c r="D119" s="5" t="s">
        <v>1713</v>
      </c>
      <c r="E119" s="2" t="s">
        <v>1247</v>
      </c>
      <c r="F119" s="2" t="s">
        <v>1416</v>
      </c>
      <c r="G119" s="4">
        <v>0.1</v>
      </c>
      <c r="H119" s="25">
        <v>40081.250000000007</v>
      </c>
      <c r="I119" s="26">
        <f t="shared" si="2"/>
        <v>4008.1250000000009</v>
      </c>
    </row>
    <row r="120" spans="4:9" ht="18" customHeight="1" thickBot="1">
      <c r="D120" s="382" t="s">
        <v>1429</v>
      </c>
      <c r="E120" s="383"/>
      <c r="F120" s="383"/>
      <c r="G120" s="383"/>
      <c r="H120" s="384"/>
      <c r="I120" s="29">
        <f>ROUND(SUM(I115:I119),0)</f>
        <v>17098</v>
      </c>
    </row>
    <row r="121" spans="4:9" ht="12" thickBot="1"/>
    <row r="122" spans="4:9" ht="20.100000000000001" customHeight="1" thickBot="1">
      <c r="D122" s="385" t="s">
        <v>2303</v>
      </c>
      <c r="E122" s="340"/>
      <c r="F122" s="340"/>
      <c r="G122" s="340"/>
      <c r="H122" s="340"/>
      <c r="I122" s="340"/>
    </row>
    <row r="123" spans="4:9" ht="36" customHeight="1" thickBot="1">
      <c r="D123" s="386" t="s">
        <v>1459</v>
      </c>
      <c r="E123" s="340"/>
      <c r="F123" s="340"/>
      <c r="G123" s="340"/>
      <c r="H123" s="340"/>
      <c r="I123" s="340"/>
    </row>
    <row r="124" spans="4:9" ht="15.9" customHeight="1" thickBot="1">
      <c r="D124" s="30" t="s">
        <v>53</v>
      </c>
      <c r="E124" s="31" t="s">
        <v>1411</v>
      </c>
      <c r="F124" s="31" t="s">
        <v>136</v>
      </c>
      <c r="G124" s="31" t="s">
        <v>0</v>
      </c>
      <c r="H124" s="31" t="s">
        <v>1412</v>
      </c>
      <c r="I124" s="32" t="s">
        <v>1413</v>
      </c>
    </row>
    <row r="125" spans="4:9" ht="15" customHeight="1">
      <c r="D125" s="5" t="s">
        <v>1714</v>
      </c>
      <c r="E125" s="2" t="s">
        <v>1414</v>
      </c>
      <c r="F125" s="2" t="s">
        <v>1408</v>
      </c>
      <c r="G125" s="3">
        <v>0.1</v>
      </c>
      <c r="H125" s="25">
        <v>10800</v>
      </c>
      <c r="I125" s="26">
        <f>+H125*G125</f>
        <v>1080</v>
      </c>
    </row>
    <row r="126" spans="4:9" ht="15" customHeight="1">
      <c r="D126" s="5" t="s">
        <v>1714</v>
      </c>
      <c r="E126" s="2" t="s">
        <v>1266</v>
      </c>
      <c r="F126" s="2" t="s">
        <v>1416</v>
      </c>
      <c r="G126" s="4">
        <v>0.02</v>
      </c>
      <c r="H126" s="25">
        <v>10500</v>
      </c>
      <c r="I126" s="26">
        <f t="shared" ref="I126:I129" si="3">+H126*G126</f>
        <v>210</v>
      </c>
    </row>
    <row r="127" spans="4:9" ht="15" customHeight="1">
      <c r="D127" s="5" t="s">
        <v>1714</v>
      </c>
      <c r="E127" s="2" t="s">
        <v>1460</v>
      </c>
      <c r="F127" s="2" t="s">
        <v>27</v>
      </c>
      <c r="G127" s="4">
        <v>1.05</v>
      </c>
      <c r="H127" s="25">
        <v>14757.83</v>
      </c>
      <c r="I127" s="26">
        <f t="shared" si="3"/>
        <v>15495.721500000001</v>
      </c>
    </row>
    <row r="128" spans="4:9" ht="15" customHeight="1">
      <c r="D128" s="5" t="s">
        <v>1714</v>
      </c>
      <c r="E128" s="6" t="s">
        <v>1461</v>
      </c>
      <c r="F128" s="6" t="s">
        <v>1408</v>
      </c>
      <c r="G128" s="7">
        <v>1</v>
      </c>
      <c r="H128" s="27">
        <v>25000</v>
      </c>
      <c r="I128" s="26">
        <f t="shared" si="3"/>
        <v>25000</v>
      </c>
    </row>
    <row r="129" spans="4:9" ht="15" customHeight="1" thickBot="1">
      <c r="D129" s="5" t="s">
        <v>1714</v>
      </c>
      <c r="E129" s="2" t="s">
        <v>1247</v>
      </c>
      <c r="F129" s="2" t="s">
        <v>27</v>
      </c>
      <c r="G129" s="4">
        <v>0.15</v>
      </c>
      <c r="H129" s="25">
        <v>40081.250000000007</v>
      </c>
      <c r="I129" s="26">
        <f t="shared" si="3"/>
        <v>6012.1875000000009</v>
      </c>
    </row>
    <row r="130" spans="4:9" ht="18" customHeight="1" thickBot="1">
      <c r="D130" s="382" t="s">
        <v>1429</v>
      </c>
      <c r="E130" s="383"/>
      <c r="F130" s="383"/>
      <c r="G130" s="383"/>
      <c r="H130" s="384"/>
      <c r="I130" s="29">
        <f>ROUND(SUM(I125:I129),0)</f>
        <v>47798</v>
      </c>
    </row>
    <row r="132" spans="4:9" ht="12" thickBot="1"/>
    <row r="133" spans="4:9" ht="20.100000000000001" customHeight="1" thickBot="1">
      <c r="D133" s="385" t="s">
        <v>2304</v>
      </c>
      <c r="E133" s="340"/>
      <c r="F133" s="340"/>
      <c r="G133" s="340"/>
      <c r="H133" s="340"/>
      <c r="I133" s="340"/>
    </row>
    <row r="134" spans="4:9" ht="36" customHeight="1" thickBot="1">
      <c r="D134" s="386" t="s">
        <v>1462</v>
      </c>
      <c r="E134" s="340"/>
      <c r="F134" s="340"/>
      <c r="G134" s="340"/>
      <c r="H134" s="340"/>
      <c r="I134" s="340"/>
    </row>
    <row r="135" spans="4:9" ht="15.9" customHeight="1" thickBot="1">
      <c r="D135" s="30" t="s">
        <v>53</v>
      </c>
      <c r="E135" s="31" t="s">
        <v>1411</v>
      </c>
      <c r="F135" s="31" t="s">
        <v>136</v>
      </c>
      <c r="G135" s="31" t="s">
        <v>0</v>
      </c>
      <c r="H135" s="31" t="s">
        <v>1412</v>
      </c>
      <c r="I135" s="32" t="s">
        <v>1413</v>
      </c>
    </row>
    <row r="136" spans="4:9" ht="15" customHeight="1">
      <c r="D136" s="1" t="s">
        <v>1715</v>
      </c>
      <c r="E136" s="2" t="s">
        <v>1414</v>
      </c>
      <c r="F136" s="2" t="s">
        <v>1408</v>
      </c>
      <c r="G136" s="3">
        <v>0.1</v>
      </c>
      <c r="H136" s="25">
        <v>10800</v>
      </c>
      <c r="I136" s="26">
        <f>+H136*G136</f>
        <v>1080</v>
      </c>
    </row>
    <row r="137" spans="4:9" ht="15" customHeight="1">
      <c r="D137" s="1" t="s">
        <v>1715</v>
      </c>
      <c r="E137" s="2" t="s">
        <v>1463</v>
      </c>
      <c r="F137" s="2" t="s">
        <v>23</v>
      </c>
      <c r="G137" s="4">
        <v>0.5</v>
      </c>
      <c r="H137" s="25">
        <v>3800</v>
      </c>
      <c r="I137" s="26">
        <f t="shared" ref="I137:I139" si="4">+H137*G137</f>
        <v>1900</v>
      </c>
    </row>
    <row r="138" spans="4:9" ht="15" customHeight="1">
      <c r="D138" s="1" t="s">
        <v>1715</v>
      </c>
      <c r="E138" s="6" t="s">
        <v>1464</v>
      </c>
      <c r="F138" s="6" t="s">
        <v>23</v>
      </c>
      <c r="G138" s="7">
        <v>0.5</v>
      </c>
      <c r="H138" s="27">
        <v>2600</v>
      </c>
      <c r="I138" s="26">
        <f t="shared" si="4"/>
        <v>1300</v>
      </c>
    </row>
    <row r="139" spans="4:9" ht="15" customHeight="1">
      <c r="D139" s="1" t="s">
        <v>1715</v>
      </c>
      <c r="E139" s="2" t="s">
        <v>1465</v>
      </c>
      <c r="F139" s="2" t="s">
        <v>1299</v>
      </c>
      <c r="G139" s="4">
        <v>0.01</v>
      </c>
      <c r="H139" s="25">
        <v>50900</v>
      </c>
      <c r="I139" s="26">
        <f t="shared" si="4"/>
        <v>509</v>
      </c>
    </row>
    <row r="140" spans="4:9" ht="15" customHeight="1" thickBot="1">
      <c r="D140" s="1" t="s">
        <v>1715</v>
      </c>
      <c r="E140" s="6" t="s">
        <v>1247</v>
      </c>
      <c r="F140" s="6" t="s">
        <v>1428</v>
      </c>
      <c r="G140" s="7">
        <v>0.05</v>
      </c>
      <c r="H140" s="27">
        <v>40081.250000000007</v>
      </c>
      <c r="I140" s="26">
        <f>+H140*G140</f>
        <v>2004.0625000000005</v>
      </c>
    </row>
    <row r="141" spans="4:9" ht="18" customHeight="1" thickBot="1">
      <c r="D141" s="382" t="s">
        <v>1419</v>
      </c>
      <c r="E141" s="383"/>
      <c r="F141" s="383"/>
      <c r="G141" s="383"/>
      <c r="H141" s="384"/>
      <c r="I141" s="29">
        <f>ROUND(SUM(I136:I140),0)</f>
        <v>6793</v>
      </c>
    </row>
    <row r="142" spans="4:9" ht="12" thickBot="1"/>
    <row r="143" spans="4:9" ht="20.100000000000001" customHeight="1" thickBot="1">
      <c r="D143" s="385" t="s">
        <v>2305</v>
      </c>
      <c r="E143" s="340"/>
      <c r="F143" s="340"/>
      <c r="G143" s="340"/>
      <c r="H143" s="340"/>
      <c r="I143" s="340"/>
    </row>
    <row r="144" spans="4:9" ht="36" customHeight="1" thickBot="1">
      <c r="D144" s="386" t="s">
        <v>1466</v>
      </c>
      <c r="E144" s="340"/>
      <c r="F144" s="340"/>
      <c r="G144" s="340"/>
      <c r="H144" s="340"/>
      <c r="I144" s="340"/>
    </row>
    <row r="145" spans="4:9" ht="15.9" customHeight="1" thickBot="1">
      <c r="D145" s="30" t="s">
        <v>53</v>
      </c>
      <c r="E145" s="31" t="s">
        <v>1411</v>
      </c>
      <c r="F145" s="31" t="s">
        <v>136</v>
      </c>
      <c r="G145" s="31" t="s">
        <v>0</v>
      </c>
      <c r="H145" s="31" t="s">
        <v>1412</v>
      </c>
      <c r="I145" s="32" t="s">
        <v>1413</v>
      </c>
    </row>
    <row r="146" spans="4:9" ht="15" customHeight="1">
      <c r="D146" s="9" t="s">
        <v>1716</v>
      </c>
      <c r="E146" s="2" t="s">
        <v>1414</v>
      </c>
      <c r="F146" s="2" t="s">
        <v>1408</v>
      </c>
      <c r="G146" s="3">
        <v>0.1</v>
      </c>
      <c r="H146" s="25">
        <v>10800</v>
      </c>
      <c r="I146" s="26">
        <f>+H146*G146</f>
        <v>1080</v>
      </c>
    </row>
    <row r="147" spans="4:9" ht="15" customHeight="1">
      <c r="D147" s="9" t="s">
        <v>1716</v>
      </c>
      <c r="E147" s="2" t="s">
        <v>1467</v>
      </c>
      <c r="F147" s="2" t="s">
        <v>1408</v>
      </c>
      <c r="G147" s="4">
        <v>1</v>
      </c>
      <c r="H147" s="25">
        <v>38000</v>
      </c>
      <c r="I147" s="26">
        <f t="shared" ref="I147:I151" si="5">+H147*G147</f>
        <v>38000</v>
      </c>
    </row>
    <row r="148" spans="4:9" ht="15" customHeight="1">
      <c r="D148" s="9" t="s">
        <v>1716</v>
      </c>
      <c r="E148" s="6" t="s">
        <v>1468</v>
      </c>
      <c r="F148" s="6" t="s">
        <v>1408</v>
      </c>
      <c r="G148" s="7">
        <v>1</v>
      </c>
      <c r="H148" s="27">
        <v>25000</v>
      </c>
      <c r="I148" s="26">
        <f t="shared" si="5"/>
        <v>25000</v>
      </c>
    </row>
    <row r="149" spans="4:9" ht="15" customHeight="1">
      <c r="D149" s="9" t="s">
        <v>1716</v>
      </c>
      <c r="E149" s="2" t="s">
        <v>1469</v>
      </c>
      <c r="F149" s="2" t="s">
        <v>1408</v>
      </c>
      <c r="G149" s="4">
        <v>1</v>
      </c>
      <c r="H149" s="25">
        <v>12000</v>
      </c>
      <c r="I149" s="26">
        <f t="shared" si="5"/>
        <v>12000</v>
      </c>
    </row>
    <row r="150" spans="4:9" ht="15" customHeight="1">
      <c r="D150" s="9" t="s">
        <v>1716</v>
      </c>
      <c r="E150" s="6" t="s">
        <v>1470</v>
      </c>
      <c r="F150" s="6" t="s">
        <v>23</v>
      </c>
      <c r="G150" s="7">
        <v>0.02</v>
      </c>
      <c r="H150" s="27">
        <v>50900</v>
      </c>
      <c r="I150" s="26">
        <f t="shared" si="5"/>
        <v>1018</v>
      </c>
    </row>
    <row r="151" spans="4:9" ht="15" customHeight="1" thickBot="1">
      <c r="D151" s="9" t="s">
        <v>1716</v>
      </c>
      <c r="E151" s="33" t="s">
        <v>1247</v>
      </c>
      <c r="F151" s="33" t="s">
        <v>1339</v>
      </c>
      <c r="G151" s="34">
        <v>1</v>
      </c>
      <c r="H151" s="35">
        <v>100000</v>
      </c>
      <c r="I151" s="36">
        <f t="shared" si="5"/>
        <v>100000</v>
      </c>
    </row>
    <row r="152" spans="4:9" ht="18" customHeight="1" thickBot="1">
      <c r="D152" s="382" t="s">
        <v>1450</v>
      </c>
      <c r="E152" s="383"/>
      <c r="F152" s="383"/>
      <c r="G152" s="383"/>
      <c r="H152" s="384"/>
      <c r="I152" s="29">
        <f>ROUND(SUM(I146:I151),0)</f>
        <v>177098</v>
      </c>
    </row>
    <row r="156" spans="4:9" ht="26.1" customHeight="1" thickBot="1">
      <c r="D156" s="387" t="s">
        <v>2306</v>
      </c>
      <c r="E156" s="340"/>
      <c r="F156" s="340"/>
      <c r="G156" s="340"/>
      <c r="H156" s="340"/>
      <c r="I156" s="340"/>
    </row>
    <row r="157" spans="4:9" ht="20.100000000000001" customHeight="1" thickBot="1">
      <c r="D157" s="385" t="s">
        <v>2307</v>
      </c>
      <c r="E157" s="340"/>
      <c r="F157" s="340"/>
      <c r="G157" s="340"/>
      <c r="H157" s="340"/>
      <c r="I157" s="340"/>
    </row>
    <row r="158" spans="4:9" ht="36" customHeight="1" thickBot="1">
      <c r="D158" s="386" t="s">
        <v>1471</v>
      </c>
      <c r="E158" s="340"/>
      <c r="F158" s="340"/>
      <c r="G158" s="340"/>
      <c r="H158" s="340"/>
      <c r="I158" s="340"/>
    </row>
    <row r="159" spans="4:9" ht="15.9" customHeight="1" thickBot="1">
      <c r="D159" s="30" t="s">
        <v>53</v>
      </c>
      <c r="E159" s="31" t="s">
        <v>1411</v>
      </c>
      <c r="F159" s="31" t="s">
        <v>136</v>
      </c>
      <c r="G159" s="31" t="s">
        <v>0</v>
      </c>
      <c r="H159" s="31" t="s">
        <v>1412</v>
      </c>
      <c r="I159" s="32" t="s">
        <v>1413</v>
      </c>
    </row>
    <row r="160" spans="4:9" ht="15" customHeight="1">
      <c r="D160" s="1" t="s">
        <v>1717</v>
      </c>
      <c r="E160" s="2" t="s">
        <v>1414</v>
      </c>
      <c r="F160" s="2" t="s">
        <v>1408</v>
      </c>
      <c r="G160" s="3">
        <v>0.1</v>
      </c>
      <c r="H160" s="25">
        <v>10800</v>
      </c>
      <c r="I160" s="26">
        <f>+H160*G160</f>
        <v>1080</v>
      </c>
    </row>
    <row r="161" spans="4:9" ht="15" customHeight="1">
      <c r="D161" s="1" t="s">
        <v>1717</v>
      </c>
      <c r="E161" s="2" t="s">
        <v>1472</v>
      </c>
      <c r="F161" s="2" t="s">
        <v>23</v>
      </c>
      <c r="G161" s="4">
        <v>1</v>
      </c>
      <c r="H161" s="25">
        <v>850000</v>
      </c>
      <c r="I161" s="26">
        <f t="shared" ref="I161:I163" si="6">+H161*G161</f>
        <v>850000</v>
      </c>
    </row>
    <row r="162" spans="4:9" ht="15" customHeight="1">
      <c r="D162" s="1" t="s">
        <v>1717</v>
      </c>
      <c r="E162" s="6" t="s">
        <v>1473</v>
      </c>
      <c r="F162" s="6" t="s">
        <v>1408</v>
      </c>
      <c r="G162" s="7">
        <v>1</v>
      </c>
      <c r="H162" s="27">
        <v>200000</v>
      </c>
      <c r="I162" s="26">
        <f t="shared" si="6"/>
        <v>200000</v>
      </c>
    </row>
    <row r="163" spans="4:9" ht="15" customHeight="1" thickBot="1">
      <c r="D163" s="1" t="s">
        <v>1717</v>
      </c>
      <c r="E163" s="2" t="s">
        <v>1474</v>
      </c>
      <c r="F163" s="2" t="s">
        <v>1408</v>
      </c>
      <c r="G163" s="4">
        <v>1</v>
      </c>
      <c r="H163" s="25">
        <v>30000</v>
      </c>
      <c r="I163" s="26">
        <f t="shared" si="6"/>
        <v>30000</v>
      </c>
    </row>
    <row r="164" spans="4:9" ht="18" customHeight="1" thickBot="1">
      <c r="D164" s="382" t="s">
        <v>1419</v>
      </c>
      <c r="E164" s="383"/>
      <c r="F164" s="383"/>
      <c r="G164" s="383"/>
      <c r="H164" s="384"/>
      <c r="I164" s="29">
        <f>ROUND(SUM(I160:I163),0)</f>
        <v>1081080</v>
      </c>
    </row>
    <row r="165" spans="4:9" ht="12" thickBot="1"/>
    <row r="166" spans="4:9" ht="20.100000000000001" customHeight="1" thickBot="1">
      <c r="D166" s="385" t="s">
        <v>2308</v>
      </c>
      <c r="E166" s="340"/>
      <c r="F166" s="340"/>
      <c r="G166" s="340"/>
      <c r="H166" s="340"/>
      <c r="I166" s="340"/>
    </row>
    <row r="167" spans="4:9" ht="36" customHeight="1" thickBot="1">
      <c r="D167" s="386" t="s">
        <v>1475</v>
      </c>
      <c r="E167" s="340"/>
      <c r="F167" s="340"/>
      <c r="G167" s="340"/>
      <c r="H167" s="340"/>
      <c r="I167" s="340"/>
    </row>
    <row r="168" spans="4:9" ht="15.9" customHeight="1" thickBot="1">
      <c r="D168" s="30" t="s">
        <v>53</v>
      </c>
      <c r="E168" s="31" t="s">
        <v>1411</v>
      </c>
      <c r="F168" s="31" t="s">
        <v>136</v>
      </c>
      <c r="G168" s="31" t="s">
        <v>0</v>
      </c>
      <c r="H168" s="31" t="s">
        <v>1412</v>
      </c>
      <c r="I168" s="32" t="s">
        <v>1413</v>
      </c>
    </row>
    <row r="169" spans="4:9" ht="15" customHeight="1">
      <c r="D169" s="5" t="s">
        <v>1718</v>
      </c>
      <c r="E169" s="2" t="s">
        <v>1414</v>
      </c>
      <c r="F169" s="2" t="s">
        <v>1408</v>
      </c>
      <c r="G169" s="3">
        <v>0.1</v>
      </c>
      <c r="H169" s="25">
        <v>10800</v>
      </c>
      <c r="I169" s="26">
        <f>+H169*G169</f>
        <v>1080</v>
      </c>
    </row>
    <row r="170" spans="4:9" ht="15" customHeight="1">
      <c r="D170" s="5" t="s">
        <v>1718</v>
      </c>
      <c r="E170" s="2" t="s">
        <v>1476</v>
      </c>
      <c r="F170" s="2" t="s">
        <v>23</v>
      </c>
      <c r="G170" s="4">
        <v>1</v>
      </c>
      <c r="H170" s="25">
        <v>280000</v>
      </c>
      <c r="I170" s="26">
        <f t="shared" ref="I170:I171" si="7">+H170*G170</f>
        <v>280000</v>
      </c>
    </row>
    <row r="171" spans="4:9" ht="15" customHeight="1" thickBot="1">
      <c r="D171" s="5" t="s">
        <v>1718</v>
      </c>
      <c r="E171" s="6" t="s">
        <v>1251</v>
      </c>
      <c r="F171" s="6" t="s">
        <v>1428</v>
      </c>
      <c r="G171" s="7">
        <v>1.5</v>
      </c>
      <c r="H171" s="27">
        <v>36437.5</v>
      </c>
      <c r="I171" s="26">
        <f t="shared" si="7"/>
        <v>54656.25</v>
      </c>
    </row>
    <row r="172" spans="4:9" ht="18" customHeight="1" thickBot="1">
      <c r="D172" s="382" t="s">
        <v>1419</v>
      </c>
      <c r="E172" s="383"/>
      <c r="F172" s="383"/>
      <c r="G172" s="383"/>
      <c r="H172" s="384"/>
      <c r="I172" s="29">
        <f>ROUND(SUM(I169:I171),0)</f>
        <v>335736</v>
      </c>
    </row>
    <row r="173" spans="4:9" ht="12" thickBot="1"/>
    <row r="174" spans="4:9" ht="20.100000000000001" customHeight="1" thickBot="1">
      <c r="D174" s="385" t="s">
        <v>2309</v>
      </c>
      <c r="E174" s="340"/>
      <c r="F174" s="340"/>
      <c r="G174" s="340"/>
      <c r="H174" s="340"/>
      <c r="I174" s="340"/>
    </row>
    <row r="175" spans="4:9" ht="36" customHeight="1" thickBot="1">
      <c r="D175" s="386" t="s">
        <v>1477</v>
      </c>
      <c r="E175" s="340"/>
      <c r="F175" s="340"/>
      <c r="G175" s="340"/>
      <c r="H175" s="340"/>
      <c r="I175" s="340"/>
    </row>
    <row r="176" spans="4:9" ht="15.9" customHeight="1" thickBot="1">
      <c r="D176" s="30" t="s">
        <v>53</v>
      </c>
      <c r="E176" s="31" t="s">
        <v>1411</v>
      </c>
      <c r="F176" s="31" t="s">
        <v>136</v>
      </c>
      <c r="G176" s="31" t="s">
        <v>0</v>
      </c>
      <c r="H176" s="31" t="s">
        <v>1412</v>
      </c>
      <c r="I176" s="32" t="s">
        <v>1413</v>
      </c>
    </row>
    <row r="177" spans="4:9" ht="15" customHeight="1">
      <c r="D177" s="5" t="s">
        <v>1719</v>
      </c>
      <c r="E177" s="2" t="s">
        <v>1414</v>
      </c>
      <c r="F177" s="2" t="s">
        <v>1408</v>
      </c>
      <c r="G177" s="3">
        <v>0.1</v>
      </c>
      <c r="H177" s="25">
        <v>10800</v>
      </c>
      <c r="I177" s="26">
        <f>+H177*G177</f>
        <v>1080</v>
      </c>
    </row>
    <row r="178" spans="4:9" ht="15" customHeight="1">
      <c r="D178" s="5" t="s">
        <v>1719</v>
      </c>
      <c r="E178" s="2" t="s">
        <v>1478</v>
      </c>
      <c r="F178" s="2" t="s">
        <v>23</v>
      </c>
      <c r="G178" s="4">
        <v>1</v>
      </c>
      <c r="H178" s="25">
        <v>64900</v>
      </c>
      <c r="I178" s="26">
        <f t="shared" ref="I178:I179" si="8">+H178*G178</f>
        <v>64900</v>
      </c>
    </row>
    <row r="179" spans="4:9" ht="15" customHeight="1" thickBot="1">
      <c r="D179" s="5" t="s">
        <v>1719</v>
      </c>
      <c r="E179" s="6" t="s">
        <v>1251</v>
      </c>
      <c r="F179" s="6" t="s">
        <v>1428</v>
      </c>
      <c r="G179" s="7">
        <v>0.45</v>
      </c>
      <c r="H179" s="27">
        <v>36437.5</v>
      </c>
      <c r="I179" s="26">
        <f t="shared" si="8"/>
        <v>16396.875</v>
      </c>
    </row>
    <row r="180" spans="4:9" ht="18" customHeight="1" thickBot="1">
      <c r="D180" s="382" t="s">
        <v>1419</v>
      </c>
      <c r="E180" s="383"/>
      <c r="F180" s="383"/>
      <c r="G180" s="383"/>
      <c r="H180" s="384"/>
      <c r="I180" s="29">
        <f>ROUND(SUM(I177:I179),0)</f>
        <v>82377</v>
      </c>
    </row>
    <row r="181" spans="4:9" ht="12" thickBot="1"/>
    <row r="182" spans="4:9" ht="20.100000000000001" customHeight="1" thickBot="1">
      <c r="D182" s="385" t="s">
        <v>2310</v>
      </c>
      <c r="E182" s="340"/>
      <c r="F182" s="340"/>
      <c r="G182" s="340"/>
      <c r="H182" s="340"/>
      <c r="I182" s="340"/>
    </row>
    <row r="183" spans="4:9" ht="36" customHeight="1" thickBot="1">
      <c r="D183" s="386" t="s">
        <v>1479</v>
      </c>
      <c r="E183" s="340"/>
      <c r="F183" s="340"/>
      <c r="G183" s="340"/>
      <c r="H183" s="340"/>
      <c r="I183" s="340"/>
    </row>
    <row r="184" spans="4:9" ht="15.9" customHeight="1" thickBot="1">
      <c r="D184" s="30" t="s">
        <v>53</v>
      </c>
      <c r="E184" s="31" t="s">
        <v>1411</v>
      </c>
      <c r="F184" s="31" t="s">
        <v>136</v>
      </c>
      <c r="G184" s="31" t="s">
        <v>0</v>
      </c>
      <c r="H184" s="31" t="s">
        <v>1412</v>
      </c>
      <c r="I184" s="32" t="s">
        <v>1413</v>
      </c>
    </row>
    <row r="185" spans="4:9" ht="15" customHeight="1">
      <c r="D185" s="5" t="s">
        <v>1720</v>
      </c>
      <c r="E185" s="2" t="s">
        <v>1414</v>
      </c>
      <c r="F185" s="2" t="s">
        <v>1408</v>
      </c>
      <c r="G185" s="3">
        <v>0.1</v>
      </c>
      <c r="H185" s="25">
        <v>10800</v>
      </c>
      <c r="I185" s="26">
        <f>+H185*G185</f>
        <v>1080</v>
      </c>
    </row>
    <row r="186" spans="4:9" ht="15" customHeight="1">
      <c r="D186" s="5" t="s">
        <v>1720</v>
      </c>
      <c r="E186" s="2" t="s">
        <v>1480</v>
      </c>
      <c r="F186" s="2" t="s">
        <v>23</v>
      </c>
      <c r="G186" s="4">
        <v>1</v>
      </c>
      <c r="H186" s="25">
        <v>150000</v>
      </c>
      <c r="I186" s="26">
        <f t="shared" ref="I186:I187" si="9">+H186*G186</f>
        <v>150000</v>
      </c>
    </row>
    <row r="187" spans="4:9" ht="15" customHeight="1" thickBot="1">
      <c r="D187" s="5" t="s">
        <v>1720</v>
      </c>
      <c r="E187" s="6" t="s">
        <v>1251</v>
      </c>
      <c r="F187" s="6" t="s">
        <v>1428</v>
      </c>
      <c r="G187" s="7">
        <v>0.55000000000000004</v>
      </c>
      <c r="H187" s="27">
        <v>36437.5</v>
      </c>
      <c r="I187" s="26">
        <f t="shared" si="9"/>
        <v>20040.625</v>
      </c>
    </row>
    <row r="188" spans="4:9" ht="18" customHeight="1" thickBot="1">
      <c r="D188" s="382" t="s">
        <v>1419</v>
      </c>
      <c r="E188" s="383"/>
      <c r="F188" s="383"/>
      <c r="G188" s="383"/>
      <c r="H188" s="384"/>
      <c r="I188" s="29">
        <f>ROUND(SUM(I185:I187),0)</f>
        <v>171121</v>
      </c>
    </row>
    <row r="189" spans="4:9" ht="12" thickBot="1"/>
    <row r="190" spans="4:9" ht="20.100000000000001" customHeight="1" thickBot="1">
      <c r="D190" s="385" t="s">
        <v>2311</v>
      </c>
      <c r="E190" s="340"/>
      <c r="F190" s="340"/>
      <c r="G190" s="340"/>
      <c r="H190" s="340"/>
      <c r="I190" s="340"/>
    </row>
    <row r="191" spans="4:9" ht="36" customHeight="1" thickBot="1">
      <c r="D191" s="386" t="s">
        <v>1481</v>
      </c>
      <c r="E191" s="340"/>
      <c r="F191" s="340"/>
      <c r="G191" s="340"/>
      <c r="H191" s="340"/>
      <c r="I191" s="340"/>
    </row>
    <row r="192" spans="4:9" ht="15.9" customHeight="1" thickBot="1">
      <c r="D192" s="30" t="s">
        <v>53</v>
      </c>
      <c r="E192" s="31" t="s">
        <v>1411</v>
      </c>
      <c r="F192" s="31" t="s">
        <v>136</v>
      </c>
      <c r="G192" s="31" t="s">
        <v>0</v>
      </c>
      <c r="H192" s="31" t="s">
        <v>1412</v>
      </c>
      <c r="I192" s="32" t="s">
        <v>1413</v>
      </c>
    </row>
    <row r="193" spans="4:11" ht="15" customHeight="1">
      <c r="D193" s="5" t="s">
        <v>1721</v>
      </c>
      <c r="E193" s="2" t="s">
        <v>1414</v>
      </c>
      <c r="F193" s="2" t="s">
        <v>1408</v>
      </c>
      <c r="G193" s="3">
        <v>0.1</v>
      </c>
      <c r="H193" s="25">
        <v>10800</v>
      </c>
      <c r="I193" s="26">
        <f>+H193*G193</f>
        <v>1080</v>
      </c>
    </row>
    <row r="194" spans="4:11" ht="15" customHeight="1">
      <c r="D194" s="5" t="s">
        <v>1721</v>
      </c>
      <c r="E194" s="2" t="s">
        <v>1482</v>
      </c>
      <c r="F194" s="2" t="s">
        <v>27</v>
      </c>
      <c r="G194" s="4">
        <v>1.02</v>
      </c>
      <c r="H194" s="25">
        <v>3800</v>
      </c>
      <c r="I194" s="26">
        <f t="shared" ref="I194" si="10">+H194*G194</f>
        <v>3876</v>
      </c>
    </row>
    <row r="195" spans="4:11" ht="15" customHeight="1" thickBot="1">
      <c r="D195" s="5" t="s">
        <v>1721</v>
      </c>
      <c r="E195" s="6" t="s">
        <v>1251</v>
      </c>
      <c r="F195" s="6" t="s">
        <v>1428</v>
      </c>
      <c r="G195" s="7">
        <v>0.08</v>
      </c>
      <c r="H195" s="27">
        <v>36437.5</v>
      </c>
      <c r="I195" s="26">
        <f>+H195*G195</f>
        <v>2915</v>
      </c>
    </row>
    <row r="196" spans="4:11" ht="18" customHeight="1" thickBot="1">
      <c r="D196" s="382" t="s">
        <v>1429</v>
      </c>
      <c r="E196" s="383"/>
      <c r="F196" s="383"/>
      <c r="G196" s="383"/>
      <c r="H196" s="384"/>
      <c r="I196" s="29">
        <f>ROUND(SUM(I193:I195),0)</f>
        <v>7871</v>
      </c>
    </row>
    <row r="197" spans="4:11" ht="12" thickBot="1"/>
    <row r="198" spans="4:11" ht="20.100000000000001" customHeight="1" thickBot="1">
      <c r="D198" s="385" t="s">
        <v>2312</v>
      </c>
      <c r="E198" s="340"/>
      <c r="F198" s="340"/>
      <c r="G198" s="340"/>
      <c r="H198" s="340"/>
      <c r="I198" s="340"/>
    </row>
    <row r="199" spans="4:11" ht="36" customHeight="1" thickBot="1">
      <c r="D199" s="386" t="s">
        <v>1483</v>
      </c>
      <c r="E199" s="340"/>
      <c r="F199" s="340"/>
      <c r="G199" s="340"/>
      <c r="H199" s="340"/>
      <c r="I199" s="340"/>
    </row>
    <row r="200" spans="4:11" ht="15.9" customHeight="1" thickBot="1">
      <c r="D200" s="30" t="s">
        <v>53</v>
      </c>
      <c r="E200" s="31" t="s">
        <v>1411</v>
      </c>
      <c r="F200" s="31" t="s">
        <v>136</v>
      </c>
      <c r="G200" s="31" t="s">
        <v>0</v>
      </c>
      <c r="H200" s="31" t="s">
        <v>1412</v>
      </c>
      <c r="I200" s="32" t="s">
        <v>1413</v>
      </c>
    </row>
    <row r="201" spans="4:11" ht="15" customHeight="1">
      <c r="D201" s="5" t="s">
        <v>1722</v>
      </c>
      <c r="E201" s="2" t="s">
        <v>1414</v>
      </c>
      <c r="F201" s="2" t="s">
        <v>1408</v>
      </c>
      <c r="G201" s="3">
        <v>0.1</v>
      </c>
      <c r="H201" s="25">
        <v>10800</v>
      </c>
      <c r="I201" s="26">
        <f>+H201*G201</f>
        <v>1080</v>
      </c>
    </row>
    <row r="202" spans="4:11" ht="15" customHeight="1">
      <c r="D202" s="5" t="s">
        <v>1722</v>
      </c>
      <c r="E202" s="2" t="s">
        <v>1484</v>
      </c>
      <c r="F202" s="2" t="s">
        <v>27</v>
      </c>
      <c r="G202" s="4">
        <v>1.02</v>
      </c>
      <c r="H202" s="25">
        <v>5500</v>
      </c>
      <c r="I202" s="26">
        <f t="shared" ref="I202:I203" si="11">+H202*G202</f>
        <v>5610</v>
      </c>
    </row>
    <row r="203" spans="4:11" ht="15" customHeight="1" thickBot="1">
      <c r="D203" s="5" t="s">
        <v>1722</v>
      </c>
      <c r="E203" s="6" t="s">
        <v>1251</v>
      </c>
      <c r="F203" s="6" t="s">
        <v>1428</v>
      </c>
      <c r="G203" s="7">
        <v>0.08</v>
      </c>
      <c r="H203" s="27">
        <v>36437.5</v>
      </c>
      <c r="I203" s="26">
        <f t="shared" si="11"/>
        <v>2915</v>
      </c>
    </row>
    <row r="204" spans="4:11" ht="18" customHeight="1" thickBot="1">
      <c r="D204" s="382" t="s">
        <v>1429</v>
      </c>
      <c r="E204" s="383"/>
      <c r="F204" s="383"/>
      <c r="G204" s="383"/>
      <c r="H204" s="384"/>
      <c r="I204" s="29">
        <f>ROUND(SUM(I201:I203),0)</f>
        <v>9605</v>
      </c>
    </row>
    <row r="205" spans="4:11" ht="12" thickBot="1"/>
    <row r="206" spans="4:11" ht="20.100000000000001" customHeight="1" thickBot="1">
      <c r="D206" s="385" t="s">
        <v>2313</v>
      </c>
      <c r="E206" s="340"/>
      <c r="F206" s="340"/>
      <c r="G206" s="340"/>
      <c r="H206" s="340"/>
      <c r="I206" s="340"/>
    </row>
    <row r="207" spans="4:11" ht="36" customHeight="1" thickBot="1">
      <c r="D207" s="386" t="s">
        <v>1485</v>
      </c>
      <c r="E207" s="340"/>
      <c r="F207" s="340"/>
      <c r="G207" s="340"/>
      <c r="H207" s="340"/>
      <c r="I207" s="340"/>
    </row>
    <row r="208" spans="4:11" ht="15.9" customHeight="1" thickBot="1">
      <c r="D208" s="30" t="s">
        <v>53</v>
      </c>
      <c r="E208" s="31" t="s">
        <v>1411</v>
      </c>
      <c r="F208" s="31" t="s">
        <v>136</v>
      </c>
      <c r="G208" s="31" t="s">
        <v>0</v>
      </c>
      <c r="H208" s="31" t="s">
        <v>1412</v>
      </c>
      <c r="I208" s="32" t="s">
        <v>1413</v>
      </c>
      <c r="K208" s="249"/>
    </row>
    <row r="209" spans="4:13" ht="15" customHeight="1">
      <c r="D209" s="5" t="s">
        <v>1723</v>
      </c>
      <c r="E209" s="2" t="s">
        <v>1414</v>
      </c>
      <c r="F209" s="2" t="s">
        <v>1408</v>
      </c>
      <c r="G209" s="3">
        <v>0.1</v>
      </c>
      <c r="H209" s="25">
        <v>10800</v>
      </c>
      <c r="I209" s="26">
        <f>+H209*G209</f>
        <v>1080</v>
      </c>
    </row>
    <row r="210" spans="4:13" ht="15" customHeight="1">
      <c r="D210" s="5" t="s">
        <v>1723</v>
      </c>
      <c r="E210" s="2" t="s">
        <v>1486</v>
      </c>
      <c r="F210" s="2" t="s">
        <v>27</v>
      </c>
      <c r="G210" s="4">
        <v>1.02</v>
      </c>
      <c r="H210" s="25">
        <v>2588</v>
      </c>
      <c r="I210" s="26">
        <f t="shared" ref="I210:I211" si="12">+H210*G210</f>
        <v>2639.76</v>
      </c>
      <c r="K210" s="249"/>
      <c r="L210" s="250"/>
    </row>
    <row r="211" spans="4:13" ht="15" customHeight="1" thickBot="1">
      <c r="D211" s="5" t="s">
        <v>1723</v>
      </c>
      <c r="E211" s="6" t="s">
        <v>1251</v>
      </c>
      <c r="F211" s="6" t="s">
        <v>1428</v>
      </c>
      <c r="G211" s="7">
        <v>0.1</v>
      </c>
      <c r="H211" s="27">
        <v>36437.5</v>
      </c>
      <c r="I211" s="26">
        <f t="shared" si="12"/>
        <v>3643.75</v>
      </c>
    </row>
    <row r="212" spans="4:13" ht="18" customHeight="1" thickBot="1">
      <c r="D212" s="382" t="s">
        <v>1429</v>
      </c>
      <c r="E212" s="383"/>
      <c r="F212" s="383"/>
      <c r="G212" s="383"/>
      <c r="H212" s="384"/>
      <c r="I212" s="29">
        <f>ROUND(SUM(I209:I211),0)</f>
        <v>7364</v>
      </c>
    </row>
    <row r="213" spans="4:13" ht="12" thickBot="1"/>
    <row r="214" spans="4:13" ht="20.100000000000001" customHeight="1" thickBot="1">
      <c r="D214" s="385" t="s">
        <v>2314</v>
      </c>
      <c r="E214" s="340"/>
      <c r="F214" s="340"/>
      <c r="G214" s="340"/>
      <c r="H214" s="340"/>
      <c r="I214" s="340"/>
    </row>
    <row r="215" spans="4:13" ht="36" customHeight="1" thickBot="1">
      <c r="D215" s="386" t="s">
        <v>1487</v>
      </c>
      <c r="E215" s="340"/>
      <c r="F215" s="340"/>
      <c r="G215" s="340"/>
      <c r="H215" s="340"/>
      <c r="I215" s="340"/>
    </row>
    <row r="216" spans="4:13" ht="15.9" customHeight="1" thickBot="1">
      <c r="D216" s="30" t="s">
        <v>53</v>
      </c>
      <c r="E216" s="31" t="s">
        <v>1411</v>
      </c>
      <c r="F216" s="31" t="s">
        <v>136</v>
      </c>
      <c r="G216" s="31" t="s">
        <v>0</v>
      </c>
      <c r="H216" s="31" t="s">
        <v>1412</v>
      </c>
      <c r="I216" s="32" t="s">
        <v>1413</v>
      </c>
    </row>
    <row r="217" spans="4:13" ht="15" customHeight="1">
      <c r="D217" s="1" t="s">
        <v>1724</v>
      </c>
      <c r="E217" s="2" t="s">
        <v>1414</v>
      </c>
      <c r="F217" s="2" t="s">
        <v>1408</v>
      </c>
      <c r="G217" s="3">
        <v>0.1</v>
      </c>
      <c r="H217" s="25">
        <v>10800</v>
      </c>
      <c r="I217" s="26">
        <f>+H217*G217</f>
        <v>1080</v>
      </c>
      <c r="L217" s="249"/>
    </row>
    <row r="218" spans="4:13" ht="15" customHeight="1">
      <c r="D218" s="1" t="s">
        <v>1724</v>
      </c>
      <c r="E218" s="2" t="s">
        <v>1488</v>
      </c>
      <c r="F218" s="2" t="s">
        <v>27</v>
      </c>
      <c r="G218" s="4">
        <v>1.05</v>
      </c>
      <c r="H218" s="25">
        <v>2400</v>
      </c>
      <c r="I218" s="26">
        <f t="shared" ref="I218:I220" si="13">+H218*G218</f>
        <v>2520</v>
      </c>
      <c r="M218" s="250"/>
    </row>
    <row r="219" spans="4:13" ht="15" customHeight="1">
      <c r="D219" s="1" t="s">
        <v>1724</v>
      </c>
      <c r="E219" s="6" t="s">
        <v>1489</v>
      </c>
      <c r="F219" s="6" t="s">
        <v>1408</v>
      </c>
      <c r="G219" s="7">
        <v>1</v>
      </c>
      <c r="H219" s="27">
        <v>2394</v>
      </c>
      <c r="I219" s="26">
        <f t="shared" si="13"/>
        <v>2394</v>
      </c>
      <c r="L219" s="249"/>
    </row>
    <row r="220" spans="4:13" ht="15" customHeight="1" thickBot="1">
      <c r="D220" s="1" t="s">
        <v>1724</v>
      </c>
      <c r="E220" s="2" t="s">
        <v>1251</v>
      </c>
      <c r="F220" s="2" t="s">
        <v>1428</v>
      </c>
      <c r="G220" s="4">
        <v>0.1</v>
      </c>
      <c r="H220" s="25">
        <v>36437.5</v>
      </c>
      <c r="I220" s="26">
        <f t="shared" si="13"/>
        <v>3643.75</v>
      </c>
    </row>
    <row r="221" spans="4:13" ht="18" customHeight="1" thickBot="1">
      <c r="D221" s="382" t="s">
        <v>1429</v>
      </c>
      <c r="E221" s="383"/>
      <c r="F221" s="383"/>
      <c r="G221" s="383"/>
      <c r="H221" s="384"/>
      <c r="I221" s="29">
        <f>ROUND(SUM(I217:I220),0)</f>
        <v>9638</v>
      </c>
    </row>
    <row r="222" spans="4:13" ht="12" thickBot="1"/>
    <row r="223" spans="4:13" ht="20.100000000000001" customHeight="1" thickBot="1">
      <c r="D223" s="385" t="s">
        <v>2315</v>
      </c>
      <c r="E223" s="340"/>
      <c r="F223" s="340"/>
      <c r="G223" s="340"/>
      <c r="H223" s="340"/>
      <c r="I223" s="340"/>
    </row>
    <row r="224" spans="4:13" ht="36" customHeight="1" thickBot="1">
      <c r="D224" s="386" t="s">
        <v>1490</v>
      </c>
      <c r="E224" s="340"/>
      <c r="F224" s="340"/>
      <c r="G224" s="340"/>
      <c r="H224" s="340"/>
      <c r="I224" s="340"/>
    </row>
    <row r="225" spans="4:12" ht="15.9" customHeight="1" thickBot="1">
      <c r="D225" s="30" t="s">
        <v>53</v>
      </c>
      <c r="E225" s="31" t="s">
        <v>1411</v>
      </c>
      <c r="F225" s="31" t="s">
        <v>136</v>
      </c>
      <c r="G225" s="31" t="s">
        <v>0</v>
      </c>
      <c r="H225" s="31" t="s">
        <v>1412</v>
      </c>
      <c r="I225" s="32" t="s">
        <v>1413</v>
      </c>
    </row>
    <row r="226" spans="4:12" ht="15" customHeight="1">
      <c r="D226" s="1" t="s">
        <v>1725</v>
      </c>
      <c r="E226" s="2" t="s">
        <v>1414</v>
      </c>
      <c r="F226" s="2" t="s">
        <v>1408</v>
      </c>
      <c r="G226" s="3">
        <v>0.1</v>
      </c>
      <c r="H226" s="25">
        <v>10800</v>
      </c>
      <c r="I226" s="26">
        <f>+H226*G226</f>
        <v>1080</v>
      </c>
      <c r="K226" s="249"/>
    </row>
    <row r="227" spans="4:12" ht="15" customHeight="1">
      <c r="D227" s="1" t="s">
        <v>1725</v>
      </c>
      <c r="E227" s="2" t="s">
        <v>1491</v>
      </c>
      <c r="F227" s="2" t="s">
        <v>27</v>
      </c>
      <c r="G227" s="4">
        <v>1.05</v>
      </c>
      <c r="H227" s="25">
        <v>3300</v>
      </c>
      <c r="I227" s="26">
        <f t="shared" ref="I227:I229" si="14">+H227*G227</f>
        <v>3465</v>
      </c>
      <c r="L227" s="250"/>
    </row>
    <row r="228" spans="4:12" ht="15" customHeight="1">
      <c r="D228" s="1" t="s">
        <v>1725</v>
      </c>
      <c r="E228" s="6" t="s">
        <v>1489</v>
      </c>
      <c r="F228" s="6" t="s">
        <v>1408</v>
      </c>
      <c r="G228" s="7">
        <v>1</v>
      </c>
      <c r="H228" s="27">
        <v>720</v>
      </c>
      <c r="I228" s="26">
        <f t="shared" si="14"/>
        <v>720</v>
      </c>
      <c r="K228" s="249"/>
    </row>
    <row r="229" spans="4:12" ht="15" customHeight="1" thickBot="1">
      <c r="D229" s="1" t="s">
        <v>1725</v>
      </c>
      <c r="E229" s="2" t="s">
        <v>1251</v>
      </c>
      <c r="F229" s="2" t="s">
        <v>1428</v>
      </c>
      <c r="G229" s="4">
        <v>0.12</v>
      </c>
      <c r="H229" s="25">
        <v>36437.5</v>
      </c>
      <c r="I229" s="26">
        <f t="shared" si="14"/>
        <v>4372.5</v>
      </c>
    </row>
    <row r="230" spans="4:12" ht="18" customHeight="1" thickBot="1">
      <c r="D230" s="382" t="s">
        <v>1429</v>
      </c>
      <c r="E230" s="383"/>
      <c r="F230" s="383"/>
      <c r="G230" s="383"/>
      <c r="H230" s="384"/>
      <c r="I230" s="29">
        <f>ROUND(SUM(I226:I229),0)</f>
        <v>9638</v>
      </c>
    </row>
    <row r="231" spans="4:12" ht="12" thickBot="1"/>
    <row r="232" spans="4:12" ht="20.100000000000001" customHeight="1" thickBot="1">
      <c r="D232" s="385" t="s">
        <v>2316</v>
      </c>
      <c r="E232" s="340"/>
      <c r="F232" s="340"/>
      <c r="G232" s="340"/>
      <c r="H232" s="340"/>
      <c r="I232" s="340"/>
    </row>
    <row r="233" spans="4:12" ht="36" customHeight="1" thickBot="1">
      <c r="D233" s="386" t="s">
        <v>1492</v>
      </c>
      <c r="E233" s="340"/>
      <c r="F233" s="340"/>
      <c r="G233" s="340"/>
      <c r="H233" s="340"/>
      <c r="I233" s="340"/>
    </row>
    <row r="234" spans="4:12" ht="15.9" customHeight="1" thickBot="1">
      <c r="D234" s="30" t="s">
        <v>53</v>
      </c>
      <c r="E234" s="31" t="s">
        <v>1411</v>
      </c>
      <c r="F234" s="31" t="s">
        <v>136</v>
      </c>
      <c r="G234" s="31" t="s">
        <v>0</v>
      </c>
      <c r="H234" s="31" t="s">
        <v>1412</v>
      </c>
      <c r="I234" s="32" t="s">
        <v>1413</v>
      </c>
    </row>
    <row r="235" spans="4:12" ht="15" customHeight="1">
      <c r="D235" s="5" t="s">
        <v>1726</v>
      </c>
      <c r="E235" s="2" t="s">
        <v>1414</v>
      </c>
      <c r="F235" s="2" t="s">
        <v>1408</v>
      </c>
      <c r="G235" s="3">
        <v>0.1</v>
      </c>
      <c r="H235" s="25">
        <v>10800</v>
      </c>
      <c r="I235" s="26">
        <f>+H235*G235</f>
        <v>1080</v>
      </c>
    </row>
    <row r="236" spans="4:12" ht="15" customHeight="1">
      <c r="D236" s="5" t="s">
        <v>1726</v>
      </c>
      <c r="E236" s="2" t="s">
        <v>1493</v>
      </c>
      <c r="F236" s="2" t="s">
        <v>23</v>
      </c>
      <c r="G236" s="4">
        <v>1</v>
      </c>
      <c r="H236" s="25">
        <v>12000</v>
      </c>
      <c r="I236" s="26">
        <f t="shared" ref="I236:I238" si="15">+H236*G236</f>
        <v>12000</v>
      </c>
    </row>
    <row r="237" spans="4:12" ht="15" customHeight="1">
      <c r="D237" s="5" t="s">
        <v>1726</v>
      </c>
      <c r="E237" s="6" t="s">
        <v>1494</v>
      </c>
      <c r="F237" s="6" t="s">
        <v>23</v>
      </c>
      <c r="G237" s="7">
        <v>1</v>
      </c>
      <c r="H237" s="27">
        <v>2000</v>
      </c>
      <c r="I237" s="26">
        <f t="shared" si="15"/>
        <v>2000</v>
      </c>
    </row>
    <row r="238" spans="4:12" ht="15" customHeight="1" thickBot="1">
      <c r="D238" s="5" t="s">
        <v>1726</v>
      </c>
      <c r="E238" s="2" t="s">
        <v>1251</v>
      </c>
      <c r="F238" s="2" t="s">
        <v>1428</v>
      </c>
      <c r="G238" s="4">
        <v>0.15</v>
      </c>
      <c r="H238" s="25">
        <v>36437.5</v>
      </c>
      <c r="I238" s="26">
        <f t="shared" si="15"/>
        <v>5465.625</v>
      </c>
    </row>
    <row r="239" spans="4:12" ht="18" customHeight="1" thickBot="1">
      <c r="D239" s="382" t="s">
        <v>1419</v>
      </c>
      <c r="E239" s="383"/>
      <c r="F239" s="383"/>
      <c r="G239" s="383"/>
      <c r="H239" s="384"/>
      <c r="I239" s="29">
        <f>ROUND(SUM(I235:I238),0)</f>
        <v>20546</v>
      </c>
    </row>
    <row r="240" spans="4:12" ht="12" thickBot="1"/>
    <row r="241" spans="4:12" ht="20.100000000000001" customHeight="1" thickBot="1">
      <c r="D241" s="385" t="s">
        <v>2317</v>
      </c>
      <c r="E241" s="340"/>
      <c r="F241" s="340"/>
      <c r="G241" s="340"/>
      <c r="H241" s="340"/>
      <c r="I241" s="340"/>
    </row>
    <row r="242" spans="4:12" ht="36" customHeight="1" thickBot="1">
      <c r="D242" s="386" t="s">
        <v>1495</v>
      </c>
      <c r="E242" s="340"/>
      <c r="F242" s="340"/>
      <c r="G242" s="340"/>
      <c r="H242" s="340"/>
      <c r="I242" s="340"/>
    </row>
    <row r="243" spans="4:12" ht="15.9" customHeight="1" thickBot="1">
      <c r="D243" s="30" t="s">
        <v>53</v>
      </c>
      <c r="E243" s="31" t="s">
        <v>1411</v>
      </c>
      <c r="F243" s="31" t="s">
        <v>136</v>
      </c>
      <c r="G243" s="31" t="s">
        <v>0</v>
      </c>
      <c r="H243" s="31" t="s">
        <v>1412</v>
      </c>
      <c r="I243" s="32" t="s">
        <v>1413</v>
      </c>
    </row>
    <row r="244" spans="4:12" ht="15" customHeight="1">
      <c r="D244" s="5" t="s">
        <v>1727</v>
      </c>
      <c r="E244" s="2" t="s">
        <v>1414</v>
      </c>
      <c r="F244" s="2" t="s">
        <v>1408</v>
      </c>
      <c r="G244" s="3">
        <v>0.1</v>
      </c>
      <c r="H244" s="25">
        <v>10800</v>
      </c>
      <c r="I244" s="26">
        <f>+H244*G244</f>
        <v>1080</v>
      </c>
    </row>
    <row r="245" spans="4:12" ht="15" customHeight="1">
      <c r="D245" s="5" t="s">
        <v>1727</v>
      </c>
      <c r="E245" s="2" t="s">
        <v>1496</v>
      </c>
      <c r="F245" s="2" t="s">
        <v>23</v>
      </c>
      <c r="G245" s="4">
        <v>1</v>
      </c>
      <c r="H245" s="25">
        <v>168750</v>
      </c>
      <c r="I245" s="26">
        <f t="shared" ref="I245:I248" si="16">+H245*G245</f>
        <v>168750</v>
      </c>
      <c r="K245" s="249"/>
    </row>
    <row r="246" spans="4:12" ht="15" customHeight="1">
      <c r="D246" s="5" t="s">
        <v>1727</v>
      </c>
      <c r="E246" s="6" t="s">
        <v>1497</v>
      </c>
      <c r="F246" s="6" t="s">
        <v>23</v>
      </c>
      <c r="G246" s="7">
        <v>1</v>
      </c>
      <c r="H246" s="27">
        <v>10920</v>
      </c>
      <c r="I246" s="26">
        <f t="shared" si="16"/>
        <v>10920</v>
      </c>
      <c r="L246" s="250"/>
    </row>
    <row r="247" spans="4:12" ht="15" customHeight="1">
      <c r="D247" s="5" t="s">
        <v>1727</v>
      </c>
      <c r="E247" s="2" t="s">
        <v>1498</v>
      </c>
      <c r="F247" s="2" t="s">
        <v>27</v>
      </c>
      <c r="G247" s="4">
        <v>2</v>
      </c>
      <c r="H247" s="25">
        <v>23250</v>
      </c>
      <c r="I247" s="26">
        <f t="shared" si="16"/>
        <v>46500</v>
      </c>
      <c r="K247" s="249"/>
    </row>
    <row r="248" spans="4:12" ht="15" customHeight="1" thickBot="1">
      <c r="D248" s="5" t="s">
        <v>1727</v>
      </c>
      <c r="E248" s="6" t="s">
        <v>1251</v>
      </c>
      <c r="F248" s="6" t="s">
        <v>1428</v>
      </c>
      <c r="G248" s="7">
        <v>1.35</v>
      </c>
      <c r="H248" s="27">
        <v>36437.5</v>
      </c>
      <c r="I248" s="26">
        <f t="shared" si="16"/>
        <v>49190.625</v>
      </c>
    </row>
    <row r="249" spans="4:12" ht="18" customHeight="1" thickBot="1">
      <c r="D249" s="382" t="s">
        <v>1419</v>
      </c>
      <c r="E249" s="383"/>
      <c r="F249" s="383"/>
      <c r="G249" s="383"/>
      <c r="H249" s="384"/>
      <c r="I249" s="29">
        <f>ROUND(SUM(I244:I248),0)</f>
        <v>276441</v>
      </c>
    </row>
    <row r="250" spans="4:12" ht="12" thickBot="1"/>
    <row r="251" spans="4:12" ht="20.100000000000001" customHeight="1" thickBot="1">
      <c r="D251" s="385" t="s">
        <v>2318</v>
      </c>
      <c r="E251" s="340"/>
      <c r="F251" s="340"/>
      <c r="G251" s="340"/>
      <c r="H251" s="340"/>
      <c r="I251" s="340"/>
    </row>
    <row r="252" spans="4:12" ht="36" customHeight="1" thickBot="1">
      <c r="D252" s="386" t="s">
        <v>1499</v>
      </c>
      <c r="E252" s="340"/>
      <c r="F252" s="340"/>
      <c r="G252" s="340"/>
      <c r="H252" s="340"/>
      <c r="I252" s="340"/>
    </row>
    <row r="253" spans="4:12" ht="15.9" customHeight="1" thickBot="1">
      <c r="D253" s="30" t="s">
        <v>53</v>
      </c>
      <c r="E253" s="31" t="s">
        <v>1411</v>
      </c>
      <c r="F253" s="31" t="s">
        <v>136</v>
      </c>
      <c r="G253" s="31" t="s">
        <v>0</v>
      </c>
      <c r="H253" s="31" t="s">
        <v>1412</v>
      </c>
      <c r="I253" s="32" t="s">
        <v>1413</v>
      </c>
    </row>
    <row r="254" spans="4:12" ht="15" customHeight="1">
      <c r="D254" s="1" t="s">
        <v>1728</v>
      </c>
      <c r="E254" s="2" t="s">
        <v>1500</v>
      </c>
      <c r="F254" s="2" t="s">
        <v>1408</v>
      </c>
      <c r="G254" s="4">
        <v>1</v>
      </c>
      <c r="H254" s="25">
        <v>35000</v>
      </c>
      <c r="I254" s="26">
        <f>+H254*G254</f>
        <v>35000</v>
      </c>
    </row>
    <row r="255" spans="4:12" ht="15" customHeight="1">
      <c r="D255" s="1" t="s">
        <v>1728</v>
      </c>
      <c r="E255" s="6" t="s">
        <v>1501</v>
      </c>
      <c r="F255" s="6" t="s">
        <v>1502</v>
      </c>
      <c r="G255" s="7">
        <v>2</v>
      </c>
      <c r="H255" s="27">
        <v>8000</v>
      </c>
      <c r="I255" s="26">
        <f t="shared" ref="I255:I257" si="17">+H255*G255</f>
        <v>16000</v>
      </c>
    </row>
    <row r="256" spans="4:12" ht="15" customHeight="1">
      <c r="D256" s="1" t="s">
        <v>1728</v>
      </c>
      <c r="E256" s="2" t="s">
        <v>1503</v>
      </c>
      <c r="F256" s="2" t="s">
        <v>23</v>
      </c>
      <c r="G256" s="4">
        <v>3</v>
      </c>
      <c r="H256" s="25">
        <v>5500</v>
      </c>
      <c r="I256" s="26">
        <f>+H256*G256</f>
        <v>16500</v>
      </c>
    </row>
    <row r="257" spans="4:9" ht="15" customHeight="1" thickBot="1">
      <c r="D257" s="1" t="s">
        <v>1728</v>
      </c>
      <c r="E257" s="6" t="s">
        <v>1504</v>
      </c>
      <c r="F257" s="6" t="s">
        <v>1408</v>
      </c>
      <c r="G257" s="7">
        <v>1</v>
      </c>
      <c r="H257" s="27">
        <v>18000</v>
      </c>
      <c r="I257" s="26">
        <f t="shared" si="17"/>
        <v>18000</v>
      </c>
    </row>
    <row r="258" spans="4:9" ht="18" customHeight="1" thickBot="1">
      <c r="D258" s="382" t="s">
        <v>1450</v>
      </c>
      <c r="E258" s="383"/>
      <c r="F258" s="383"/>
      <c r="G258" s="383"/>
      <c r="H258" s="384"/>
      <c r="I258" s="29">
        <f>ROUND(SUM(I254:I257),0)</f>
        <v>85500</v>
      </c>
    </row>
    <row r="261" spans="4:9" ht="26.1" customHeight="1" thickBot="1">
      <c r="D261" s="387" t="s">
        <v>2320</v>
      </c>
      <c r="E261" s="340"/>
      <c r="F261" s="340"/>
      <c r="G261" s="340"/>
      <c r="H261" s="340"/>
      <c r="I261" s="340"/>
    </row>
    <row r="262" spans="4:9" ht="20.100000000000001" customHeight="1" thickBot="1">
      <c r="D262" s="385" t="s">
        <v>2319</v>
      </c>
      <c r="E262" s="340"/>
      <c r="F262" s="340"/>
      <c r="G262" s="340"/>
      <c r="H262" s="340"/>
      <c r="I262" s="340"/>
    </row>
    <row r="263" spans="4:9" ht="36" customHeight="1" thickBot="1">
      <c r="D263" s="386" t="s">
        <v>1505</v>
      </c>
      <c r="E263" s="340"/>
      <c r="F263" s="340"/>
      <c r="G263" s="340"/>
      <c r="H263" s="340"/>
      <c r="I263" s="340"/>
    </row>
    <row r="264" spans="4:9" ht="15.9" customHeight="1" thickBot="1">
      <c r="D264" s="30" t="s">
        <v>53</v>
      </c>
      <c r="E264" s="31" t="s">
        <v>1411</v>
      </c>
      <c r="F264" s="31" t="s">
        <v>136</v>
      </c>
      <c r="G264" s="31" t="s">
        <v>0</v>
      </c>
      <c r="H264" s="31" t="s">
        <v>1412</v>
      </c>
      <c r="I264" s="32" t="s">
        <v>1413</v>
      </c>
    </row>
    <row r="265" spans="4:9" ht="15" customHeight="1">
      <c r="D265" s="5" t="s">
        <v>1729</v>
      </c>
      <c r="E265" s="2" t="s">
        <v>1414</v>
      </c>
      <c r="F265" s="2" t="s">
        <v>1408</v>
      </c>
      <c r="G265" s="3">
        <v>0.1</v>
      </c>
      <c r="H265" s="25">
        <v>10800</v>
      </c>
      <c r="I265" s="26">
        <f>+H265*G265</f>
        <v>1080</v>
      </c>
    </row>
    <row r="266" spans="4:9" ht="15" customHeight="1">
      <c r="D266" s="5" t="s">
        <v>1729</v>
      </c>
      <c r="E266" s="2" t="s">
        <v>1506</v>
      </c>
      <c r="F266" s="2" t="s">
        <v>23</v>
      </c>
      <c r="G266" s="4">
        <v>1</v>
      </c>
      <c r="H266" s="25">
        <v>95000</v>
      </c>
      <c r="I266" s="26">
        <f t="shared" ref="I266:I268" si="18">+H266*G266</f>
        <v>95000</v>
      </c>
    </row>
    <row r="267" spans="4:9" ht="15" customHeight="1">
      <c r="D267" s="5" t="s">
        <v>1729</v>
      </c>
      <c r="E267" s="6" t="s">
        <v>1507</v>
      </c>
      <c r="F267" s="6" t="s">
        <v>23</v>
      </c>
      <c r="G267" s="7">
        <v>1</v>
      </c>
      <c r="H267" s="27">
        <v>8000</v>
      </c>
      <c r="I267" s="26">
        <f t="shared" si="18"/>
        <v>8000</v>
      </c>
    </row>
    <row r="268" spans="4:9" ht="15" customHeight="1" thickBot="1">
      <c r="D268" s="5" t="s">
        <v>1729</v>
      </c>
      <c r="E268" s="2" t="s">
        <v>1247</v>
      </c>
      <c r="F268" s="2" t="s">
        <v>1428</v>
      </c>
      <c r="G268" s="4">
        <v>0.8</v>
      </c>
      <c r="H268" s="25">
        <v>40081.250000000007</v>
      </c>
      <c r="I268" s="26">
        <f t="shared" si="18"/>
        <v>32065.000000000007</v>
      </c>
    </row>
    <row r="269" spans="4:9" ht="18" customHeight="1" thickBot="1">
      <c r="D269" s="382" t="s">
        <v>1419</v>
      </c>
      <c r="E269" s="383"/>
      <c r="F269" s="383"/>
      <c r="G269" s="383"/>
      <c r="H269" s="384"/>
      <c r="I269" s="29">
        <f>ROUND(SUM(I265:I268),0)</f>
        <v>136145</v>
      </c>
    </row>
    <row r="270" spans="4:9" ht="12" thickBot="1"/>
    <row r="271" spans="4:9" ht="20.100000000000001" customHeight="1" thickBot="1">
      <c r="D271" s="385" t="s">
        <v>2321</v>
      </c>
      <c r="E271" s="340"/>
      <c r="F271" s="340"/>
      <c r="G271" s="340"/>
      <c r="H271" s="340"/>
      <c r="I271" s="340"/>
    </row>
    <row r="272" spans="4:9" ht="36" customHeight="1" thickBot="1">
      <c r="D272" s="386" t="s">
        <v>1508</v>
      </c>
      <c r="E272" s="340"/>
      <c r="F272" s="340"/>
      <c r="G272" s="340"/>
      <c r="H272" s="340"/>
      <c r="I272" s="340"/>
    </row>
    <row r="273" spans="4:9" ht="15.9" customHeight="1" thickBot="1">
      <c r="D273" s="30" t="s">
        <v>53</v>
      </c>
      <c r="E273" s="31" t="s">
        <v>1411</v>
      </c>
      <c r="F273" s="31" t="s">
        <v>136</v>
      </c>
      <c r="G273" s="31" t="s">
        <v>0</v>
      </c>
      <c r="H273" s="31" t="s">
        <v>1412</v>
      </c>
      <c r="I273" s="32" t="s">
        <v>1413</v>
      </c>
    </row>
    <row r="274" spans="4:9" ht="15" customHeight="1">
      <c r="D274" s="5" t="s">
        <v>1730</v>
      </c>
      <c r="E274" s="2" t="s">
        <v>1414</v>
      </c>
      <c r="F274" s="2" t="s">
        <v>1408</v>
      </c>
      <c r="G274" s="3">
        <v>0.1</v>
      </c>
      <c r="H274" s="25">
        <v>10800</v>
      </c>
      <c r="I274" s="26">
        <f>+H274*G274</f>
        <v>1080</v>
      </c>
    </row>
    <row r="275" spans="4:9" ht="15" customHeight="1">
      <c r="D275" s="5" t="s">
        <v>1730</v>
      </c>
      <c r="E275" s="2" t="s">
        <v>1509</v>
      </c>
      <c r="F275" s="2" t="s">
        <v>23</v>
      </c>
      <c r="G275" s="4">
        <v>1</v>
      </c>
      <c r="H275" s="25">
        <v>500000</v>
      </c>
      <c r="I275" s="26">
        <f t="shared" ref="I275:I279" si="19">+H275*G275</f>
        <v>500000</v>
      </c>
    </row>
    <row r="276" spans="4:9" ht="15" customHeight="1">
      <c r="D276" s="5" t="s">
        <v>1730</v>
      </c>
      <c r="E276" s="6" t="s">
        <v>1510</v>
      </c>
      <c r="F276" s="6" t="s">
        <v>23</v>
      </c>
      <c r="G276" s="7">
        <v>4</v>
      </c>
      <c r="H276" s="27">
        <v>15000</v>
      </c>
      <c r="I276" s="26">
        <f t="shared" si="19"/>
        <v>60000</v>
      </c>
    </row>
    <row r="277" spans="4:9" ht="15" customHeight="1">
      <c r="D277" s="5" t="s">
        <v>1730</v>
      </c>
      <c r="E277" s="2" t="s">
        <v>1511</v>
      </c>
      <c r="F277" s="2" t="s">
        <v>23</v>
      </c>
      <c r="G277" s="4">
        <v>2</v>
      </c>
      <c r="H277" s="25">
        <v>28000</v>
      </c>
      <c r="I277" s="26">
        <f t="shared" si="19"/>
        <v>56000</v>
      </c>
    </row>
    <row r="278" spans="4:9" ht="15" customHeight="1">
      <c r="D278" s="5" t="s">
        <v>1730</v>
      </c>
      <c r="E278" s="6" t="s">
        <v>1512</v>
      </c>
      <c r="F278" s="6" t="s">
        <v>23</v>
      </c>
      <c r="G278" s="7">
        <v>1</v>
      </c>
      <c r="H278" s="27">
        <v>22000</v>
      </c>
      <c r="I278" s="26">
        <f t="shared" si="19"/>
        <v>22000</v>
      </c>
    </row>
    <row r="279" spans="4:9" ht="15" customHeight="1" thickBot="1">
      <c r="D279" s="5" t="s">
        <v>1730</v>
      </c>
      <c r="E279" s="2" t="s">
        <v>1513</v>
      </c>
      <c r="F279" s="2" t="s">
        <v>23</v>
      </c>
      <c r="G279" s="4">
        <v>1</v>
      </c>
      <c r="H279" s="25">
        <v>250000</v>
      </c>
      <c r="I279" s="26">
        <f t="shared" si="19"/>
        <v>250000</v>
      </c>
    </row>
    <row r="280" spans="4:9" ht="18" customHeight="1" thickBot="1">
      <c r="D280" s="382" t="s">
        <v>1419</v>
      </c>
      <c r="E280" s="383"/>
      <c r="F280" s="383"/>
      <c r="G280" s="383"/>
      <c r="H280" s="384"/>
      <c r="I280" s="29">
        <f>ROUND(SUM(I274:I279),0)</f>
        <v>889080</v>
      </c>
    </row>
    <row r="282" spans="4:9" ht="12" thickBot="1"/>
    <row r="283" spans="4:9" ht="20.100000000000001" customHeight="1" thickBot="1">
      <c r="D283" s="385" t="s">
        <v>2322</v>
      </c>
      <c r="E283" s="340"/>
      <c r="F283" s="340"/>
      <c r="G283" s="340"/>
      <c r="H283" s="340"/>
      <c r="I283" s="340"/>
    </row>
    <row r="284" spans="4:9" ht="36" customHeight="1" thickBot="1">
      <c r="D284" s="386" t="s">
        <v>1514</v>
      </c>
      <c r="E284" s="340"/>
      <c r="F284" s="340"/>
      <c r="G284" s="340"/>
      <c r="H284" s="340"/>
      <c r="I284" s="340"/>
    </row>
    <row r="285" spans="4:9" ht="15.9" customHeight="1" thickBot="1">
      <c r="D285" s="30" t="s">
        <v>53</v>
      </c>
      <c r="E285" s="31" t="s">
        <v>1411</v>
      </c>
      <c r="F285" s="31" t="s">
        <v>136</v>
      </c>
      <c r="G285" s="31" t="s">
        <v>0</v>
      </c>
      <c r="H285" s="31" t="s">
        <v>1412</v>
      </c>
      <c r="I285" s="32" t="s">
        <v>1413</v>
      </c>
    </row>
    <row r="286" spans="4:9" ht="15" customHeight="1">
      <c r="D286" s="5" t="s">
        <v>1731</v>
      </c>
      <c r="E286" s="2" t="s">
        <v>1414</v>
      </c>
      <c r="F286" s="2" t="s">
        <v>1408</v>
      </c>
      <c r="G286" s="3">
        <v>0.1</v>
      </c>
      <c r="H286" s="25">
        <v>10800</v>
      </c>
      <c r="I286" s="26">
        <f>+H286*G286</f>
        <v>1080</v>
      </c>
    </row>
    <row r="287" spans="4:9" ht="15" customHeight="1">
      <c r="D287" s="5" t="s">
        <v>1731</v>
      </c>
      <c r="E287" s="2" t="s">
        <v>1515</v>
      </c>
      <c r="F287" s="2" t="s">
        <v>27</v>
      </c>
      <c r="G287" s="4">
        <v>1.2</v>
      </c>
      <c r="H287" s="25">
        <v>5000</v>
      </c>
      <c r="I287" s="26">
        <f t="shared" ref="I287:I288" si="20">+H287*G287</f>
        <v>6000</v>
      </c>
    </row>
    <row r="288" spans="4:9" ht="15" customHeight="1" thickBot="1">
      <c r="D288" s="5" t="s">
        <v>1731</v>
      </c>
      <c r="E288" s="6" t="s">
        <v>1240</v>
      </c>
      <c r="F288" s="6" t="s">
        <v>27</v>
      </c>
      <c r="G288" s="7">
        <v>0.09</v>
      </c>
      <c r="H288" s="27">
        <v>36437.5</v>
      </c>
      <c r="I288" s="26">
        <f t="shared" si="20"/>
        <v>3279.375</v>
      </c>
    </row>
    <row r="289" spans="4:9" ht="18" customHeight="1" thickBot="1">
      <c r="D289" s="382" t="s">
        <v>1429</v>
      </c>
      <c r="E289" s="383"/>
      <c r="F289" s="383"/>
      <c r="G289" s="383"/>
      <c r="H289" s="384"/>
      <c r="I289" s="29">
        <f>ROUND(SUM(I286:I288),0)</f>
        <v>10359</v>
      </c>
    </row>
    <row r="291" spans="4:9" ht="12" thickBot="1"/>
    <row r="292" spans="4:9" ht="20.100000000000001" customHeight="1" thickBot="1">
      <c r="D292" s="385" t="s">
        <v>2323</v>
      </c>
      <c r="E292" s="340"/>
      <c r="F292" s="340"/>
      <c r="G292" s="340"/>
      <c r="H292" s="340"/>
      <c r="I292" s="340"/>
    </row>
    <row r="293" spans="4:9" ht="36" customHeight="1" thickBot="1">
      <c r="D293" s="386" t="s">
        <v>1516</v>
      </c>
      <c r="E293" s="340"/>
      <c r="F293" s="340"/>
      <c r="G293" s="340"/>
      <c r="H293" s="340"/>
      <c r="I293" s="340"/>
    </row>
    <row r="294" spans="4:9" ht="15.9" customHeight="1" thickBot="1">
      <c r="D294" s="30" t="s">
        <v>53</v>
      </c>
      <c r="E294" s="31" t="s">
        <v>1411</v>
      </c>
      <c r="F294" s="31" t="s">
        <v>136</v>
      </c>
      <c r="G294" s="31" t="s">
        <v>0</v>
      </c>
      <c r="H294" s="31" t="s">
        <v>1412</v>
      </c>
      <c r="I294" s="32" t="s">
        <v>1413</v>
      </c>
    </row>
    <row r="295" spans="4:9" ht="15" customHeight="1">
      <c r="D295" s="5" t="s">
        <v>1732</v>
      </c>
      <c r="E295" s="2" t="s">
        <v>1414</v>
      </c>
      <c r="F295" s="2" t="s">
        <v>1408</v>
      </c>
      <c r="G295" s="3">
        <v>0.1</v>
      </c>
      <c r="H295" s="25">
        <v>10800</v>
      </c>
      <c r="I295" s="26">
        <f>+H295*G295</f>
        <v>1080</v>
      </c>
    </row>
    <row r="296" spans="4:9" ht="15" customHeight="1">
      <c r="D296" s="5" t="s">
        <v>1732</v>
      </c>
      <c r="E296" s="2" t="s">
        <v>1517</v>
      </c>
      <c r="F296" s="2" t="s">
        <v>23</v>
      </c>
      <c r="G296" s="4">
        <v>1</v>
      </c>
      <c r="H296" s="25">
        <v>95000</v>
      </c>
      <c r="I296" s="26">
        <f t="shared" ref="I296:I299" si="21">+H296*G296</f>
        <v>95000</v>
      </c>
    </row>
    <row r="297" spans="4:9" ht="15" customHeight="1">
      <c r="D297" s="5" t="s">
        <v>1732</v>
      </c>
      <c r="E297" s="6" t="s">
        <v>1518</v>
      </c>
      <c r="F297" s="6" t="s">
        <v>23</v>
      </c>
      <c r="G297" s="7">
        <v>1</v>
      </c>
      <c r="H297" s="27">
        <v>18000</v>
      </c>
      <c r="I297" s="26">
        <f t="shared" si="21"/>
        <v>18000</v>
      </c>
    </row>
    <row r="298" spans="4:9" ht="15" customHeight="1">
      <c r="D298" s="5" t="s">
        <v>1732</v>
      </c>
      <c r="E298" s="2" t="s">
        <v>1519</v>
      </c>
      <c r="F298" s="2" t="s">
        <v>1408</v>
      </c>
      <c r="G298" s="4">
        <v>1</v>
      </c>
      <c r="H298" s="25">
        <v>5000</v>
      </c>
      <c r="I298" s="26">
        <f t="shared" si="21"/>
        <v>5000</v>
      </c>
    </row>
    <row r="299" spans="4:9" ht="15" customHeight="1" thickBot="1">
      <c r="D299" s="5" t="s">
        <v>1732</v>
      </c>
      <c r="E299" s="6" t="s">
        <v>1247</v>
      </c>
      <c r="F299" s="6" t="s">
        <v>1428</v>
      </c>
      <c r="G299" s="7">
        <v>0.8</v>
      </c>
      <c r="H299" s="27">
        <v>40081.250000000007</v>
      </c>
      <c r="I299" s="26">
        <f t="shared" si="21"/>
        <v>32065.000000000007</v>
      </c>
    </row>
    <row r="300" spans="4:9" ht="18" customHeight="1" thickBot="1">
      <c r="D300" s="382" t="s">
        <v>1419</v>
      </c>
      <c r="E300" s="383"/>
      <c r="F300" s="383"/>
      <c r="G300" s="383"/>
      <c r="H300" s="384"/>
      <c r="I300" s="29">
        <f>ROUND(SUM(I295:I299),0)</f>
        <v>151145</v>
      </c>
    </row>
    <row r="301" spans="4:9" ht="12" thickBot="1"/>
    <row r="302" spans="4:9" ht="20.100000000000001" customHeight="1" thickBot="1">
      <c r="D302" s="385" t="s">
        <v>2324</v>
      </c>
      <c r="E302" s="340"/>
      <c r="F302" s="340"/>
      <c r="G302" s="340"/>
      <c r="H302" s="340"/>
      <c r="I302" s="340"/>
    </row>
    <row r="303" spans="4:9" ht="36" customHeight="1" thickBot="1">
      <c r="D303" s="386" t="s">
        <v>1520</v>
      </c>
      <c r="E303" s="340"/>
      <c r="F303" s="340"/>
      <c r="G303" s="340"/>
      <c r="H303" s="340"/>
      <c r="I303" s="340"/>
    </row>
    <row r="304" spans="4:9" ht="15.9" customHeight="1" thickBot="1">
      <c r="D304" s="30" t="s">
        <v>53</v>
      </c>
      <c r="E304" s="31" t="s">
        <v>1411</v>
      </c>
      <c r="F304" s="31" t="s">
        <v>136</v>
      </c>
      <c r="G304" s="31" t="s">
        <v>0</v>
      </c>
      <c r="H304" s="31" t="s">
        <v>1412</v>
      </c>
      <c r="I304" s="32" t="s">
        <v>1413</v>
      </c>
    </row>
    <row r="305" spans="4:9" ht="15" customHeight="1">
      <c r="D305" s="5" t="s">
        <v>1733</v>
      </c>
      <c r="E305" s="2" t="s">
        <v>1414</v>
      </c>
      <c r="F305" s="2" t="s">
        <v>1408</v>
      </c>
      <c r="G305" s="3">
        <v>0.1</v>
      </c>
      <c r="H305" s="25">
        <v>10800</v>
      </c>
      <c r="I305" s="26">
        <f>+H305*G305</f>
        <v>1080</v>
      </c>
    </row>
    <row r="306" spans="4:9" ht="15" customHeight="1">
      <c r="D306" s="5" t="s">
        <v>1733</v>
      </c>
      <c r="E306" s="2" t="s">
        <v>1521</v>
      </c>
      <c r="F306" s="2" t="s">
        <v>27</v>
      </c>
      <c r="G306" s="4">
        <v>1.1000000000000001</v>
      </c>
      <c r="H306" s="25">
        <v>12290</v>
      </c>
      <c r="I306" s="26">
        <f t="shared" ref="I306:I307" si="22">+H306*G306</f>
        <v>13519.000000000002</v>
      </c>
    </row>
    <row r="307" spans="4:9" ht="15" customHeight="1" thickBot="1">
      <c r="D307" s="5" t="s">
        <v>1733</v>
      </c>
      <c r="E307" s="6" t="s">
        <v>1247</v>
      </c>
      <c r="F307" s="6" t="s">
        <v>1428</v>
      </c>
      <c r="G307" s="7">
        <v>0.05</v>
      </c>
      <c r="H307" s="27">
        <v>40081.250000000007</v>
      </c>
      <c r="I307" s="26">
        <f t="shared" si="22"/>
        <v>2004.0625000000005</v>
      </c>
    </row>
    <row r="308" spans="4:9" ht="18" customHeight="1" thickBot="1">
      <c r="D308" s="382" t="s">
        <v>1429</v>
      </c>
      <c r="E308" s="383"/>
      <c r="F308" s="383"/>
      <c r="G308" s="383"/>
      <c r="H308" s="384"/>
      <c r="I308" s="29">
        <f>ROUND(SUM(I305:I307),0)</f>
        <v>16603</v>
      </c>
    </row>
    <row r="309" spans="4:9" ht="12" thickBot="1"/>
    <row r="310" spans="4:9" ht="20.100000000000001" customHeight="1" thickBot="1">
      <c r="D310" s="385" t="s">
        <v>2325</v>
      </c>
      <c r="E310" s="340"/>
      <c r="F310" s="340"/>
      <c r="G310" s="340"/>
      <c r="H310" s="340"/>
      <c r="I310" s="340"/>
    </row>
    <row r="311" spans="4:9" ht="36" customHeight="1" thickBot="1">
      <c r="D311" s="386" t="s">
        <v>1522</v>
      </c>
      <c r="E311" s="340"/>
      <c r="F311" s="340"/>
      <c r="G311" s="340"/>
      <c r="H311" s="340"/>
      <c r="I311" s="340"/>
    </row>
    <row r="312" spans="4:9" ht="15.9" customHeight="1" thickBot="1">
      <c r="D312" s="30" t="s">
        <v>53</v>
      </c>
      <c r="E312" s="31" t="s">
        <v>1411</v>
      </c>
      <c r="F312" s="31" t="s">
        <v>136</v>
      </c>
      <c r="G312" s="31" t="s">
        <v>0</v>
      </c>
      <c r="H312" s="31" t="s">
        <v>1412</v>
      </c>
      <c r="I312" s="32" t="s">
        <v>1413</v>
      </c>
    </row>
    <row r="313" spans="4:9" ht="15" customHeight="1">
      <c r="D313" s="5" t="s">
        <v>1734</v>
      </c>
      <c r="E313" s="2" t="s">
        <v>1414</v>
      </c>
      <c r="F313" s="2" t="s">
        <v>1408</v>
      </c>
      <c r="G313" s="3">
        <v>0.1</v>
      </c>
      <c r="H313" s="25">
        <v>10800</v>
      </c>
      <c r="I313" s="26">
        <f>+H313*G313</f>
        <v>1080</v>
      </c>
    </row>
    <row r="314" spans="4:9" ht="15" customHeight="1">
      <c r="D314" s="5" t="s">
        <v>1734</v>
      </c>
      <c r="E314" s="2" t="s">
        <v>1523</v>
      </c>
      <c r="F314" s="2" t="s">
        <v>23</v>
      </c>
      <c r="G314" s="4">
        <v>1</v>
      </c>
      <c r="H314" s="25">
        <v>41900</v>
      </c>
      <c r="I314" s="26">
        <f t="shared" ref="I314:I315" si="23">+H314*G314</f>
        <v>41900</v>
      </c>
    </row>
    <row r="315" spans="4:9" ht="15" customHeight="1" thickBot="1">
      <c r="D315" s="5" t="s">
        <v>1734</v>
      </c>
      <c r="E315" s="6" t="s">
        <v>1524</v>
      </c>
      <c r="F315" s="6" t="s">
        <v>23</v>
      </c>
      <c r="G315" s="7">
        <v>1</v>
      </c>
      <c r="H315" s="27">
        <v>15000</v>
      </c>
      <c r="I315" s="26">
        <f t="shared" si="23"/>
        <v>15000</v>
      </c>
    </row>
    <row r="316" spans="4:9" ht="18" customHeight="1" thickBot="1">
      <c r="D316" s="382" t="s">
        <v>1419</v>
      </c>
      <c r="E316" s="383"/>
      <c r="F316" s="383"/>
      <c r="G316" s="383"/>
      <c r="H316" s="384"/>
      <c r="I316" s="29">
        <f>ROUND(SUM(I313:I315),0)</f>
        <v>57980</v>
      </c>
    </row>
  </sheetData>
  <mergeCells count="104">
    <mergeCell ref="D311:I311"/>
    <mergeCell ref="D316:H316"/>
    <mergeCell ref="D293:I293"/>
    <mergeCell ref="D300:H300"/>
    <mergeCell ref="D302:I302"/>
    <mergeCell ref="D303:I303"/>
    <mergeCell ref="D308:H308"/>
    <mergeCell ref="D310:I310"/>
    <mergeCell ref="D272:I272"/>
    <mergeCell ref="D280:H280"/>
    <mergeCell ref="D283:I283"/>
    <mergeCell ref="D284:I284"/>
    <mergeCell ref="D289:H289"/>
    <mergeCell ref="D292:I292"/>
    <mergeCell ref="D258:H258"/>
    <mergeCell ref="D261:I261"/>
    <mergeCell ref="D262:I262"/>
    <mergeCell ref="D263:I263"/>
    <mergeCell ref="D269:H269"/>
    <mergeCell ref="D271:I271"/>
    <mergeCell ref="D239:H239"/>
    <mergeCell ref="D241:I241"/>
    <mergeCell ref="D242:I242"/>
    <mergeCell ref="D249:H249"/>
    <mergeCell ref="D251:I251"/>
    <mergeCell ref="D252:I252"/>
    <mergeCell ref="D221:H221"/>
    <mergeCell ref="D223:I223"/>
    <mergeCell ref="D224:I224"/>
    <mergeCell ref="D230:H230"/>
    <mergeCell ref="D232:I232"/>
    <mergeCell ref="D233:I233"/>
    <mergeCell ref="D204:H204"/>
    <mergeCell ref="D206:I206"/>
    <mergeCell ref="D207:I207"/>
    <mergeCell ref="D212:H212"/>
    <mergeCell ref="D214:I214"/>
    <mergeCell ref="D215:I215"/>
    <mergeCell ref="D188:H188"/>
    <mergeCell ref="D190:I190"/>
    <mergeCell ref="D191:I191"/>
    <mergeCell ref="D196:H196"/>
    <mergeCell ref="D198:I198"/>
    <mergeCell ref="D199:I199"/>
    <mergeCell ref="D172:H172"/>
    <mergeCell ref="D174:I174"/>
    <mergeCell ref="D175:I175"/>
    <mergeCell ref="D180:H180"/>
    <mergeCell ref="D182:I182"/>
    <mergeCell ref="D183:I183"/>
    <mergeCell ref="D156:I156"/>
    <mergeCell ref="D157:I157"/>
    <mergeCell ref="D158:I158"/>
    <mergeCell ref="D164:H164"/>
    <mergeCell ref="D166:I166"/>
    <mergeCell ref="D167:I167"/>
    <mergeCell ref="D133:I133"/>
    <mergeCell ref="D134:I134"/>
    <mergeCell ref="D141:H141"/>
    <mergeCell ref="D143:I143"/>
    <mergeCell ref="D144:I144"/>
    <mergeCell ref="D152:H152"/>
    <mergeCell ref="D112:I112"/>
    <mergeCell ref="D113:I113"/>
    <mergeCell ref="D120:H120"/>
    <mergeCell ref="D122:I122"/>
    <mergeCell ref="D123:I123"/>
    <mergeCell ref="D130:H130"/>
    <mergeCell ref="D92:I92"/>
    <mergeCell ref="D98:H98"/>
    <mergeCell ref="D101:I101"/>
    <mergeCell ref="D102:I102"/>
    <mergeCell ref="D103:I103"/>
    <mergeCell ref="D110:H110"/>
    <mergeCell ref="D75:I75"/>
    <mergeCell ref="D80:H80"/>
    <mergeCell ref="D82:I82"/>
    <mergeCell ref="D83:I83"/>
    <mergeCell ref="D89:H89"/>
    <mergeCell ref="D91:I91"/>
    <mergeCell ref="D56:I56"/>
    <mergeCell ref="D63:H63"/>
    <mergeCell ref="D65:I65"/>
    <mergeCell ref="D66:I66"/>
    <mergeCell ref="D72:H72"/>
    <mergeCell ref="D74:I74"/>
    <mergeCell ref="D46:I46"/>
    <mergeCell ref="D53:H53"/>
    <mergeCell ref="D55:I55"/>
    <mergeCell ref="D21:H21"/>
    <mergeCell ref="D24:I24"/>
    <mergeCell ref="D25:I25"/>
    <mergeCell ref="D26:I26"/>
    <mergeCell ref="D33:H33"/>
    <mergeCell ref="D35:I35"/>
    <mergeCell ref="D1:I1"/>
    <mergeCell ref="D2:I2"/>
    <mergeCell ref="D3:I3"/>
    <mergeCell ref="D10:H10"/>
    <mergeCell ref="D13:I13"/>
    <mergeCell ref="D14:I14"/>
    <mergeCell ref="D36:I36"/>
    <mergeCell ref="D43:H43"/>
    <mergeCell ref="D45:I45"/>
  </mergeCells>
  <phoneticPr fontId="29" alignment="center"/>
  <pageMargins left="0.7" right="0.7" top="0.75" bottom="0.75" header="0.3" footer="0.3"/>
  <pageSetup scale="69" fitToHeight="0" orientation="portrait" r:id="rId1"/>
  <rowBreaks count="6" manualBreakCount="6">
    <brk id="44" min="2" max="9" man="1"/>
    <brk id="89" min="2" max="9" man="1"/>
    <brk id="132" min="2" max="9" man="1"/>
    <brk id="181" min="2" max="9" man="1"/>
    <brk id="222" min="2" max="9" man="1"/>
    <brk id="270" min="2" max="9" man="1"/>
  </rowBreaks>
  <colBreaks count="1" manualBreakCount="1">
    <brk id="9" max="317"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1C4AC-A741-4FE4-A846-154D58B0B99D}">
  <sheetPr codeName="Hoja136"/>
  <dimension ref="B3:I41"/>
  <sheetViews>
    <sheetView topLeftCell="A8" zoomScale="130" zoomScaleNormal="130" workbookViewId="0">
      <selection activeCell="I42" sqref="I4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17</v>
      </c>
      <c r="E9" s="276" t="s">
        <v>1785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4.5" customHeight="1">
      <c r="B13" s="17" t="s">
        <v>1786</v>
      </c>
      <c r="C13" s="283" t="s">
        <v>1995</v>
      </c>
      <c r="D13" s="284"/>
      <c r="E13" s="284"/>
      <c r="F13" s="285"/>
      <c r="G13" s="286" t="s">
        <v>2</v>
      </c>
      <c r="H13" s="286"/>
      <c r="I13" s="114">
        <v>22.22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
        <v>199</v>
      </c>
      <c r="D18" s="265"/>
      <c r="E18" s="71" t="s">
        <v>197</v>
      </c>
      <c r="F18" s="83">
        <v>10714</v>
      </c>
      <c r="G18" s="84">
        <v>0.2</v>
      </c>
      <c r="H18" s="85">
        <f>F18*G18</f>
        <v>2142.8000000000002</v>
      </c>
      <c r="I18" s="287"/>
    </row>
    <row r="19" spans="2:9">
      <c r="B19" s="71" t="s">
        <v>1287</v>
      </c>
      <c r="C19" s="288" t="s">
        <v>1288</v>
      </c>
      <c r="D19" s="265"/>
      <c r="E19" s="71" t="s">
        <v>276</v>
      </c>
      <c r="F19" s="83">
        <v>5000</v>
      </c>
      <c r="G19" s="122">
        <v>0.5</v>
      </c>
      <c r="H19" s="85">
        <f>F19*G19</f>
        <v>2500</v>
      </c>
      <c r="I19" s="287"/>
    </row>
    <row r="20" spans="2:9">
      <c r="B20" s="71" t="s">
        <v>1267</v>
      </c>
      <c r="C20" s="288" t="s">
        <v>1266</v>
      </c>
      <c r="D20" s="265"/>
      <c r="E20" s="71" t="s">
        <v>276</v>
      </c>
      <c r="F20" s="83">
        <v>10500</v>
      </c>
      <c r="G20" s="122">
        <v>0.02</v>
      </c>
      <c r="H20" s="85">
        <f>F20*G20</f>
        <v>210</v>
      </c>
      <c r="I20" s="287"/>
    </row>
    <row r="21" spans="2:9" ht="12">
      <c r="B21" s="89"/>
      <c r="C21" s="89"/>
      <c r="D21" s="89"/>
      <c r="E21" s="89"/>
      <c r="F21" s="89"/>
      <c r="G21" s="89"/>
      <c r="H21" s="89" t="s">
        <v>64</v>
      </c>
      <c r="I21" s="90">
        <f>SUM(H18:H20)</f>
        <v>4852.8</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633</v>
      </c>
      <c r="C24" s="283" t="s">
        <v>634</v>
      </c>
      <c r="D24" s="285"/>
      <c r="E24" s="70" t="s">
        <v>350</v>
      </c>
      <c r="F24" s="80">
        <v>3000</v>
      </c>
      <c r="G24" s="70">
        <v>5</v>
      </c>
      <c r="H24" s="123">
        <f>+G24*F24</f>
        <v>15000</v>
      </c>
      <c r="I24" s="287"/>
    </row>
    <row r="25" spans="2:9" ht="12">
      <c r="B25" s="70" t="s">
        <v>147</v>
      </c>
      <c r="C25" s="283" t="s">
        <v>2327</v>
      </c>
      <c r="D25" s="285"/>
      <c r="E25" s="70" t="s">
        <v>1291</v>
      </c>
      <c r="F25" s="80">
        <v>6480</v>
      </c>
      <c r="G25" s="70">
        <v>0.4</v>
      </c>
      <c r="H25" s="123">
        <f>+G25*F25</f>
        <v>2592</v>
      </c>
      <c r="I25" s="287"/>
    </row>
    <row r="26" spans="2:9" ht="12">
      <c r="B26" s="70" t="s">
        <v>1880</v>
      </c>
      <c r="C26" s="283" t="s">
        <v>2328</v>
      </c>
      <c r="D26" s="285"/>
      <c r="E26" s="70" t="s">
        <v>342</v>
      </c>
      <c r="F26" s="80">
        <v>500</v>
      </c>
      <c r="G26" s="70">
        <v>6</v>
      </c>
      <c r="H26" s="123">
        <f>+G26*F26</f>
        <v>3000</v>
      </c>
      <c r="I26" s="287"/>
    </row>
    <row r="27" spans="2:9" ht="12">
      <c r="B27" s="70" t="s">
        <v>1878</v>
      </c>
      <c r="C27" s="283" t="s">
        <v>2330</v>
      </c>
      <c r="D27" s="285"/>
      <c r="E27" s="70" t="s">
        <v>196</v>
      </c>
      <c r="F27" s="80">
        <v>115900</v>
      </c>
      <c r="G27" s="70">
        <v>1</v>
      </c>
      <c r="H27" s="123">
        <f>+G27*F27</f>
        <v>115900</v>
      </c>
      <c r="I27" s="287"/>
    </row>
    <row r="28" spans="2:9" ht="12">
      <c r="B28" s="89"/>
      <c r="C28" s="89"/>
      <c r="D28" s="89"/>
      <c r="E28" s="89"/>
      <c r="F28" s="89"/>
      <c r="G28" s="258" t="s">
        <v>64</v>
      </c>
      <c r="H28" s="258"/>
      <c r="I28" s="85">
        <f>SUM(H24:H27)</f>
        <v>136492</v>
      </c>
    </row>
    <row r="29" spans="2:9" ht="12">
      <c r="B29" s="89"/>
      <c r="C29" s="89"/>
      <c r="D29" s="89"/>
      <c r="E29" s="89"/>
      <c r="F29" s="89"/>
      <c r="G29" s="99" t="s">
        <v>72</v>
      </c>
      <c r="H29" s="100">
        <v>0.05</v>
      </c>
      <c r="I29" s="120">
        <f>I28*H29</f>
        <v>6824.6</v>
      </c>
    </row>
    <row r="30" spans="2:9" ht="12">
      <c r="B30" s="89"/>
      <c r="C30" s="89"/>
      <c r="D30" s="89"/>
      <c r="E30" s="89"/>
      <c r="F30" s="89"/>
      <c r="G30" s="258" t="s">
        <v>73</v>
      </c>
      <c r="H30" s="258"/>
      <c r="I30" s="90">
        <f>SUM(I28:I29)</f>
        <v>143316.6</v>
      </c>
    </row>
    <row r="31" spans="2:9" ht="12">
      <c r="B31" s="78"/>
      <c r="C31" s="289" t="s">
        <v>74</v>
      </c>
      <c r="D31" s="289"/>
      <c r="E31" s="78"/>
      <c r="F31" s="78"/>
      <c r="G31" s="78"/>
      <c r="H31" s="78"/>
      <c r="I31" s="79"/>
    </row>
    <row r="32" spans="2:9" ht="12">
      <c r="B32" s="70" t="s">
        <v>42</v>
      </c>
      <c r="C32" s="70" t="s">
        <v>58</v>
      </c>
      <c r="D32" s="70" t="s">
        <v>342</v>
      </c>
      <c r="E32" s="70" t="s">
        <v>1675</v>
      </c>
      <c r="F32" s="70" t="s">
        <v>1333</v>
      </c>
      <c r="G32" s="70" t="s">
        <v>1278</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371</v>
      </c>
      <c r="C38" s="106" t="s">
        <v>1248</v>
      </c>
      <c r="D38" s="106">
        <v>1</v>
      </c>
      <c r="E38" s="106" t="s">
        <v>1236</v>
      </c>
      <c r="F38" s="86">
        <v>55703.125</v>
      </c>
      <c r="G38" s="121">
        <v>0.5</v>
      </c>
      <c r="H38" s="94">
        <f>F38*G38*D38</f>
        <v>27851.5625</v>
      </c>
      <c r="I38" s="294"/>
    </row>
    <row r="39" spans="2:9">
      <c r="B39" s="106"/>
      <c r="C39" s="106"/>
      <c r="D39" s="106"/>
      <c r="E39" s="106"/>
      <c r="F39" s="86"/>
      <c r="G39" s="121"/>
      <c r="H39" s="94"/>
      <c r="I39" s="294"/>
    </row>
    <row r="40" spans="2:9" ht="12">
      <c r="B40" s="108"/>
      <c r="C40" s="109"/>
      <c r="D40" s="109"/>
      <c r="E40" s="109"/>
      <c r="F40" s="110"/>
      <c r="G40" s="110"/>
      <c r="H40" s="111" t="s">
        <v>64</v>
      </c>
      <c r="I40" s="112">
        <f>SUM(H38:H39)</f>
        <v>27851.5625</v>
      </c>
    </row>
    <row r="41" spans="2:9" ht="12">
      <c r="B41" s="295" t="s">
        <v>83</v>
      </c>
      <c r="C41" s="296"/>
      <c r="D41" s="297" t="s">
        <v>77</v>
      </c>
      <c r="E41" s="298"/>
      <c r="F41" s="298"/>
      <c r="G41" s="298"/>
      <c r="H41" s="299"/>
      <c r="I41" s="113">
        <f>ROUND(SUM(I21+I35+I30+I40),0)</f>
        <v>176021</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B0C58-645B-48A8-AE79-4E605570F557}">
  <sheetPr codeName="Hoja137"/>
  <dimension ref="B3:I41"/>
  <sheetViews>
    <sheetView topLeftCell="A18" zoomScale="89" zoomScaleNormal="89" workbookViewId="0">
      <selection activeCell="I42" sqref="I4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17</v>
      </c>
      <c r="E9" s="276" t="s">
        <v>1785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4" customHeight="1">
      <c r="B13" s="17">
        <v>17.2</v>
      </c>
      <c r="C13" s="283" t="s">
        <v>1996</v>
      </c>
      <c r="D13" s="284"/>
      <c r="E13" s="284"/>
      <c r="F13" s="285"/>
      <c r="G13" s="286" t="s">
        <v>1530</v>
      </c>
      <c r="H13" s="286"/>
      <c r="I13" s="114">
        <v>12.76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
        <v>199</v>
      </c>
      <c r="D18" s="265"/>
      <c r="E18" s="71" t="s">
        <v>197</v>
      </c>
      <c r="F18" s="83">
        <v>10714</v>
      </c>
      <c r="G18" s="84">
        <v>0.2</v>
      </c>
      <c r="H18" s="85">
        <f>F18*G18</f>
        <v>2142.8000000000002</v>
      </c>
      <c r="I18" s="287"/>
    </row>
    <row r="19" spans="2:9">
      <c r="B19" s="71" t="s">
        <v>1287</v>
      </c>
      <c r="C19" s="288" t="s">
        <v>1288</v>
      </c>
      <c r="D19" s="265"/>
      <c r="E19" s="71" t="s">
        <v>276</v>
      </c>
      <c r="F19" s="83">
        <v>5000</v>
      </c>
      <c r="G19" s="122">
        <v>0.5</v>
      </c>
      <c r="H19" s="85">
        <f>F19*G19</f>
        <v>2500</v>
      </c>
      <c r="I19" s="287"/>
    </row>
    <row r="20" spans="2:9">
      <c r="B20" s="71" t="s">
        <v>1267</v>
      </c>
      <c r="C20" s="288" t="s">
        <v>1266</v>
      </c>
      <c r="D20" s="265"/>
      <c r="E20" s="71" t="s">
        <v>276</v>
      </c>
      <c r="F20" s="83">
        <v>10500</v>
      </c>
      <c r="G20" s="122">
        <v>0.02</v>
      </c>
      <c r="H20" s="85">
        <f>F20*G20</f>
        <v>210</v>
      </c>
      <c r="I20" s="287"/>
    </row>
    <row r="21" spans="2:9" ht="12">
      <c r="B21" s="89"/>
      <c r="C21" s="89"/>
      <c r="D21" s="89"/>
      <c r="E21" s="89"/>
      <c r="F21" s="89"/>
      <c r="G21" s="89"/>
      <c r="H21" s="89" t="s">
        <v>64</v>
      </c>
      <c r="I21" s="90">
        <f>SUM(H18:H20)</f>
        <v>4852.8</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1883</v>
      </c>
      <c r="C24" s="283" t="s">
        <v>2331</v>
      </c>
      <c r="D24" s="285"/>
      <c r="E24" s="70" t="s">
        <v>1999</v>
      </c>
      <c r="F24" s="80">
        <v>130000</v>
      </c>
      <c r="G24" s="70">
        <v>0.11</v>
      </c>
      <c r="H24" s="123">
        <f>+G24*F24</f>
        <v>14300</v>
      </c>
      <c r="I24" s="287"/>
    </row>
    <row r="25" spans="2:9" ht="12">
      <c r="B25" s="70" t="s">
        <v>147</v>
      </c>
      <c r="C25" s="283" t="s">
        <v>2327</v>
      </c>
      <c r="D25" s="285"/>
      <c r="E25" s="70" t="s">
        <v>1291</v>
      </c>
      <c r="F25" s="80">
        <v>6480</v>
      </c>
      <c r="G25" s="70">
        <v>0.1</v>
      </c>
      <c r="H25" s="123">
        <f>+G25*F25</f>
        <v>648</v>
      </c>
      <c r="I25" s="287"/>
    </row>
    <row r="26" spans="2:9" ht="12">
      <c r="B26" s="70" t="s">
        <v>1880</v>
      </c>
      <c r="C26" s="283" t="s">
        <v>2328</v>
      </c>
      <c r="D26" s="285"/>
      <c r="E26" s="70" t="s">
        <v>342</v>
      </c>
      <c r="F26" s="80">
        <v>500</v>
      </c>
      <c r="G26" s="70">
        <v>3</v>
      </c>
      <c r="H26" s="123">
        <f>+G26*F26</f>
        <v>1500</v>
      </c>
      <c r="I26" s="287"/>
    </row>
    <row r="27" spans="2:9" ht="12">
      <c r="B27" s="70" t="s">
        <v>633</v>
      </c>
      <c r="C27" s="283" t="s">
        <v>634</v>
      </c>
      <c r="D27" s="285"/>
      <c r="E27" s="70" t="s">
        <v>350</v>
      </c>
      <c r="F27" s="80">
        <v>3000</v>
      </c>
      <c r="G27" s="70">
        <v>0.8</v>
      </c>
      <c r="H27" s="123">
        <f>+G27*F27</f>
        <v>2400</v>
      </c>
      <c r="I27" s="287"/>
    </row>
    <row r="28" spans="2:9" ht="12">
      <c r="B28" s="89"/>
      <c r="C28" s="89"/>
      <c r="D28" s="89"/>
      <c r="E28" s="89"/>
      <c r="F28" s="89"/>
      <c r="G28" s="258" t="s">
        <v>64</v>
      </c>
      <c r="H28" s="258"/>
      <c r="I28" s="85">
        <f>SUM(H24:H27)</f>
        <v>18848</v>
      </c>
    </row>
    <row r="29" spans="2:9" ht="12">
      <c r="B29" s="89"/>
      <c r="C29" s="89"/>
      <c r="D29" s="89"/>
      <c r="E29" s="89"/>
      <c r="F29" s="89"/>
      <c r="G29" s="99" t="s">
        <v>72</v>
      </c>
      <c r="H29" s="100">
        <v>0.05</v>
      </c>
      <c r="I29" s="120">
        <f>I28*H29</f>
        <v>942.40000000000009</v>
      </c>
    </row>
    <row r="30" spans="2:9" ht="12">
      <c r="B30" s="89"/>
      <c r="C30" s="89"/>
      <c r="D30" s="89"/>
      <c r="E30" s="89"/>
      <c r="F30" s="89"/>
      <c r="G30" s="258" t="s">
        <v>73</v>
      </c>
      <c r="H30" s="258"/>
      <c r="I30" s="90">
        <f>SUM(I28:I29)</f>
        <v>19790.400000000001</v>
      </c>
    </row>
    <row r="31" spans="2:9" ht="12">
      <c r="B31" s="78"/>
      <c r="C31" s="289" t="s">
        <v>74</v>
      </c>
      <c r="D31" s="289"/>
      <c r="E31" s="78"/>
      <c r="F31" s="78"/>
      <c r="G31" s="78"/>
      <c r="H31" s="78"/>
      <c r="I31" s="79"/>
    </row>
    <row r="32" spans="2:9" ht="12">
      <c r="B32" s="70" t="s">
        <v>42</v>
      </c>
      <c r="C32" s="70" t="s">
        <v>58</v>
      </c>
      <c r="D32" s="70" t="s">
        <v>342</v>
      </c>
      <c r="E32" s="70" t="s">
        <v>1675</v>
      </c>
      <c r="F32" s="70" t="s">
        <v>1333</v>
      </c>
      <c r="G32" s="70" t="s">
        <v>1278</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371</v>
      </c>
      <c r="C38" s="106" t="s">
        <v>1248</v>
      </c>
      <c r="D38" s="106">
        <v>1</v>
      </c>
      <c r="E38" s="106" t="s">
        <v>1236</v>
      </c>
      <c r="F38" s="86">
        <v>55703.125</v>
      </c>
      <c r="G38" s="121">
        <v>0.3</v>
      </c>
      <c r="H38" s="94">
        <f>F38*G38*D38</f>
        <v>16710.9375</v>
      </c>
      <c r="I38" s="294"/>
    </row>
    <row r="39" spans="2:9">
      <c r="B39" s="106"/>
      <c r="C39" s="106"/>
      <c r="D39" s="106"/>
      <c r="E39" s="106"/>
      <c r="F39" s="86"/>
      <c r="G39" s="121"/>
      <c r="H39" s="94"/>
      <c r="I39" s="294"/>
    </row>
    <row r="40" spans="2:9" ht="12">
      <c r="B40" s="108"/>
      <c r="C40" s="109"/>
      <c r="D40" s="109"/>
      <c r="E40" s="109"/>
      <c r="F40" s="110"/>
      <c r="G40" s="110"/>
      <c r="H40" s="111" t="s">
        <v>64</v>
      </c>
      <c r="I40" s="112">
        <f>SUM(H38:H39)</f>
        <v>16710.9375</v>
      </c>
    </row>
    <row r="41" spans="2:9" ht="12">
      <c r="B41" s="295" t="s">
        <v>83</v>
      </c>
      <c r="C41" s="296"/>
      <c r="D41" s="297" t="s">
        <v>77</v>
      </c>
      <c r="E41" s="298"/>
      <c r="F41" s="298"/>
      <c r="G41" s="298"/>
      <c r="H41" s="299"/>
      <c r="I41" s="113">
        <f>ROUND(SUM(I21+I35+I30+I40),0)</f>
        <v>41354</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3285F-230B-4C95-8EC3-42B9C57C1D64}">
  <sheetPr codeName="Hoja138"/>
  <dimension ref="B3:I41"/>
  <sheetViews>
    <sheetView topLeftCell="A14" zoomScale="89" zoomScaleNormal="89" workbookViewId="0">
      <selection activeCell="I42" sqref="I4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17</v>
      </c>
      <c r="E9" s="276" t="s">
        <v>1785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2.25" customHeight="1">
      <c r="B13" s="17">
        <v>17.3</v>
      </c>
      <c r="C13" s="283" t="s">
        <v>1997</v>
      </c>
      <c r="D13" s="284"/>
      <c r="E13" s="284"/>
      <c r="F13" s="285"/>
      <c r="G13" s="286" t="s">
        <v>2</v>
      </c>
      <c r="H13" s="286"/>
      <c r="I13" s="114">
        <v>12.5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
        <v>199</v>
      </c>
      <c r="D18" s="265"/>
      <c r="E18" s="71" t="s">
        <v>197</v>
      </c>
      <c r="F18" s="83">
        <v>10714</v>
      </c>
      <c r="G18" s="84">
        <v>0.2</v>
      </c>
      <c r="H18" s="85">
        <f>F18*G18</f>
        <v>2142.8000000000002</v>
      </c>
      <c r="I18" s="287"/>
    </row>
    <row r="19" spans="2:9">
      <c r="B19" s="71" t="s">
        <v>1287</v>
      </c>
      <c r="C19" s="288" t="s">
        <v>1288</v>
      </c>
      <c r="D19" s="265"/>
      <c r="E19" s="71" t="s">
        <v>276</v>
      </c>
      <c r="F19" s="83">
        <v>5000</v>
      </c>
      <c r="G19" s="122">
        <v>0.25</v>
      </c>
      <c r="H19" s="85">
        <f>F19*G19</f>
        <v>1250</v>
      </c>
      <c r="I19" s="287"/>
    </row>
    <row r="20" spans="2:9">
      <c r="B20" s="71" t="s">
        <v>1267</v>
      </c>
      <c r="C20" s="288" t="s">
        <v>1266</v>
      </c>
      <c r="D20" s="265"/>
      <c r="E20" s="71" t="s">
        <v>276</v>
      </c>
      <c r="F20" s="83">
        <v>10500</v>
      </c>
      <c r="G20" s="122">
        <v>0.02</v>
      </c>
      <c r="H20" s="85">
        <f>F20*G20</f>
        <v>210</v>
      </c>
      <c r="I20" s="287"/>
    </row>
    <row r="21" spans="2:9" ht="12">
      <c r="B21" s="89"/>
      <c r="C21" s="89"/>
      <c r="D21" s="89"/>
      <c r="E21" s="89"/>
      <c r="F21" s="89"/>
      <c r="G21" s="89"/>
      <c r="H21" s="89" t="s">
        <v>64</v>
      </c>
      <c r="I21" s="90">
        <f>SUM(H18:H20)</f>
        <v>3602.8</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633</v>
      </c>
      <c r="C24" s="283" t="s">
        <v>634</v>
      </c>
      <c r="D24" s="285"/>
      <c r="E24" s="70" t="s">
        <v>350</v>
      </c>
      <c r="F24" s="80">
        <v>3000</v>
      </c>
      <c r="G24" s="70">
        <v>0.6</v>
      </c>
      <c r="H24" s="123">
        <f>+G24*F24</f>
        <v>1800</v>
      </c>
      <c r="I24" s="287"/>
    </row>
    <row r="25" spans="2:9" ht="12">
      <c r="B25" s="70" t="s">
        <v>147</v>
      </c>
      <c r="C25" s="283" t="s">
        <v>2327</v>
      </c>
      <c r="D25" s="285"/>
      <c r="E25" s="70" t="s">
        <v>1291</v>
      </c>
      <c r="F25" s="80">
        <v>6480</v>
      </c>
      <c r="G25" s="70">
        <v>0.08</v>
      </c>
      <c r="H25" s="123">
        <f>+G25*F25</f>
        <v>518.4</v>
      </c>
      <c r="I25" s="287"/>
    </row>
    <row r="26" spans="2:9" ht="12">
      <c r="B26" s="70" t="s">
        <v>1880</v>
      </c>
      <c r="C26" s="283" t="s">
        <v>2328</v>
      </c>
      <c r="D26" s="285"/>
      <c r="E26" s="70" t="s">
        <v>342</v>
      </c>
      <c r="F26" s="80">
        <v>500</v>
      </c>
      <c r="G26" s="70">
        <v>3</v>
      </c>
      <c r="H26" s="123">
        <f>+G26*F26</f>
        <v>1500</v>
      </c>
      <c r="I26" s="287"/>
    </row>
    <row r="27" spans="2:9" ht="12">
      <c r="B27" s="70" t="s">
        <v>1881</v>
      </c>
      <c r="C27" s="283" t="s">
        <v>2329</v>
      </c>
      <c r="D27" s="285"/>
      <c r="E27" s="70" t="s">
        <v>196</v>
      </c>
      <c r="F27" s="80">
        <v>73700</v>
      </c>
      <c r="G27" s="70">
        <v>0.18</v>
      </c>
      <c r="H27" s="123">
        <f>+G27*F27</f>
        <v>13266</v>
      </c>
      <c r="I27" s="287"/>
    </row>
    <row r="28" spans="2:9" ht="12">
      <c r="B28" s="89"/>
      <c r="C28" s="89"/>
      <c r="D28" s="89"/>
      <c r="E28" s="89"/>
      <c r="F28" s="89"/>
      <c r="G28" s="258" t="s">
        <v>64</v>
      </c>
      <c r="H28" s="258"/>
      <c r="I28" s="85">
        <f>SUM(H24:H27)</f>
        <v>17084.400000000001</v>
      </c>
    </row>
    <row r="29" spans="2:9" ht="12">
      <c r="B29" s="89"/>
      <c r="C29" s="89"/>
      <c r="D29" s="89"/>
      <c r="E29" s="89"/>
      <c r="F29" s="89"/>
      <c r="G29" s="99" t="s">
        <v>72</v>
      </c>
      <c r="H29" s="100">
        <v>0.05</v>
      </c>
      <c r="I29" s="120">
        <f>I28*H29</f>
        <v>854.22000000000014</v>
      </c>
    </row>
    <row r="30" spans="2:9" ht="12">
      <c r="B30" s="89"/>
      <c r="C30" s="89"/>
      <c r="D30" s="89"/>
      <c r="E30" s="89"/>
      <c r="F30" s="89"/>
      <c r="G30" s="258" t="s">
        <v>73</v>
      </c>
      <c r="H30" s="258"/>
      <c r="I30" s="90">
        <f>SUM(I28:I29)</f>
        <v>17938.620000000003</v>
      </c>
    </row>
    <row r="31" spans="2:9" ht="12">
      <c r="B31" s="78"/>
      <c r="C31" s="289" t="s">
        <v>74</v>
      </c>
      <c r="D31" s="289"/>
      <c r="E31" s="78"/>
      <c r="F31" s="78"/>
      <c r="G31" s="78"/>
      <c r="H31" s="78"/>
      <c r="I31" s="79"/>
    </row>
    <row r="32" spans="2:9" ht="12">
      <c r="B32" s="70" t="s">
        <v>42</v>
      </c>
      <c r="C32" s="70" t="s">
        <v>58</v>
      </c>
      <c r="D32" s="70" t="s">
        <v>342</v>
      </c>
      <c r="E32" s="70" t="s">
        <v>1675</v>
      </c>
      <c r="F32" s="70" t="s">
        <v>1333</v>
      </c>
      <c r="G32" s="70" t="s">
        <v>1278</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371</v>
      </c>
      <c r="C38" s="106" t="s">
        <v>1248</v>
      </c>
      <c r="D38" s="106">
        <v>1</v>
      </c>
      <c r="E38" s="106" t="s">
        <v>1236</v>
      </c>
      <c r="F38" s="86">
        <v>55703.125</v>
      </c>
      <c r="G38" s="121">
        <v>0.3</v>
      </c>
      <c r="H38" s="94">
        <f>F38*G38*D38</f>
        <v>16710.9375</v>
      </c>
      <c r="I38" s="294"/>
    </row>
    <row r="39" spans="2:9">
      <c r="B39" s="106"/>
      <c r="C39" s="106"/>
      <c r="D39" s="106"/>
      <c r="E39" s="106"/>
      <c r="F39" s="86"/>
      <c r="G39" s="121"/>
      <c r="H39" s="94"/>
      <c r="I39" s="294"/>
    </row>
    <row r="40" spans="2:9" ht="12">
      <c r="B40" s="108"/>
      <c r="C40" s="109"/>
      <c r="D40" s="109"/>
      <c r="E40" s="109"/>
      <c r="F40" s="110"/>
      <c r="G40" s="110"/>
      <c r="H40" s="111" t="s">
        <v>64</v>
      </c>
      <c r="I40" s="112">
        <f>SUM(H38:H39)</f>
        <v>16710.9375</v>
      </c>
    </row>
    <row r="41" spans="2:9" ht="12">
      <c r="B41" s="295" t="s">
        <v>83</v>
      </c>
      <c r="C41" s="296"/>
      <c r="D41" s="297" t="s">
        <v>77</v>
      </c>
      <c r="E41" s="298"/>
      <c r="F41" s="298"/>
      <c r="G41" s="298"/>
      <c r="H41" s="299"/>
      <c r="I41" s="113">
        <f>ROUND(SUM(I21+I35+I30+I40),0)</f>
        <v>38252</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6E07-0AD5-4F7F-9CE7-B4201723CFFA}">
  <dimension ref="B3:R46"/>
  <sheetViews>
    <sheetView zoomScale="89" zoomScaleNormal="89" workbookViewId="0">
      <selection activeCell="F38" sqref="F38:F4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7" width="11.3984375" style="11"/>
    <col min="18" max="18" width="12.09765625" style="11" bestFit="1" customWidth="1"/>
    <col min="19"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18</v>
      </c>
      <c r="E9" s="276" t="s">
        <v>2288</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18.100000000000001</v>
      </c>
      <c r="C13" s="283" t="s">
        <v>1998</v>
      </c>
      <c r="D13" s="284"/>
      <c r="E13" s="284"/>
      <c r="F13" s="285"/>
      <c r="G13" s="286" t="s">
        <v>2287</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8" ht="12">
      <c r="B17" s="70" t="s">
        <v>42</v>
      </c>
      <c r="C17" s="286" t="s">
        <v>58</v>
      </c>
      <c r="D17" s="286"/>
      <c r="E17" s="70" t="s">
        <v>1</v>
      </c>
      <c r="F17" s="80" t="s">
        <v>59</v>
      </c>
      <c r="G17" s="70" t="s">
        <v>60</v>
      </c>
      <c r="H17" s="80" t="s">
        <v>61</v>
      </c>
      <c r="I17" s="287"/>
    </row>
    <row r="18" spans="2:18">
      <c r="B18" s="71"/>
      <c r="C18" s="288"/>
      <c r="D18" s="265"/>
      <c r="E18" s="71"/>
      <c r="F18" s="83"/>
      <c r="G18" s="84"/>
      <c r="H18" s="85">
        <f>F18*G18</f>
        <v>0</v>
      </c>
      <c r="I18" s="287"/>
    </row>
    <row r="19" spans="2:18">
      <c r="B19" s="71"/>
      <c r="C19" s="288"/>
      <c r="D19" s="265"/>
      <c r="E19" s="71"/>
      <c r="F19" s="83"/>
      <c r="G19" s="122"/>
      <c r="H19" s="85">
        <f>F19*G19</f>
        <v>0</v>
      </c>
      <c r="I19" s="287"/>
    </row>
    <row r="20" spans="2:18">
      <c r="B20" s="71"/>
      <c r="C20" s="288"/>
      <c r="D20" s="265"/>
      <c r="E20" s="71"/>
      <c r="F20" s="83"/>
      <c r="G20" s="122"/>
      <c r="H20" s="85">
        <f>F20*G20</f>
        <v>0</v>
      </c>
      <c r="I20" s="287"/>
    </row>
    <row r="21" spans="2:18" ht="12">
      <c r="B21" s="89"/>
      <c r="C21" s="89"/>
      <c r="D21" s="89"/>
      <c r="E21" s="89"/>
      <c r="F21" s="89"/>
      <c r="G21" s="89"/>
      <c r="H21" s="89" t="s">
        <v>64</v>
      </c>
      <c r="I21" s="90">
        <f>SUM(H18:H20)</f>
        <v>0</v>
      </c>
    </row>
    <row r="22" spans="2:18" ht="12">
      <c r="B22" s="78"/>
      <c r="C22" s="289" t="s">
        <v>65</v>
      </c>
      <c r="D22" s="289"/>
      <c r="E22" s="78"/>
      <c r="F22" s="78"/>
      <c r="G22" s="78"/>
      <c r="H22" s="78"/>
      <c r="I22" s="79"/>
    </row>
    <row r="23" spans="2:18" ht="13.8">
      <c r="B23" s="70" t="s">
        <v>42</v>
      </c>
      <c r="C23" s="286" t="s">
        <v>58</v>
      </c>
      <c r="D23" s="286"/>
      <c r="E23" s="70" t="s">
        <v>1</v>
      </c>
      <c r="F23" s="80" t="s">
        <v>66</v>
      </c>
      <c r="G23" s="70" t="s">
        <v>67</v>
      </c>
      <c r="H23" s="70" t="s">
        <v>61</v>
      </c>
      <c r="I23" s="287"/>
      <c r="N23" s="237"/>
      <c r="O23" s="237"/>
      <c r="P23" s="237"/>
      <c r="Q23" s="238"/>
      <c r="R23" s="238"/>
    </row>
    <row r="24" spans="2:18" ht="13.8">
      <c r="B24" s="70"/>
      <c r="C24" s="283"/>
      <c r="D24" s="285"/>
      <c r="E24" s="70"/>
      <c r="F24" s="80"/>
      <c r="G24" s="70"/>
      <c r="H24" s="123"/>
      <c r="I24" s="287"/>
      <c r="N24" s="239"/>
      <c r="P24" s="240"/>
      <c r="Q24" s="241"/>
      <c r="R24" s="242"/>
    </row>
    <row r="25" spans="2:18" ht="13.8">
      <c r="B25" s="70"/>
      <c r="C25" s="283"/>
      <c r="D25" s="285"/>
      <c r="E25" s="70"/>
      <c r="F25" s="80"/>
      <c r="G25" s="70"/>
      <c r="H25" s="123"/>
      <c r="I25" s="287"/>
      <c r="N25" s="239"/>
      <c r="P25" s="240"/>
      <c r="Q25" s="241"/>
      <c r="R25" s="242"/>
    </row>
    <row r="26" spans="2:18" ht="13.8">
      <c r="B26" s="70"/>
      <c r="C26" s="283"/>
      <c r="D26" s="285"/>
      <c r="E26" s="70"/>
      <c r="F26" s="80"/>
      <c r="G26" s="70"/>
      <c r="H26" s="123"/>
      <c r="I26" s="287"/>
      <c r="N26" s="239"/>
      <c r="P26" s="240"/>
      <c r="Q26" s="241"/>
      <c r="R26" s="242"/>
    </row>
    <row r="27" spans="2:18" ht="13.8">
      <c r="B27" s="70"/>
      <c r="C27" s="283"/>
      <c r="D27" s="285"/>
      <c r="E27" s="70"/>
      <c r="F27" s="80"/>
      <c r="G27" s="70"/>
      <c r="H27" s="123"/>
      <c r="I27" s="287"/>
      <c r="N27" s="239"/>
      <c r="P27" s="240"/>
      <c r="Q27" s="241"/>
      <c r="R27" s="242"/>
    </row>
    <row r="28" spans="2:18" ht="15">
      <c r="B28" s="89"/>
      <c r="C28" s="89"/>
      <c r="D28" s="89"/>
      <c r="E28" s="89"/>
      <c r="F28" s="89"/>
      <c r="G28" s="258" t="s">
        <v>64</v>
      </c>
      <c r="H28" s="258"/>
      <c r="I28" s="85">
        <f>SUM(H24:H27)</f>
        <v>0</v>
      </c>
      <c r="N28" s="239"/>
      <c r="P28" s="240"/>
      <c r="Q28" s="241"/>
      <c r="R28" s="242"/>
    </row>
    <row r="29" spans="2:18" ht="15">
      <c r="B29" s="89"/>
      <c r="C29" s="89"/>
      <c r="D29" s="89"/>
      <c r="E29" s="89"/>
      <c r="F29" s="89"/>
      <c r="G29" s="99" t="s">
        <v>72</v>
      </c>
      <c r="H29" s="100">
        <v>0.05</v>
      </c>
      <c r="I29" s="120">
        <f>I28*H29</f>
        <v>0</v>
      </c>
      <c r="N29" s="239"/>
      <c r="P29" s="240"/>
      <c r="Q29" s="241"/>
      <c r="R29" s="242"/>
    </row>
    <row r="30" spans="2:18" ht="15">
      <c r="B30" s="89"/>
      <c r="C30" s="89"/>
      <c r="D30" s="89"/>
      <c r="E30" s="89"/>
      <c r="F30" s="89"/>
      <c r="G30" s="258" t="s">
        <v>73</v>
      </c>
      <c r="H30" s="258"/>
      <c r="I30" s="90">
        <f>SUM(I28:I29)</f>
        <v>0</v>
      </c>
      <c r="N30" s="239"/>
      <c r="P30" s="240"/>
      <c r="Q30" s="241"/>
      <c r="R30" s="242"/>
    </row>
    <row r="31" spans="2:18" ht="12">
      <c r="B31" s="78"/>
      <c r="C31" s="289" t="s">
        <v>74</v>
      </c>
      <c r="D31" s="289"/>
      <c r="E31" s="78"/>
      <c r="F31" s="78"/>
      <c r="G31" s="78"/>
      <c r="H31" s="78"/>
      <c r="I31" s="79"/>
    </row>
    <row r="32" spans="2:18" ht="12">
      <c r="B32" s="70" t="s">
        <v>42</v>
      </c>
      <c r="C32" s="70" t="s">
        <v>58</v>
      </c>
      <c r="D32" s="70" t="s">
        <v>342</v>
      </c>
      <c r="E32" s="70" t="s">
        <v>1675</v>
      </c>
      <c r="F32" s="70" t="s">
        <v>1333</v>
      </c>
      <c r="G32" s="70" t="s">
        <v>1278</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27.6">
      <c r="B38" s="105"/>
      <c r="C38" s="243" t="s">
        <v>2280</v>
      </c>
      <c r="D38" s="244">
        <v>1</v>
      </c>
      <c r="E38" s="105"/>
      <c r="F38" s="245">
        <v>24000000</v>
      </c>
      <c r="G38" s="244">
        <v>1</v>
      </c>
      <c r="H38" s="94">
        <f t="shared" ref="H38:H44" si="0">F38*G38*D38</f>
        <v>24000000</v>
      </c>
      <c r="I38" s="294"/>
    </row>
    <row r="39" spans="2:9" ht="27.6">
      <c r="B39" s="105"/>
      <c r="C39" s="243" t="s">
        <v>2281</v>
      </c>
      <c r="D39" s="244">
        <v>1</v>
      </c>
      <c r="E39" s="105"/>
      <c r="F39" s="245">
        <v>26000000</v>
      </c>
      <c r="G39" s="244">
        <v>1</v>
      </c>
      <c r="H39" s="94">
        <f t="shared" si="0"/>
        <v>26000000</v>
      </c>
      <c r="I39" s="294"/>
    </row>
    <row r="40" spans="2:9" ht="55.2">
      <c r="B40" s="105"/>
      <c r="C40" s="243" t="s">
        <v>2282</v>
      </c>
      <c r="D40" s="244">
        <v>1</v>
      </c>
      <c r="E40" s="105"/>
      <c r="F40" s="245">
        <v>18000000</v>
      </c>
      <c r="G40" s="244">
        <v>1</v>
      </c>
      <c r="H40" s="94">
        <f t="shared" si="0"/>
        <v>18000000</v>
      </c>
      <c r="I40" s="294"/>
    </row>
    <row r="41" spans="2:9" ht="41.4">
      <c r="B41" s="105"/>
      <c r="C41" s="243" t="s">
        <v>2283</v>
      </c>
      <c r="D41" s="244">
        <v>1</v>
      </c>
      <c r="E41" s="105"/>
      <c r="F41" s="245">
        <v>18000000</v>
      </c>
      <c r="G41" s="244">
        <v>1</v>
      </c>
      <c r="H41" s="94">
        <f t="shared" si="0"/>
        <v>18000000</v>
      </c>
      <c r="I41" s="294"/>
    </row>
    <row r="42" spans="2:9" ht="41.4">
      <c r="B42" s="105"/>
      <c r="C42" s="243" t="s">
        <v>2284</v>
      </c>
      <c r="D42" s="244">
        <v>1</v>
      </c>
      <c r="E42" s="105"/>
      <c r="F42" s="245">
        <v>10000000</v>
      </c>
      <c r="G42" s="244">
        <v>1</v>
      </c>
      <c r="H42" s="94">
        <f t="shared" si="0"/>
        <v>10000000</v>
      </c>
      <c r="I42" s="294"/>
    </row>
    <row r="43" spans="2:9" ht="41.4">
      <c r="B43" s="105"/>
      <c r="C43" s="243" t="s">
        <v>2285</v>
      </c>
      <c r="D43" s="244">
        <v>1</v>
      </c>
      <c r="E43" s="105"/>
      <c r="F43" s="245">
        <v>16000000</v>
      </c>
      <c r="G43" s="244">
        <v>1</v>
      </c>
      <c r="H43" s="94">
        <f t="shared" si="0"/>
        <v>16000000</v>
      </c>
      <c r="I43" s="294"/>
    </row>
    <row r="44" spans="2:9" ht="41.4">
      <c r="B44" s="105"/>
      <c r="C44" s="243" t="s">
        <v>2286</v>
      </c>
      <c r="D44" s="244">
        <v>1</v>
      </c>
      <c r="E44" s="105"/>
      <c r="F44" s="245">
        <v>8000000</v>
      </c>
      <c r="G44" s="244">
        <v>1</v>
      </c>
      <c r="H44" s="94">
        <f t="shared" si="0"/>
        <v>8000000</v>
      </c>
      <c r="I44" s="294"/>
    </row>
    <row r="45" spans="2:9" ht="12">
      <c r="B45" s="108"/>
      <c r="C45" s="109"/>
      <c r="D45" s="109"/>
      <c r="E45" s="109"/>
      <c r="F45" s="110"/>
      <c r="G45" s="110"/>
      <c r="H45" s="111" t="s">
        <v>64</v>
      </c>
      <c r="I45" s="112">
        <f>SUM(H38:H44)</f>
        <v>120000000</v>
      </c>
    </row>
    <row r="46" spans="2:9" ht="12">
      <c r="B46" s="295" t="s">
        <v>83</v>
      </c>
      <c r="C46" s="296"/>
      <c r="D46" s="297" t="s">
        <v>77</v>
      </c>
      <c r="E46" s="298"/>
      <c r="F46" s="298"/>
      <c r="G46" s="298"/>
      <c r="H46" s="299"/>
      <c r="I46" s="113">
        <f>SUM(I21+I35+I30+I45)</f>
        <v>120000000</v>
      </c>
    </row>
  </sheetData>
  <mergeCells count="40">
    <mergeCell ref="I37:I44"/>
    <mergeCell ref="B46:C46"/>
    <mergeCell ref="D46:H46"/>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004A-03AF-4F43-B288-FE6899FD371B}">
  <sheetPr codeName="Hoja18"/>
  <dimension ref="B3:I42"/>
  <sheetViews>
    <sheetView topLeftCell="A9" zoomScale="96" zoomScaleNormal="96" workbookViewId="0">
      <selection activeCell="J20" sqref="J20"/>
    </sheetView>
  </sheetViews>
  <sheetFormatPr baseColWidth="10" defaultColWidth="11.3984375" defaultRowHeight="11.4"/>
  <cols>
    <col min="1" max="2" width="11.3984375" style="11"/>
    <col min="3" max="3" width="25.3984375" style="11" customWidth="1"/>
    <col min="4" max="4" width="20.3984375" style="11" customWidth="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3" t="s">
        <v>29</v>
      </c>
      <c r="C13" s="283" t="s">
        <v>1903</v>
      </c>
      <c r="D13" s="284"/>
      <c r="E13" s="284"/>
      <c r="F13" s="285"/>
      <c r="G13" s="286" t="s">
        <v>2</v>
      </c>
      <c r="H13" s="286"/>
      <c r="I13" s="114">
        <v>4.6120000000000001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0.2</v>
      </c>
      <c r="H19" s="116">
        <f>F19*G19</f>
        <v>2100</v>
      </c>
      <c r="I19" s="287"/>
    </row>
    <row r="20" spans="2:9">
      <c r="B20" s="71" t="s">
        <v>234</v>
      </c>
      <c r="C20" s="288" t="str">
        <f>VLOOKUP(B20,'MAQUINARIA Y EQUIPOS  '!C7:F95,2,FALSE)</f>
        <v xml:space="preserve">Mezcladora </v>
      </c>
      <c r="D20" s="265"/>
      <c r="E20" s="71" t="str">
        <f>VLOOKUP(B20,'MAQUINARIA Y EQUIPOS  '!C7:F95,3,FALSE)</f>
        <v>DIA</v>
      </c>
      <c r="F20" s="86">
        <f>VLOOKUP(B20,'MAQUINARIA Y EQUIPOS  '!C7:F95,4,FALSE)</f>
        <v>150000</v>
      </c>
      <c r="G20" s="115">
        <v>1.7000000000000001E-2</v>
      </c>
      <c r="H20" s="116">
        <f>+F20*G20</f>
        <v>2550</v>
      </c>
      <c r="I20" s="287"/>
    </row>
    <row r="21" spans="2:9">
      <c r="B21" s="71"/>
      <c r="C21" s="253"/>
      <c r="D21" s="258"/>
      <c r="E21" s="88"/>
      <c r="F21" s="86"/>
      <c r="G21" s="87"/>
      <c r="H21" s="130"/>
      <c r="I21" s="287"/>
    </row>
    <row r="22" spans="2:9" ht="12">
      <c r="B22" s="89"/>
      <c r="C22" s="89"/>
      <c r="D22" s="89"/>
      <c r="E22" s="89"/>
      <c r="F22" s="89"/>
      <c r="G22" s="89"/>
      <c r="H22" s="89" t="s">
        <v>64</v>
      </c>
      <c r="I22" s="90">
        <f>SUM(H18:H21)</f>
        <v>5721.4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378</v>
      </c>
      <c r="C25" s="290" t="str">
        <f>VLOOKUP(B25,'INSUMOS '!C7:F616,2,FALSE)</f>
        <v>MORTERO 1:4 ELABORADO OBRA IMPERMEABILIZADO</v>
      </c>
      <c r="D25" s="291"/>
      <c r="E25" s="97" t="str">
        <f>VLOOKUP(B25,'INSUMOS '!C7:F616,3,FALSE)</f>
        <v>M3</v>
      </c>
      <c r="F25" s="98">
        <f>VLOOKUP(B25,'INSUMOS '!C7:F616,4,FALSE)</f>
        <v>644519</v>
      </c>
      <c r="G25" s="71">
        <v>0.02</v>
      </c>
      <c r="H25" s="83">
        <f>+G25*F25</f>
        <v>12890.380000000001</v>
      </c>
      <c r="I25" s="287"/>
    </row>
    <row r="26" spans="2:9">
      <c r="B26" s="71"/>
      <c r="C26" s="290"/>
      <c r="D26" s="291"/>
      <c r="E26" s="97"/>
      <c r="F26" s="117"/>
      <c r="G26" s="71"/>
      <c r="H26" s="83"/>
      <c r="I26" s="287"/>
    </row>
    <row r="27" spans="2:9">
      <c r="B27" s="71"/>
      <c r="C27" s="290"/>
      <c r="D27" s="291"/>
      <c r="E27" s="97"/>
      <c r="F27" s="117"/>
      <c r="G27" s="118"/>
      <c r="H27" s="83"/>
      <c r="I27" s="287"/>
    </row>
    <row r="28" spans="2:9">
      <c r="B28" s="71"/>
      <c r="C28" s="290"/>
      <c r="D28" s="291"/>
      <c r="E28" s="97"/>
      <c r="F28" s="117"/>
      <c r="G28" s="119"/>
      <c r="H28" s="83"/>
      <c r="I28" s="287"/>
    </row>
    <row r="29" spans="2:9" ht="12">
      <c r="B29" s="89"/>
      <c r="C29" s="89"/>
      <c r="D29" s="89"/>
      <c r="E29" s="89"/>
      <c r="F29" s="89"/>
      <c r="G29" s="288" t="s">
        <v>64</v>
      </c>
      <c r="H29" s="265"/>
      <c r="I29" s="85">
        <f>SUM(H25:H28)</f>
        <v>12890.380000000001</v>
      </c>
    </row>
    <row r="30" spans="2:9" ht="12">
      <c r="B30" s="89"/>
      <c r="C30" s="89"/>
      <c r="D30" s="89"/>
      <c r="E30" s="89"/>
      <c r="F30" s="89"/>
      <c r="G30" s="99" t="s">
        <v>72</v>
      </c>
      <c r="H30" s="100">
        <v>0.05</v>
      </c>
      <c r="I30" s="120">
        <f>I29*H30</f>
        <v>644.51900000000012</v>
      </c>
    </row>
    <row r="31" spans="2:9" ht="12">
      <c r="B31" s="89"/>
      <c r="C31" s="89"/>
      <c r="D31" s="89"/>
      <c r="E31" s="89"/>
      <c r="F31" s="89"/>
      <c r="G31" s="288" t="s">
        <v>73</v>
      </c>
      <c r="H31" s="265"/>
      <c r="I31" s="90">
        <f>SUM(I29:I30)</f>
        <v>13534.899000000001</v>
      </c>
    </row>
    <row r="32" spans="2:9"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c r="C34" s="70"/>
      <c r="D34" s="75"/>
      <c r="E34" s="70"/>
      <c r="F34" s="70"/>
      <c r="G34" s="102"/>
      <c r="H34" s="103"/>
      <c r="I34" s="301"/>
    </row>
    <row r="35" spans="2:9">
      <c r="B35" s="71"/>
      <c r="C35" s="71"/>
      <c r="D35" s="82"/>
      <c r="E35" s="71"/>
      <c r="F35" s="71"/>
      <c r="G35" s="86"/>
      <c r="H35" s="86"/>
      <c r="I35" s="301"/>
    </row>
    <row r="36" spans="2:9" ht="12">
      <c r="B36" s="89"/>
      <c r="C36" s="89"/>
      <c r="D36" s="89"/>
      <c r="E36" s="89"/>
      <c r="F36" s="89"/>
      <c r="G36" s="302" t="s">
        <v>64</v>
      </c>
      <c r="H36" s="302"/>
      <c r="I36" s="104">
        <f>+H34</f>
        <v>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31.5" customHeight="1">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0.60499999999999998</v>
      </c>
      <c r="H39" s="94">
        <f>F39*G39*D39</f>
        <v>40043.4375</v>
      </c>
      <c r="I39" s="294"/>
    </row>
    <row r="40" spans="2:9">
      <c r="B40" s="106"/>
      <c r="C40" s="106"/>
      <c r="D40" s="106"/>
      <c r="E40" s="106"/>
      <c r="F40" s="86"/>
      <c r="G40" s="121"/>
      <c r="H40" s="94"/>
      <c r="I40" s="294"/>
    </row>
    <row r="41" spans="2:9" ht="12">
      <c r="B41" s="108"/>
      <c r="C41" s="109"/>
      <c r="D41" s="109"/>
      <c r="E41" s="109"/>
      <c r="F41" s="110"/>
      <c r="G41" s="110"/>
      <c r="H41" s="111" t="s">
        <v>64</v>
      </c>
      <c r="I41" s="112">
        <f>SUM(H39:H40)</f>
        <v>40043.4375</v>
      </c>
    </row>
    <row r="42" spans="2:9" ht="12">
      <c r="B42" s="295" t="s">
        <v>83</v>
      </c>
      <c r="C42" s="296"/>
      <c r="D42" s="297" t="s">
        <v>77</v>
      </c>
      <c r="E42" s="298"/>
      <c r="F42" s="298"/>
      <c r="G42" s="298"/>
      <c r="H42" s="299"/>
      <c r="I42" s="113">
        <f>SUM(I22+I36+I31+I41)</f>
        <v>59299.736499999999</v>
      </c>
    </row>
  </sheetData>
  <mergeCells count="41">
    <mergeCell ref="I38:I40"/>
    <mergeCell ref="B42:C42"/>
    <mergeCell ref="D42:H42"/>
    <mergeCell ref="G29:H29"/>
    <mergeCell ref="G31:H31"/>
    <mergeCell ref="C32:D32"/>
    <mergeCell ref="I33:I35"/>
    <mergeCell ref="G36:H36"/>
    <mergeCell ref="C37:D37"/>
    <mergeCell ref="I17:I21"/>
    <mergeCell ref="C18:D18"/>
    <mergeCell ref="C20:D20"/>
    <mergeCell ref="C21:D21"/>
    <mergeCell ref="C24:D24"/>
    <mergeCell ref="I24:I28"/>
    <mergeCell ref="C25:D25"/>
    <mergeCell ref="C26:D26"/>
    <mergeCell ref="C27:D27"/>
    <mergeCell ref="C28:D28"/>
    <mergeCell ref="C23:D23"/>
    <mergeCell ref="C17:D17"/>
    <mergeCell ref="C19:D19"/>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7DE3-23DC-4017-93ED-B20A5BAB63AF}">
  <sheetPr codeName="Hoja19"/>
  <dimension ref="B3:I42"/>
  <sheetViews>
    <sheetView topLeftCell="A4" zoomScale="91" zoomScaleNormal="91" workbookViewId="0">
      <selection activeCell="T51" sqref="T51"/>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6.25" customHeight="1">
      <c r="B13" s="13" t="s">
        <v>38</v>
      </c>
      <c r="C13" s="283" t="s">
        <v>1904</v>
      </c>
      <c r="D13" s="284"/>
      <c r="E13" s="284"/>
      <c r="F13" s="285"/>
      <c r="G13" s="286" t="s">
        <v>2</v>
      </c>
      <c r="H13" s="286"/>
      <c r="I13" s="114">
        <v>4.6120000000000001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234</v>
      </c>
      <c r="C19" s="288" t="str">
        <f>VLOOKUP(B19,'MAQUINARIA Y EQUIPOS  '!C7:F95,2,FALSE)</f>
        <v xml:space="preserve">Mezcladora </v>
      </c>
      <c r="D19" s="265"/>
      <c r="E19" s="71" t="str">
        <f>VLOOKUP(B19,'MAQUINARIA Y EQUIPOS  '!C7:F95,3,FALSE)</f>
        <v>DIA</v>
      </c>
      <c r="F19" s="86">
        <f>VLOOKUP(B19,'MAQUINARIA Y EQUIPOS  '!C7:F95,4,FALSE)</f>
        <v>150000</v>
      </c>
      <c r="G19" s="115">
        <v>1.7000000000000001E-2</v>
      </c>
      <c r="H19" s="116">
        <f>+F19*G19</f>
        <v>2550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0.2</v>
      </c>
      <c r="H20" s="116">
        <f>+F20*G20</f>
        <v>2100</v>
      </c>
      <c r="I20" s="287"/>
    </row>
    <row r="21" spans="2:9">
      <c r="B21" s="71" t="s">
        <v>123</v>
      </c>
      <c r="C21" s="253" t="str">
        <f>VLOOKUP(B21,'MAQUINARIA Y EQUIPOS  '!C7:F95,2,FALSE)</f>
        <v xml:space="preserve">Andamio colgante </v>
      </c>
      <c r="D21" s="258"/>
      <c r="E21" s="88" t="str">
        <f>VLOOKUP(B21,'MAQUINARIA Y EQUIPOS  '!C7:F95,3,FALSE)</f>
        <v xml:space="preserve">DIA </v>
      </c>
      <c r="F21" s="86">
        <f>VLOOKUP(B21,'MAQUINARIA Y EQUIPOS  '!C7:F95,4,FALSE)</f>
        <v>40000</v>
      </c>
      <c r="G21" s="115">
        <v>0.13300000000000001</v>
      </c>
      <c r="H21" s="130">
        <f>+G21*F21</f>
        <v>5320</v>
      </c>
      <c r="I21" s="287"/>
    </row>
    <row r="22" spans="2:9" ht="12">
      <c r="B22" s="89"/>
      <c r="C22" s="89"/>
      <c r="D22" s="89"/>
      <c r="E22" s="89"/>
      <c r="F22" s="89"/>
      <c r="G22" s="89"/>
      <c r="H22" s="89" t="s">
        <v>64</v>
      </c>
      <c r="I22" s="90">
        <f>SUM(H18:H21)</f>
        <v>11041.4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378</v>
      </c>
      <c r="C25" s="290" t="str">
        <f>VLOOKUP(B25,'INSUMOS '!C7:F616,2,FALSE)</f>
        <v>MORTERO 1:4 ELABORADO OBRA IMPERMEABILIZADO</v>
      </c>
      <c r="D25" s="293"/>
      <c r="E25" s="97" t="str">
        <f>VLOOKUP(B25,'INSUMOS '!C7:F616,3,FALSE)</f>
        <v>M3</v>
      </c>
      <c r="F25" s="117">
        <f>VLOOKUP(B25,'INSUMOS '!C7:F616,4,FALSE)</f>
        <v>644519</v>
      </c>
      <c r="G25" s="71">
        <v>1.4999999999999999E-2</v>
      </c>
      <c r="H25" s="83">
        <f>+G25*F25</f>
        <v>9667.7849999999999</v>
      </c>
      <c r="I25" s="287"/>
    </row>
    <row r="26" spans="2:9">
      <c r="B26" s="71"/>
      <c r="C26" s="290"/>
      <c r="D26" s="293"/>
      <c r="E26" s="97"/>
      <c r="F26" s="117"/>
      <c r="G26" s="71"/>
      <c r="H26" s="83"/>
      <c r="I26" s="287"/>
    </row>
    <row r="27" spans="2:9">
      <c r="B27" s="71"/>
      <c r="C27" s="290"/>
      <c r="D27" s="293"/>
      <c r="E27" s="97"/>
      <c r="F27" s="117"/>
      <c r="G27" s="118"/>
      <c r="H27" s="83"/>
      <c r="I27" s="287"/>
    </row>
    <row r="28" spans="2:9">
      <c r="B28" s="71"/>
      <c r="C28" s="290"/>
      <c r="D28" s="293"/>
      <c r="E28" s="97"/>
      <c r="F28" s="117"/>
      <c r="G28" s="119"/>
      <c r="H28" s="83"/>
      <c r="I28" s="287"/>
    </row>
    <row r="29" spans="2:9" ht="12">
      <c r="B29" s="89"/>
      <c r="C29" s="89"/>
      <c r="D29" s="89"/>
      <c r="E29" s="89"/>
      <c r="F29" s="89"/>
      <c r="G29" s="258" t="s">
        <v>64</v>
      </c>
      <c r="H29" s="258"/>
      <c r="I29" s="85">
        <f>SUM(H25:H28)</f>
        <v>9667.7849999999999</v>
      </c>
    </row>
    <row r="30" spans="2:9" ht="12">
      <c r="B30" s="89"/>
      <c r="C30" s="89"/>
      <c r="D30" s="89"/>
      <c r="E30" s="89"/>
      <c r="F30" s="89"/>
      <c r="G30" s="99" t="s">
        <v>72</v>
      </c>
      <c r="H30" s="100">
        <v>0.05</v>
      </c>
      <c r="I30" s="120">
        <f>I29*H30</f>
        <v>483.38925</v>
      </c>
    </row>
    <row r="31" spans="2:9" ht="12">
      <c r="B31" s="89"/>
      <c r="C31" s="89"/>
      <c r="D31" s="89"/>
      <c r="E31" s="89"/>
      <c r="F31" s="89"/>
      <c r="G31" s="258" t="s">
        <v>73</v>
      </c>
      <c r="H31" s="258"/>
      <c r="I31" s="90">
        <f>SUM(I29:I30)</f>
        <v>10151.17425</v>
      </c>
    </row>
    <row r="32" spans="2:9"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c r="C34" s="70"/>
      <c r="D34" s="75"/>
      <c r="E34" s="70"/>
      <c r="F34" s="70"/>
      <c r="G34" s="102"/>
      <c r="H34" s="103"/>
      <c r="I34" s="301"/>
    </row>
    <row r="35" spans="2:9">
      <c r="B35" s="71"/>
      <c r="C35" s="71"/>
      <c r="D35" s="82"/>
      <c r="E35" s="71"/>
      <c r="F35" s="71"/>
      <c r="G35" s="86"/>
      <c r="H35" s="86"/>
      <c r="I35" s="301"/>
    </row>
    <row r="36" spans="2:9" ht="12">
      <c r="B36" s="89"/>
      <c r="C36" s="89"/>
      <c r="D36" s="89"/>
      <c r="E36" s="89"/>
      <c r="F36" s="89"/>
      <c r="G36" s="302" t="s">
        <v>64</v>
      </c>
      <c r="H36" s="302"/>
      <c r="I36" s="104">
        <f>+H34</f>
        <v>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26.25" customHeight="1">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0.6</v>
      </c>
      <c r="H39" s="94">
        <f>F39*G39*D39</f>
        <v>39712.5</v>
      </c>
      <c r="I39" s="294"/>
    </row>
    <row r="40" spans="2:9">
      <c r="B40" s="106"/>
      <c r="C40" s="106"/>
      <c r="D40" s="106"/>
      <c r="E40" s="106"/>
      <c r="F40" s="86"/>
      <c r="G40" s="121"/>
      <c r="H40" s="94"/>
      <c r="I40" s="294"/>
    </row>
    <row r="41" spans="2:9" ht="12">
      <c r="B41" s="108"/>
      <c r="C41" s="109"/>
      <c r="D41" s="109"/>
      <c r="E41" s="109"/>
      <c r="F41" s="110"/>
      <c r="G41" s="110"/>
      <c r="H41" s="111" t="s">
        <v>64</v>
      </c>
      <c r="I41" s="112">
        <f>SUM(H39:H40)</f>
        <v>39712.5</v>
      </c>
    </row>
    <row r="42" spans="2:9" ht="12">
      <c r="B42" s="295" t="s">
        <v>83</v>
      </c>
      <c r="C42" s="296"/>
      <c r="D42" s="297" t="s">
        <v>77</v>
      </c>
      <c r="E42" s="298"/>
      <c r="F42" s="298"/>
      <c r="G42" s="298"/>
      <c r="H42" s="299"/>
      <c r="I42" s="113">
        <f>SUM(I22+I36+I31+I41)</f>
        <v>60905.074249999998</v>
      </c>
    </row>
  </sheetData>
  <mergeCells count="41">
    <mergeCell ref="I38:I40"/>
    <mergeCell ref="B42:C42"/>
    <mergeCell ref="D42:H42"/>
    <mergeCell ref="G29:H29"/>
    <mergeCell ref="G31:H31"/>
    <mergeCell ref="C32:D32"/>
    <mergeCell ref="I33:I35"/>
    <mergeCell ref="G36:H36"/>
    <mergeCell ref="C37:D37"/>
    <mergeCell ref="I17:I21"/>
    <mergeCell ref="C18:D18"/>
    <mergeCell ref="C19:D19"/>
    <mergeCell ref="C21:D21"/>
    <mergeCell ref="C24:D24"/>
    <mergeCell ref="I24:I28"/>
    <mergeCell ref="C25:D25"/>
    <mergeCell ref="C26:D26"/>
    <mergeCell ref="C27:D27"/>
    <mergeCell ref="C28:D28"/>
    <mergeCell ref="C23:D23"/>
    <mergeCell ref="C17:D17"/>
    <mergeCell ref="C20:D20"/>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6DB3-311B-4D92-8C6A-215964942AFA}">
  <sheetPr codeName="Hoja79"/>
  <dimension ref="B3:I42"/>
  <sheetViews>
    <sheetView topLeftCell="A6" zoomScale="91" zoomScaleNormal="91" workbookViewId="0">
      <selection activeCell="M18" sqref="M18"/>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2.25" customHeight="1">
      <c r="B13" s="13" t="s">
        <v>39</v>
      </c>
      <c r="C13" s="283" t="s">
        <v>1905</v>
      </c>
      <c r="D13" s="284"/>
      <c r="E13" s="284"/>
      <c r="F13" s="285"/>
      <c r="G13" s="286" t="s">
        <v>2</v>
      </c>
      <c r="H13" s="286"/>
      <c r="I13" s="235">
        <v>104.849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234</v>
      </c>
      <c r="C19" s="288" t="str">
        <f>VLOOKUP(B19,'MAQUINARIA Y EQUIPOS  '!C7:F95,2,FALSE)</f>
        <v xml:space="preserve">Mezcladora </v>
      </c>
      <c r="D19" s="265"/>
      <c r="E19" s="71" t="str">
        <f>VLOOKUP(B19,'MAQUINARIA Y EQUIPOS  '!C7:F95,3,FALSE)</f>
        <v>DIA</v>
      </c>
      <c r="F19" s="86">
        <f>VLOOKUP(B19,'MAQUINARIA Y EQUIPOS  '!C7:F95,4,FALSE)</f>
        <v>150000</v>
      </c>
      <c r="G19" s="87">
        <v>1.7000000000000001E-2</v>
      </c>
      <c r="H19" s="116">
        <f>+F19*G19</f>
        <v>2550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0.2</v>
      </c>
      <c r="H20" s="116">
        <f t="shared" ref="H20:H21" si="0">+F20*G20</f>
        <v>2100</v>
      </c>
      <c r="I20" s="287"/>
    </row>
    <row r="21" spans="2:9">
      <c r="B21" s="71" t="s">
        <v>123</v>
      </c>
      <c r="C21" s="253" t="str">
        <f>VLOOKUP(B21,'MAQUINARIA Y EQUIPOS  '!C7:F95,2,FALSE)</f>
        <v xml:space="preserve">Andamio colgante </v>
      </c>
      <c r="D21" s="258"/>
      <c r="E21" s="88" t="str">
        <f>VLOOKUP(B21,'MAQUINARIA Y EQUIPOS  '!C7:F95,3,FALSE)</f>
        <v xml:space="preserve">DIA </v>
      </c>
      <c r="F21" s="86">
        <f>VLOOKUP(B21,'MAQUINARIA Y EQUIPOS  '!C7:F95,4,FALSE)</f>
        <v>40000</v>
      </c>
      <c r="G21" s="115">
        <v>0.1333</v>
      </c>
      <c r="H21" s="116">
        <f t="shared" si="0"/>
        <v>5332</v>
      </c>
      <c r="I21" s="287"/>
    </row>
    <row r="22" spans="2:9" ht="12">
      <c r="B22" s="89"/>
      <c r="C22" s="89"/>
      <c r="D22" s="89"/>
      <c r="E22" s="89"/>
      <c r="F22" s="89"/>
      <c r="G22" s="89"/>
      <c r="H22" s="89" t="s">
        <v>64</v>
      </c>
      <c r="I22" s="90">
        <f>SUM(H18:H21)</f>
        <v>11053.4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378</v>
      </c>
      <c r="C25" s="290" t="str">
        <f>VLOOKUP(B25,'INSUMOS '!C7:F616,2,FALSE)</f>
        <v>MORTERO 1:4 ELABORADO OBRA IMPERMEABILIZADO</v>
      </c>
      <c r="D25" s="293"/>
      <c r="E25" s="97" t="str">
        <f>VLOOKUP(B25,'INSUMOS '!C7:F616,3,FALSE)</f>
        <v>M3</v>
      </c>
      <c r="F25" s="117">
        <f>VLOOKUP(B25,'INSUMOS '!C7:F616,4,FALSE)</f>
        <v>644519</v>
      </c>
      <c r="G25" s="71">
        <v>1.4999999999999999E-2</v>
      </c>
      <c r="H25" s="83">
        <f>+G25*F25</f>
        <v>9667.7849999999999</v>
      </c>
      <c r="I25" s="287"/>
    </row>
    <row r="26" spans="2:9">
      <c r="B26" s="71"/>
      <c r="C26" s="290"/>
      <c r="D26" s="293"/>
      <c r="E26" s="97"/>
      <c r="F26" s="117"/>
      <c r="G26" s="71"/>
      <c r="H26" s="83"/>
      <c r="I26" s="287"/>
    </row>
    <row r="27" spans="2:9">
      <c r="B27" s="71"/>
      <c r="C27" s="290"/>
      <c r="D27" s="293"/>
      <c r="E27" s="97"/>
      <c r="F27" s="117"/>
      <c r="G27" s="118"/>
      <c r="H27" s="83"/>
      <c r="I27" s="287"/>
    </row>
    <row r="28" spans="2:9">
      <c r="B28" s="71"/>
      <c r="C28" s="290"/>
      <c r="D28" s="293"/>
      <c r="E28" s="97"/>
      <c r="F28" s="117"/>
      <c r="G28" s="119"/>
      <c r="H28" s="83"/>
      <c r="I28" s="287"/>
    </row>
    <row r="29" spans="2:9" ht="12">
      <c r="B29" s="89"/>
      <c r="C29" s="89"/>
      <c r="D29" s="89"/>
      <c r="E29" s="89"/>
      <c r="F29" s="89"/>
      <c r="G29" s="258" t="s">
        <v>64</v>
      </c>
      <c r="H29" s="258"/>
      <c r="I29" s="85">
        <f>SUM(H25:H28)</f>
        <v>9667.7849999999999</v>
      </c>
    </row>
    <row r="30" spans="2:9" ht="12">
      <c r="B30" s="89"/>
      <c r="C30" s="89"/>
      <c r="D30" s="89"/>
      <c r="E30" s="89"/>
      <c r="F30" s="89"/>
      <c r="G30" s="99" t="s">
        <v>72</v>
      </c>
      <c r="H30" s="100">
        <v>0.05</v>
      </c>
      <c r="I30" s="120">
        <f>I29*H30</f>
        <v>483.38925</v>
      </c>
    </row>
    <row r="31" spans="2:9" ht="12">
      <c r="B31" s="89"/>
      <c r="C31" s="89"/>
      <c r="D31" s="89"/>
      <c r="E31" s="89"/>
      <c r="F31" s="89"/>
      <c r="G31" s="258" t="s">
        <v>73</v>
      </c>
      <c r="H31" s="258"/>
      <c r="I31" s="90">
        <f>SUM(I29:I30)</f>
        <v>10151.17425</v>
      </c>
    </row>
    <row r="32" spans="2:9"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c r="C34" s="70"/>
      <c r="D34" s="75"/>
      <c r="E34" s="70"/>
      <c r="F34" s="70"/>
      <c r="G34" s="102"/>
      <c r="H34" s="103"/>
      <c r="I34" s="301"/>
    </row>
    <row r="35" spans="2:9">
      <c r="B35" s="71"/>
      <c r="C35" s="71"/>
      <c r="D35" s="82"/>
      <c r="E35" s="71"/>
      <c r="F35" s="71"/>
      <c r="G35" s="86"/>
      <c r="H35" s="86"/>
      <c r="I35" s="301"/>
    </row>
    <row r="36" spans="2:9" ht="12">
      <c r="B36" s="89"/>
      <c r="C36" s="89"/>
      <c r="D36" s="89"/>
      <c r="E36" s="89"/>
      <c r="F36" s="89"/>
      <c r="G36" s="302" t="s">
        <v>64</v>
      </c>
      <c r="H36" s="302"/>
      <c r="I36" s="104">
        <f>+H34</f>
        <v>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38.25" customHeight="1">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0.6</v>
      </c>
      <c r="H39" s="94">
        <f>F39*G39*D39</f>
        <v>39712.5</v>
      </c>
      <c r="I39" s="294"/>
    </row>
    <row r="40" spans="2:9">
      <c r="B40" s="106"/>
      <c r="C40" s="106"/>
      <c r="D40" s="106"/>
      <c r="E40" s="106"/>
      <c r="F40" s="86"/>
      <c r="G40" s="121"/>
      <c r="H40" s="94"/>
      <c r="I40" s="294"/>
    </row>
    <row r="41" spans="2:9" ht="12">
      <c r="B41" s="108"/>
      <c r="C41" s="109"/>
      <c r="D41" s="109"/>
      <c r="E41" s="109"/>
      <c r="F41" s="110"/>
      <c r="G41" s="110"/>
      <c r="H41" s="111" t="s">
        <v>64</v>
      </c>
      <c r="I41" s="112">
        <f>SUM(H39:H40)</f>
        <v>39712.5</v>
      </c>
    </row>
    <row r="42" spans="2:9" ht="12">
      <c r="B42" s="295" t="s">
        <v>83</v>
      </c>
      <c r="C42" s="296"/>
      <c r="D42" s="297" t="s">
        <v>77</v>
      </c>
      <c r="E42" s="298"/>
      <c r="F42" s="298"/>
      <c r="G42" s="298"/>
      <c r="H42" s="299"/>
      <c r="I42" s="113">
        <f>SUM(I22+I36+I31+I41)</f>
        <v>60917.074249999998</v>
      </c>
    </row>
  </sheetData>
  <mergeCells count="41">
    <mergeCell ref="I38:I40"/>
    <mergeCell ref="B42:C42"/>
    <mergeCell ref="D42:H42"/>
    <mergeCell ref="G29:H29"/>
    <mergeCell ref="G31:H31"/>
    <mergeCell ref="C32:D32"/>
    <mergeCell ref="I33:I35"/>
    <mergeCell ref="G36:H36"/>
    <mergeCell ref="C37:D37"/>
    <mergeCell ref="C23:D23"/>
    <mergeCell ref="C24:D24"/>
    <mergeCell ref="I24:I28"/>
    <mergeCell ref="C25:D25"/>
    <mergeCell ref="C26:D26"/>
    <mergeCell ref="C27:D27"/>
    <mergeCell ref="C28:D28"/>
    <mergeCell ref="C17:D17"/>
    <mergeCell ref="I17:I21"/>
    <mergeCell ref="C18:D18"/>
    <mergeCell ref="C19:D19"/>
    <mergeCell ref="C20:D20"/>
    <mergeCell ref="C21:D21"/>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7DC39-6382-42E9-8331-0024B8E07683}">
  <sheetPr codeName="Hoja80">
    <pageSetUpPr fitToPage="1"/>
  </sheetPr>
  <dimension ref="B3:I44"/>
  <sheetViews>
    <sheetView topLeftCell="A12" zoomScale="91" zoomScaleNormal="91" zoomScaleSheetLayoutView="89" workbookViewId="0">
      <selection activeCell="J38" sqref="J38"/>
    </sheetView>
  </sheetViews>
  <sheetFormatPr baseColWidth="10" defaultColWidth="11.3984375" defaultRowHeight="11.4"/>
  <cols>
    <col min="1" max="2" width="11.3984375" style="11"/>
    <col min="3" max="3" width="25.3984375" style="11" customWidth="1"/>
    <col min="4" max="4" width="20.296875" style="11" customWidth="1"/>
    <col min="5" max="5" width="29.3984375" style="11" customWidth="1"/>
    <col min="6" max="6" width="22.3984375" style="11" customWidth="1"/>
    <col min="7" max="7" width="17.09765625" style="11" customWidth="1"/>
    <col min="8" max="8" width="20.69921875" style="11" customWidth="1"/>
    <col min="9" max="9" width="15.6992187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2</v>
      </c>
      <c r="E9" s="276" t="s">
        <v>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4.75" customHeight="1">
      <c r="B13" s="13" t="s">
        <v>40</v>
      </c>
      <c r="C13" s="283" t="s">
        <v>1906</v>
      </c>
      <c r="D13" s="284"/>
      <c r="E13" s="284"/>
      <c r="F13" s="285"/>
      <c r="G13" s="286" t="s">
        <v>2</v>
      </c>
      <c r="H13" s="286"/>
      <c r="I13" s="17">
        <v>64.063999999999993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234</v>
      </c>
      <c r="C19" s="288" t="str">
        <f>VLOOKUP(B19,'MAQUINARIA Y EQUIPOS  '!C7:F95,2,FALSE)</f>
        <v xml:space="preserve">Mezcladora </v>
      </c>
      <c r="D19" s="265"/>
      <c r="E19" s="71" t="str">
        <f>VLOOKUP(B19,'MAQUINARIA Y EQUIPOS  '!C7:F95,3,FALSE)</f>
        <v>DIA</v>
      </c>
      <c r="F19" s="86">
        <f>VLOOKUP(B19,'MAQUINARIA Y EQUIPOS  '!C7:F95,4,FALSE)</f>
        <v>150000</v>
      </c>
      <c r="G19" s="87">
        <v>1.7000000000000001E-2</v>
      </c>
      <c r="H19" s="116">
        <f t="shared" ref="H19" si="0">F19*G19</f>
        <v>2550</v>
      </c>
      <c r="I19" s="287"/>
    </row>
    <row r="20" spans="2:9">
      <c r="B20" s="71" t="s">
        <v>1267</v>
      </c>
      <c r="C20" s="288" t="str">
        <f>VLOOKUP(B20,'MAQUINARIA Y EQUIPOS  '!C3:F193,2,FALSE)</f>
        <v xml:space="preserve">Pluma grua </v>
      </c>
      <c r="D20" s="265"/>
      <c r="E20" s="88" t="str">
        <f>VLOOKUP(B20,'MAQUINARIA Y EQUIPOS  '!C7:F95,3,FALSE)</f>
        <v>HH</v>
      </c>
      <c r="F20" s="86">
        <f>VLOOKUP(B20,'MAQUINARIA Y EQUIPOS  '!C7:F95,4,FALSE)</f>
        <v>10500</v>
      </c>
      <c r="G20" s="71">
        <v>0.2</v>
      </c>
      <c r="H20" s="116">
        <f>F20*G20</f>
        <v>2100</v>
      </c>
      <c r="I20" s="287"/>
    </row>
    <row r="21" spans="2:9">
      <c r="B21" s="71" t="s">
        <v>123</v>
      </c>
      <c r="C21" s="253" t="str">
        <f>VLOOKUP(B21,'MAQUINARIA Y EQUIPOS  '!C7:F95,2,FALSE)</f>
        <v xml:space="preserve">Andamio colgante </v>
      </c>
      <c r="D21" s="258"/>
      <c r="E21" s="88" t="str">
        <f>VLOOKUP(B21,'MAQUINARIA Y EQUIPOS  '!C7:F95,3,FALSE)</f>
        <v xml:space="preserve">DIA </v>
      </c>
      <c r="F21" s="86">
        <f>VLOOKUP(B21,'MAQUINARIA Y EQUIPOS  '!C7:F95,4,FALSE)</f>
        <v>40000</v>
      </c>
      <c r="G21" s="115">
        <v>0.1333</v>
      </c>
      <c r="H21" s="116">
        <f t="shared" ref="H21" si="1">+F21*G21</f>
        <v>5332</v>
      </c>
      <c r="I21" s="287"/>
    </row>
    <row r="22" spans="2:9">
      <c r="B22" s="71" t="s">
        <v>1597</v>
      </c>
      <c r="C22" s="288" t="s">
        <v>1598</v>
      </c>
      <c r="D22" s="265"/>
      <c r="E22" s="88" t="s">
        <v>328</v>
      </c>
      <c r="F22" s="86">
        <v>75000</v>
      </c>
      <c r="G22" s="71">
        <v>0.2</v>
      </c>
      <c r="H22" s="116">
        <f>F22*G22</f>
        <v>15000</v>
      </c>
      <c r="I22" s="287"/>
    </row>
    <row r="23" spans="2:9" ht="12">
      <c r="B23" s="89"/>
      <c r="C23" s="89"/>
      <c r="D23" s="89"/>
      <c r="E23" s="89"/>
      <c r="F23" s="89"/>
      <c r="G23" s="89"/>
      <c r="H23" s="89" t="s">
        <v>64</v>
      </c>
      <c r="I23" s="90">
        <f>SUM(H18:H22)</f>
        <v>27124.799999999999</v>
      </c>
    </row>
    <row r="24" spans="2:9" ht="12">
      <c r="B24" s="78"/>
      <c r="C24" s="289" t="s">
        <v>65</v>
      </c>
      <c r="D24" s="289"/>
      <c r="E24" s="78"/>
      <c r="F24" s="78"/>
      <c r="G24" s="78"/>
      <c r="H24" s="78"/>
      <c r="I24" s="79"/>
    </row>
    <row r="25" spans="2:9" ht="12">
      <c r="B25" s="70" t="s">
        <v>42</v>
      </c>
      <c r="C25" s="286" t="s">
        <v>58</v>
      </c>
      <c r="D25" s="286"/>
      <c r="E25" s="70" t="s">
        <v>1</v>
      </c>
      <c r="F25" s="80" t="s">
        <v>66</v>
      </c>
      <c r="G25" s="70" t="s">
        <v>67</v>
      </c>
      <c r="H25" s="70" t="s">
        <v>61</v>
      </c>
      <c r="I25" s="287"/>
    </row>
    <row r="26" spans="2:9">
      <c r="B26" s="71" t="s">
        <v>1279</v>
      </c>
      <c r="C26" s="290" t="str">
        <f>VLOOKUP(B26,'INSUMOS '!C2:G949,2,FALSE)</f>
        <v xml:space="preserve">Mortero de reparacio sikatop-122 25kg </v>
      </c>
      <c r="D26" s="291"/>
      <c r="E26" s="97" t="str">
        <f>VLOOKUP(B26,'INSUMOS '!C2:G949,3,FALSE)</f>
        <v>KG</v>
      </c>
      <c r="F26" s="98">
        <f>VLOOKUP(B26,'INSUMOS '!C2:G949,4,FALSE)</f>
        <v>8236</v>
      </c>
      <c r="G26" s="71">
        <v>10</v>
      </c>
      <c r="H26" s="83">
        <f>+G26*F26</f>
        <v>82360</v>
      </c>
      <c r="I26" s="287"/>
    </row>
    <row r="27" spans="2:9">
      <c r="B27" s="71" t="s">
        <v>1589</v>
      </c>
      <c r="C27" s="290" t="str">
        <f>VLOOKUP(B27,'INSUMOS '!C3:G950,2,FALSE)</f>
        <v>SikaTop Armatec-110 (Inhibidor de corrosion ) 20kg</v>
      </c>
      <c r="D27" s="291"/>
      <c r="E27" s="97" t="str">
        <f>VLOOKUP(B27,'INSUMOS '!C3:G950,3,FALSE)</f>
        <v xml:space="preserve">kg </v>
      </c>
      <c r="F27" s="98">
        <f>VLOOKUP(B27,'INSUMOS '!C3:G950,4,FALSE)</f>
        <v>61000</v>
      </c>
      <c r="G27" s="71">
        <v>0.4</v>
      </c>
      <c r="H27" s="83">
        <f>+G27*F27</f>
        <v>24400</v>
      </c>
      <c r="I27" s="287"/>
    </row>
    <row r="28" spans="2:9">
      <c r="B28" s="71" t="s">
        <v>1591</v>
      </c>
      <c r="C28" s="290" t="str">
        <f>VLOOKUP(B28,'INSUMOS '!C4:G951,2,FALSE)</f>
        <v>Sikaflex-1A (Masilla elástica para fisuras)</v>
      </c>
      <c r="D28" s="291"/>
      <c r="E28" s="97" t="str">
        <f>VLOOKUP(B28,'INSUMOS '!C4:G951,3,FALSE)</f>
        <v xml:space="preserve">UND </v>
      </c>
      <c r="F28" s="98">
        <f>VLOOKUP(B28,'INSUMOS '!C4:G951,4,FALSE)</f>
        <v>58900</v>
      </c>
      <c r="G28" s="71">
        <v>0.15</v>
      </c>
      <c r="H28" s="83">
        <f>+G28*F28</f>
        <v>8835</v>
      </c>
      <c r="I28" s="287"/>
    </row>
    <row r="29" spans="2:9">
      <c r="B29" s="71" t="s">
        <v>1593</v>
      </c>
      <c r="C29" s="290" t="str">
        <f>VLOOKUP(B29,'INSUMOS '!C4:G951,2,FALSE)</f>
        <v xml:space="preserve">Discos de pulidora </v>
      </c>
      <c r="D29" s="291"/>
      <c r="E29" s="97" t="str">
        <f>VLOOKUP(B29,'INSUMOS '!C4:G951,3,FALSE)</f>
        <v xml:space="preserve">und </v>
      </c>
      <c r="F29" s="98">
        <f>VLOOKUP(B29,'INSUMOS '!C4:G951,4,FALSE)</f>
        <v>15000</v>
      </c>
      <c r="G29" s="71">
        <v>0.2</v>
      </c>
      <c r="H29" s="83">
        <f>+G29*F29</f>
        <v>3000</v>
      </c>
      <c r="I29" s="287"/>
    </row>
    <row r="30" spans="2:9">
      <c r="B30" s="71" t="s">
        <v>1595</v>
      </c>
      <c r="C30" s="290" t="str">
        <f>VLOOKUP(B30,'INSUMOS '!C5:G952,2,FALSE)</f>
        <v xml:space="preserve">bolsas de lona de alta densidad aseo </v>
      </c>
      <c r="D30" s="291"/>
      <c r="E30" s="97" t="str">
        <f>VLOOKUP(B30,'INSUMOS '!C5:G952,3,FALSE)</f>
        <v xml:space="preserve">und </v>
      </c>
      <c r="F30" s="98">
        <f>VLOOKUP(B30,'INSUMOS '!C5:G952,4,FALSE)</f>
        <v>1500</v>
      </c>
      <c r="G30" s="71">
        <v>2</v>
      </c>
      <c r="H30" s="83">
        <f>+G30*F30</f>
        <v>3000</v>
      </c>
      <c r="I30" s="287"/>
    </row>
    <row r="31" spans="2:9" ht="12">
      <c r="B31" s="89"/>
      <c r="C31" s="89"/>
      <c r="D31" s="89"/>
      <c r="E31" s="89"/>
      <c r="F31" s="89"/>
      <c r="G31" s="288" t="s">
        <v>64</v>
      </c>
      <c r="H31" s="265"/>
      <c r="I31" s="85">
        <f>SUM(H26:H30)</f>
        <v>121595</v>
      </c>
    </row>
    <row r="32" spans="2:9" ht="12">
      <c r="B32" s="89"/>
      <c r="C32" s="89"/>
      <c r="D32" s="89"/>
      <c r="E32" s="89"/>
      <c r="F32" s="89"/>
      <c r="G32" s="99" t="s">
        <v>72</v>
      </c>
      <c r="H32" s="100">
        <v>0.05</v>
      </c>
      <c r="I32" s="120">
        <f>I31*H32</f>
        <v>6079.75</v>
      </c>
    </row>
    <row r="33" spans="2:9" ht="12">
      <c r="B33" s="89"/>
      <c r="C33" s="89"/>
      <c r="D33" s="89"/>
      <c r="E33" s="89"/>
      <c r="F33" s="89"/>
      <c r="G33" s="288" t="s">
        <v>73</v>
      </c>
      <c r="H33" s="265"/>
      <c r="I33" s="90">
        <f>SUM(I31:I32)</f>
        <v>127674.75</v>
      </c>
    </row>
    <row r="34" spans="2:9" ht="12">
      <c r="B34" s="78"/>
      <c r="C34" s="289" t="s">
        <v>74</v>
      </c>
      <c r="D34" s="289"/>
      <c r="E34" s="78"/>
      <c r="F34" s="78"/>
      <c r="G34" s="78"/>
      <c r="H34" s="78"/>
      <c r="I34" s="79"/>
    </row>
    <row r="35" spans="2:9" ht="12">
      <c r="B35" s="70" t="s">
        <v>42</v>
      </c>
      <c r="C35" s="70" t="s">
        <v>58</v>
      </c>
      <c r="D35" s="70" t="s">
        <v>342</v>
      </c>
      <c r="E35" s="70" t="s">
        <v>343</v>
      </c>
      <c r="F35" s="70" t="s">
        <v>344</v>
      </c>
      <c r="G35" s="70" t="s">
        <v>345</v>
      </c>
      <c r="H35" s="74" t="s">
        <v>61</v>
      </c>
      <c r="I35" s="300"/>
    </row>
    <row r="36" spans="2:9" ht="12">
      <c r="B36" s="70" t="s">
        <v>192</v>
      </c>
      <c r="C36" s="70" t="str">
        <f>VLOOKUP(B36,'MAQUINARIA Y EQUIPOS  '!C8:F96,2,FALSE)</f>
        <v>Volqueta de 8 m3</v>
      </c>
      <c r="D36" s="75" t="str">
        <f>VLOOKUP(B36,'MAQUINARIA Y EQUIPOS  '!C8:F96,3,FALSE)</f>
        <v>m3/km</v>
      </c>
      <c r="E36" s="70">
        <v>2.5000000000000001E-2</v>
      </c>
      <c r="F36" s="70">
        <v>19</v>
      </c>
      <c r="G36" s="102">
        <f>VLOOKUP(B36,'MAQUINARIA Y EQUIPOS  '!C8:F96,4,FALSE)</f>
        <v>1500</v>
      </c>
      <c r="H36" s="103">
        <f>+F36*G36*E36</f>
        <v>712.5</v>
      </c>
      <c r="I36" s="301"/>
    </row>
    <row r="37" spans="2:9">
      <c r="B37" s="71"/>
      <c r="C37" s="71"/>
      <c r="D37" s="82"/>
      <c r="E37" s="71"/>
      <c r="F37" s="71"/>
      <c r="G37" s="86"/>
      <c r="H37" s="86"/>
      <c r="I37" s="301"/>
    </row>
    <row r="38" spans="2:9" ht="12">
      <c r="B38" s="89"/>
      <c r="C38" s="89"/>
      <c r="D38" s="89"/>
      <c r="E38" s="89"/>
      <c r="F38" s="89"/>
      <c r="G38" s="270" t="s">
        <v>64</v>
      </c>
      <c r="H38" s="260"/>
      <c r="I38" s="104">
        <f>+H36</f>
        <v>712.5</v>
      </c>
    </row>
    <row r="39" spans="2:9" ht="12">
      <c r="B39" s="78"/>
      <c r="C39" s="289" t="s">
        <v>75</v>
      </c>
      <c r="D39" s="289"/>
      <c r="E39" s="78"/>
      <c r="F39" s="78"/>
      <c r="G39" s="78"/>
      <c r="H39" s="78"/>
      <c r="I39" s="79"/>
    </row>
    <row r="40" spans="2:9" ht="12">
      <c r="B40" s="105" t="s">
        <v>42</v>
      </c>
      <c r="C40" s="105" t="s">
        <v>76</v>
      </c>
      <c r="D40" s="105" t="s">
        <v>1225</v>
      </c>
      <c r="E40" s="105" t="s">
        <v>1</v>
      </c>
      <c r="F40" s="105" t="s">
        <v>77</v>
      </c>
      <c r="G40" s="105" t="s">
        <v>78</v>
      </c>
      <c r="H40" s="105" t="s">
        <v>79</v>
      </c>
      <c r="I40" s="294"/>
    </row>
    <row r="41" spans="2:9" ht="39" customHeight="1">
      <c r="B41" s="106" t="s">
        <v>356</v>
      </c>
      <c r="C41" s="106" t="str">
        <f>+VLOOKUP(B41,'MANO DE OBRA '!B23:G46,2,FALSE)</f>
        <v>Cuadrilla de construccion 1(1 oficial+ 1 ayudante)</v>
      </c>
      <c r="D41" s="106">
        <v>1</v>
      </c>
      <c r="E41" s="106" t="str">
        <f>+VLOOKUP(B41,'MANO DE OBRA '!B23:G46,4,FALSE)</f>
        <v>Hora</v>
      </c>
      <c r="F41" s="86">
        <f>+VLOOKUP(B41,'MANO DE OBRA '!B23:G46,3,FALSE)</f>
        <v>48437.5</v>
      </c>
      <c r="G41" s="121">
        <v>1</v>
      </c>
      <c r="H41" s="94">
        <f>F41*G41*D41</f>
        <v>48437.5</v>
      </c>
      <c r="I41" s="294"/>
    </row>
    <row r="42" spans="2:9">
      <c r="B42" s="106"/>
      <c r="C42" s="106"/>
      <c r="D42" s="106"/>
      <c r="E42" s="106"/>
      <c r="F42" s="86"/>
      <c r="G42" s="121"/>
      <c r="H42" s="94"/>
      <c r="I42" s="294"/>
    </row>
    <row r="43" spans="2:9" ht="12">
      <c r="B43" s="108"/>
      <c r="C43" s="109"/>
      <c r="D43" s="109"/>
      <c r="E43" s="109"/>
      <c r="F43" s="110"/>
      <c r="G43" s="110"/>
      <c r="H43" s="111" t="s">
        <v>64</v>
      </c>
      <c r="I43" s="112">
        <f>SUM(H41:H42)</f>
        <v>48437.5</v>
      </c>
    </row>
    <row r="44" spans="2:9" ht="12">
      <c r="B44" s="295" t="s">
        <v>83</v>
      </c>
      <c r="C44" s="296"/>
      <c r="D44" s="297" t="s">
        <v>77</v>
      </c>
      <c r="E44" s="298"/>
      <c r="F44" s="298"/>
      <c r="G44" s="298"/>
      <c r="H44" s="299"/>
      <c r="I44" s="113">
        <f>SUM(I23+I38+I33+I43)</f>
        <v>203949.55</v>
      </c>
    </row>
  </sheetData>
  <mergeCells count="43">
    <mergeCell ref="I40:I42"/>
    <mergeCell ref="B44:C44"/>
    <mergeCell ref="D44:H44"/>
    <mergeCell ref="C34:D34"/>
    <mergeCell ref="I35:I37"/>
    <mergeCell ref="G38:H38"/>
    <mergeCell ref="C39:D39"/>
    <mergeCell ref="I17:I22"/>
    <mergeCell ref="C18:D18"/>
    <mergeCell ref="C19:D19"/>
    <mergeCell ref="C22:D22"/>
    <mergeCell ref="C25:D25"/>
    <mergeCell ref="I25:I30"/>
    <mergeCell ref="C26:D26"/>
    <mergeCell ref="C27:D27"/>
    <mergeCell ref="C28:D28"/>
    <mergeCell ref="C30:D30"/>
    <mergeCell ref="C29:D29"/>
    <mergeCell ref="C24:D24"/>
    <mergeCell ref="C20:D20"/>
    <mergeCell ref="C17:D17"/>
    <mergeCell ref="C13:F13"/>
    <mergeCell ref="G13:H13"/>
    <mergeCell ref="C14:E14"/>
    <mergeCell ref="F14:H14"/>
    <mergeCell ref="C15:E15"/>
    <mergeCell ref="F15:H15"/>
    <mergeCell ref="G33:H33"/>
    <mergeCell ref="G31:H31"/>
    <mergeCell ref="C21:D21"/>
    <mergeCell ref="B3:C7"/>
    <mergeCell ref="D3:E5"/>
    <mergeCell ref="G3:I3"/>
    <mergeCell ref="H4:I4"/>
    <mergeCell ref="G5:I5"/>
    <mergeCell ref="D6:E7"/>
    <mergeCell ref="F6:I7"/>
    <mergeCell ref="B9:C10"/>
    <mergeCell ref="D9:D10"/>
    <mergeCell ref="E9:I10"/>
    <mergeCell ref="B11:I11"/>
    <mergeCell ref="C12:F12"/>
    <mergeCell ref="G12:H12"/>
  </mergeCells>
  <pageMargins left="0.25" right="0.25" top="0.75" bottom="0.75" header="0.3" footer="0.3"/>
  <pageSetup paperSize="9" scale="56" orientation="portrait" horizontalDpi="360" verticalDpi="36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0B1F8-D425-4928-9A02-4A781596870A}">
  <sheetPr codeName="Hoja22"/>
  <dimension ref="B3:I41"/>
  <sheetViews>
    <sheetView topLeftCell="A3" zoomScale="91" zoomScaleNormal="91" workbookViewId="0">
      <selection activeCell="K8" sqref="K8"/>
    </sheetView>
  </sheetViews>
  <sheetFormatPr baseColWidth="10" defaultColWidth="11.3984375" defaultRowHeight="11.4"/>
  <cols>
    <col min="1" max="2" width="11.3984375" style="11"/>
    <col min="3" max="3" width="38.69921875" style="11" bestFit="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3</v>
      </c>
      <c r="E9" s="276" t="s">
        <v>7</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3" t="s">
        <v>14</v>
      </c>
      <c r="C13" s="283" t="s">
        <v>1907</v>
      </c>
      <c r="D13" s="284"/>
      <c r="E13" s="284"/>
      <c r="F13" s="285"/>
      <c r="G13" s="286" t="s">
        <v>2</v>
      </c>
      <c r="H13" s="286"/>
      <c r="I13" s="114">
        <v>40.04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234</v>
      </c>
      <c r="C19" s="288" t="str">
        <f>VLOOKUP(B19,'MAQUINARIA Y EQUIPOS  '!C7:F95,2,FALSE)</f>
        <v xml:space="preserve">Mezcladora </v>
      </c>
      <c r="D19" s="265"/>
      <c r="E19" s="71" t="str">
        <f>VLOOKUP(B19,'MAQUINARIA Y EQUIPOS  '!C7:F95,3,FALSE)</f>
        <v>DIA</v>
      </c>
      <c r="F19" s="83">
        <f>VLOOKUP(B19,'MAQUINARIA Y EQUIPOS  '!C7:F95,4,FALSE)</f>
        <v>150000</v>
      </c>
      <c r="G19" s="129">
        <v>0.02</v>
      </c>
      <c r="H19" s="85">
        <f t="shared" ref="H19:H20" si="0">F19*G19</f>
        <v>3000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0.41</v>
      </c>
      <c r="H20" s="85">
        <f t="shared" si="0"/>
        <v>4305</v>
      </c>
      <c r="I20" s="287"/>
    </row>
    <row r="21" spans="2:9" ht="12">
      <c r="B21" s="89"/>
      <c r="C21" s="89"/>
      <c r="D21" s="89"/>
      <c r="E21" s="89"/>
      <c r="F21" s="89"/>
      <c r="G21" s="89"/>
      <c r="H21" s="89" t="s">
        <v>64</v>
      </c>
      <c r="I21" s="90">
        <f>SUM(H18:H20)</f>
        <v>8376.4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134</v>
      </c>
      <c r="C24" s="290" t="str">
        <f>VLOOKUP(B24,'INSUMOS '!C7:F616,2,FALSE)</f>
        <v>MORTERO  1:4</v>
      </c>
      <c r="D24" s="293"/>
      <c r="E24" s="97" t="str">
        <f>VLOOKUP(B24,'INSUMOS '!C7:F616,3,FALSE)</f>
        <v>M3</v>
      </c>
      <c r="F24" s="117">
        <f>VLOOKUP(B24,'INSUMOS '!C7:F616,4,FALSE)</f>
        <v>459006.31</v>
      </c>
      <c r="G24" s="71">
        <v>1.4999999999999999E-2</v>
      </c>
      <c r="H24" s="83">
        <f>+G24*F24</f>
        <v>6885.09465</v>
      </c>
      <c r="I24" s="287"/>
    </row>
    <row r="25" spans="2:9">
      <c r="B25" s="71" t="s">
        <v>133</v>
      </c>
      <c r="C25" s="290" t="str">
        <f>VLOOKUP(B25,'INSUMOS '!C7:F616,2,FALSE)</f>
        <v>BLOQUE DE CEMENTO 0,09*0,19*0,39</v>
      </c>
      <c r="D25" s="293"/>
      <c r="E25" s="97" t="str">
        <f>VLOOKUP(B25,'INSUMOS '!C7:F616,3,FALSE)</f>
        <v>UND</v>
      </c>
      <c r="F25" s="117">
        <f>VLOOKUP(B25,'INSUMOS '!C7:F616,4,FALSE)</f>
        <v>3200</v>
      </c>
      <c r="G25" s="71">
        <v>12.5</v>
      </c>
      <c r="H25" s="83">
        <f>+G25*F25</f>
        <v>40000</v>
      </c>
      <c r="I25" s="287"/>
    </row>
    <row r="26" spans="2:9">
      <c r="B26" s="71"/>
      <c r="C26" s="290"/>
      <c r="D26" s="293"/>
      <c r="E26" s="97"/>
      <c r="F26" s="117"/>
      <c r="G26" s="118"/>
      <c r="H26" s="83"/>
      <c r="I26" s="287"/>
    </row>
    <row r="27" spans="2:9">
      <c r="B27" s="71"/>
      <c r="C27" s="290"/>
      <c r="D27" s="293"/>
      <c r="E27" s="97"/>
      <c r="F27" s="117"/>
      <c r="G27" s="119"/>
      <c r="H27" s="83"/>
      <c r="I27" s="287"/>
    </row>
    <row r="28" spans="2:9" ht="12">
      <c r="B28" s="89"/>
      <c r="C28" s="89"/>
      <c r="D28" s="89"/>
      <c r="E28" s="89"/>
      <c r="F28" s="89"/>
      <c r="G28" s="258" t="s">
        <v>64</v>
      </c>
      <c r="H28" s="258"/>
      <c r="I28" s="85">
        <f>SUM(H24:H27)</f>
        <v>46885.094649999999</v>
      </c>
    </row>
    <row r="29" spans="2:9" ht="12">
      <c r="B29" s="89"/>
      <c r="C29" s="89"/>
      <c r="D29" s="89"/>
      <c r="E29" s="89"/>
      <c r="F29" s="89"/>
      <c r="G29" s="99" t="s">
        <v>72</v>
      </c>
      <c r="H29" s="100">
        <v>0.05</v>
      </c>
      <c r="I29" s="120">
        <f>I28*H29</f>
        <v>2344.2547325</v>
      </c>
    </row>
    <row r="30" spans="2:9" ht="12">
      <c r="B30" s="89"/>
      <c r="C30" s="89"/>
      <c r="D30" s="89"/>
      <c r="E30" s="89"/>
      <c r="F30" s="89"/>
      <c r="G30" s="258" t="s">
        <v>73</v>
      </c>
      <c r="H30" s="258"/>
      <c r="I30" s="90">
        <f>SUM(I28:I29)</f>
        <v>49229.349382499997</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1274</v>
      </c>
      <c r="H32" s="74" t="s">
        <v>61</v>
      </c>
      <c r="I32" s="300"/>
    </row>
    <row r="33" spans="2:9" ht="12">
      <c r="B33" s="70" t="s">
        <v>1273</v>
      </c>
      <c r="C33" s="70" t="str">
        <f>VLOOKUP(B33,'MAQUINARIA Y EQUIPOS  '!C7:F95,2,FALSE)</f>
        <v xml:space="preserve">TRANSPORTE BLOQUE +DESCARGUE </v>
      </c>
      <c r="D33" s="75" t="str">
        <f>VLOOKUP(B33,'MAQUINARIA Y EQUIPOS  '!C7:F95,3,FALSE)</f>
        <v>UND</v>
      </c>
      <c r="E33" s="70">
        <f>+G25</f>
        <v>12.5</v>
      </c>
      <c r="F33" s="70"/>
      <c r="G33" s="102">
        <v>700</v>
      </c>
      <c r="H33" s="103">
        <f>+G33*E33</f>
        <v>8750</v>
      </c>
      <c r="I33" s="301"/>
    </row>
    <row r="34" spans="2:9">
      <c r="B34" s="71"/>
      <c r="C34" s="71"/>
      <c r="D34" s="82"/>
      <c r="E34" s="71"/>
      <c r="F34" s="71"/>
      <c r="G34" s="86"/>
      <c r="H34" s="86"/>
      <c r="I34" s="301"/>
    </row>
    <row r="35" spans="2:9" ht="12">
      <c r="B35" s="89"/>
      <c r="C35" s="89"/>
      <c r="D35" s="89"/>
      <c r="E35" s="89"/>
      <c r="F35" s="89"/>
      <c r="G35" s="302" t="s">
        <v>64</v>
      </c>
      <c r="H35" s="302"/>
      <c r="I35" s="104">
        <f>+H33</f>
        <v>8750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G38" s="121">
        <v>0.65</v>
      </c>
      <c r="H38" s="94">
        <f>F38*G38*D38</f>
        <v>43021.875</v>
      </c>
      <c r="I38" s="294"/>
    </row>
    <row r="39" spans="2:9">
      <c r="B39" s="106"/>
      <c r="C39" s="106"/>
      <c r="D39" s="106"/>
      <c r="E39" s="106"/>
      <c r="F39" s="86"/>
      <c r="G39" s="121"/>
      <c r="H39" s="94"/>
      <c r="I39" s="294"/>
    </row>
    <row r="40" spans="2:9" ht="12">
      <c r="B40" s="108"/>
      <c r="C40" s="109"/>
      <c r="D40" s="109"/>
      <c r="E40" s="109"/>
      <c r="F40" s="110"/>
      <c r="G40" s="110"/>
      <c r="H40" s="111" t="s">
        <v>64</v>
      </c>
      <c r="I40" s="112">
        <f>SUM(H38:H39)</f>
        <v>43021.875</v>
      </c>
    </row>
    <row r="41" spans="2:9" ht="12">
      <c r="B41" s="295" t="s">
        <v>83</v>
      </c>
      <c r="C41" s="296"/>
      <c r="D41" s="297" t="s">
        <v>77</v>
      </c>
      <c r="E41" s="298"/>
      <c r="F41" s="298"/>
      <c r="G41" s="298"/>
      <c r="H41" s="299"/>
      <c r="I41" s="113">
        <f>SUM(I21+I35+I30+I40)</f>
        <v>109377.6243825</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F7AF-BA60-41D5-B988-A1E2105D2766}">
  <sheetPr codeName="Hoja23"/>
  <dimension ref="B3:I42"/>
  <sheetViews>
    <sheetView topLeftCell="A22" zoomScale="91" zoomScaleNormal="91" workbookViewId="0">
      <selection activeCell="L24" sqref="L24"/>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3</v>
      </c>
      <c r="E9" s="276" t="s">
        <v>7</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3.25" customHeight="1">
      <c r="B13" s="13" t="s">
        <v>15</v>
      </c>
      <c r="C13" s="283" t="s">
        <v>1908</v>
      </c>
      <c r="D13" s="284"/>
      <c r="E13" s="284"/>
      <c r="F13" s="285"/>
      <c r="G13" s="286" t="s">
        <v>2</v>
      </c>
      <c r="H13" s="286"/>
      <c r="I13" s="17">
        <v>40.04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347</v>
      </c>
      <c r="C19" s="288" t="str">
        <f>VLOOKUP(B19,'MAQUINARIA Y EQUIPOS  '!C7:F95,2,FALSE)</f>
        <v>Andamio (2cuerpo)</v>
      </c>
      <c r="D19" s="265"/>
      <c r="E19" s="71" t="str">
        <f>VLOOKUP(B19,'MAQUINARIA Y EQUIPOS  '!C7:F95,3,FALSE)</f>
        <v>DIA</v>
      </c>
      <c r="F19" s="86">
        <f>VLOOKUP(B19,'MAQUINARIA Y EQUIPOS  '!C7:F95,4,FALSE)</f>
        <v>10000</v>
      </c>
      <c r="G19" s="115">
        <v>0.13300000000000001</v>
      </c>
      <c r="H19" s="116">
        <f>+G19*F19</f>
        <v>1330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0.03</v>
      </c>
      <c r="H20" s="116">
        <f>F20*G20</f>
        <v>315</v>
      </c>
      <c r="I20" s="287"/>
    </row>
    <row r="21" spans="2:9">
      <c r="B21" s="71" t="s">
        <v>234</v>
      </c>
      <c r="C21" s="253" t="str">
        <f>VLOOKUP(B21,'MAQUINARIA Y EQUIPOS  '!C7:F95,2,FALSE)</f>
        <v xml:space="preserve">Mezcladora </v>
      </c>
      <c r="D21" s="258"/>
      <c r="E21" s="88" t="str">
        <f>VLOOKUP(B21,'MAQUINARIA Y EQUIPOS  '!C7:F95,3,FALSE)</f>
        <v>DIA</v>
      </c>
      <c r="F21" s="86">
        <f>VLOOKUP(B21,'MAQUINARIA Y EQUIPOS  '!C7:F95,4,FALSE)</f>
        <v>150000</v>
      </c>
      <c r="G21" s="87">
        <v>1.7000000000000001E-2</v>
      </c>
      <c r="H21" s="116">
        <f>+G21*F21</f>
        <v>2550</v>
      </c>
      <c r="I21" s="287"/>
    </row>
    <row r="22" spans="2:9" ht="12">
      <c r="B22" s="89"/>
      <c r="C22" s="89"/>
      <c r="D22" s="89"/>
      <c r="E22" s="89"/>
      <c r="F22" s="89"/>
      <c r="G22" s="89"/>
      <c r="H22" s="89" t="s">
        <v>64</v>
      </c>
      <c r="I22" s="90">
        <f>SUM(H18:H21)</f>
        <v>5266.4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134</v>
      </c>
      <c r="C25" s="290" t="str">
        <f>VLOOKUP(B25,'INSUMOS '!C7:F616,2,FALSE)</f>
        <v>MORTERO  1:4</v>
      </c>
      <c r="D25" s="293"/>
      <c r="E25" s="97" t="str">
        <f>VLOOKUP(B25,'INSUMOS '!C7:F616,3,FALSE)</f>
        <v>M3</v>
      </c>
      <c r="F25" s="117">
        <f>VLOOKUP(B25,'INSUMOS '!C7:F616,4,FALSE)</f>
        <v>459006.31</v>
      </c>
      <c r="G25" s="71">
        <v>1.4999999999999999E-2</v>
      </c>
      <c r="H25" s="83">
        <f>+G25*F25</f>
        <v>6885.09465</v>
      </c>
      <c r="I25" s="287"/>
    </row>
    <row r="26" spans="2:9">
      <c r="B26" s="71"/>
      <c r="C26" s="290"/>
      <c r="D26" s="293"/>
      <c r="E26" s="97"/>
      <c r="F26" s="117"/>
      <c r="G26" s="71"/>
      <c r="H26" s="83"/>
      <c r="I26" s="287"/>
    </row>
    <row r="27" spans="2:9">
      <c r="B27" s="71"/>
      <c r="C27" s="290"/>
      <c r="D27" s="293"/>
      <c r="E27" s="97"/>
      <c r="F27" s="117"/>
      <c r="G27" s="118"/>
      <c r="H27" s="83"/>
      <c r="I27" s="287"/>
    </row>
    <row r="28" spans="2:9">
      <c r="B28" s="71"/>
      <c r="C28" s="290"/>
      <c r="D28" s="293"/>
      <c r="E28" s="97"/>
      <c r="F28" s="117"/>
      <c r="G28" s="119"/>
      <c r="H28" s="83"/>
      <c r="I28" s="287"/>
    </row>
    <row r="29" spans="2:9" ht="12">
      <c r="B29" s="89"/>
      <c r="C29" s="89"/>
      <c r="D29" s="89"/>
      <c r="E29" s="89"/>
      <c r="F29" s="89"/>
      <c r="G29" s="258" t="s">
        <v>64</v>
      </c>
      <c r="H29" s="258"/>
      <c r="I29" s="85">
        <f>SUM(H25:H28)</f>
        <v>6885.09465</v>
      </c>
    </row>
    <row r="30" spans="2:9" ht="12">
      <c r="B30" s="89"/>
      <c r="C30" s="89"/>
      <c r="D30" s="89"/>
      <c r="E30" s="89"/>
      <c r="F30" s="89"/>
      <c r="G30" s="99" t="s">
        <v>72</v>
      </c>
      <c r="H30" s="100">
        <v>0.05</v>
      </c>
      <c r="I30" s="120">
        <f>I29*H30</f>
        <v>344.25473250000005</v>
      </c>
    </row>
    <row r="31" spans="2:9" ht="12">
      <c r="B31" s="89"/>
      <c r="C31" s="89"/>
      <c r="D31" s="89"/>
      <c r="E31" s="89"/>
      <c r="F31" s="89"/>
      <c r="G31" s="258" t="s">
        <v>73</v>
      </c>
      <c r="H31" s="258"/>
      <c r="I31" s="90">
        <f>SUM(I29:I30)</f>
        <v>7229.3493825000005</v>
      </c>
    </row>
    <row r="32" spans="2:9"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c r="C34" s="70"/>
      <c r="D34" s="75"/>
      <c r="E34" s="70"/>
      <c r="F34" s="70"/>
      <c r="G34" s="102"/>
      <c r="H34" s="103"/>
      <c r="I34" s="301"/>
    </row>
    <row r="35" spans="2:9">
      <c r="B35" s="71"/>
      <c r="C35" s="71"/>
      <c r="D35" s="82"/>
      <c r="E35" s="71"/>
      <c r="F35" s="71"/>
      <c r="G35" s="86"/>
      <c r="H35" s="86"/>
      <c r="I35" s="301"/>
    </row>
    <row r="36" spans="2:9" ht="12">
      <c r="B36" s="89"/>
      <c r="C36" s="89"/>
      <c r="D36" s="89"/>
      <c r="E36" s="89"/>
      <c r="F36" s="89"/>
      <c r="G36" s="302" t="s">
        <v>64</v>
      </c>
      <c r="H36" s="302"/>
      <c r="I36" s="104">
        <f>+H34</f>
        <v>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22.8">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21">
        <v>0.4</v>
      </c>
      <c r="H39" s="94">
        <f>F39*G39*D39</f>
        <v>26475</v>
      </c>
      <c r="I39" s="294"/>
    </row>
    <row r="40" spans="2:9">
      <c r="B40" s="106"/>
      <c r="C40" s="106"/>
      <c r="D40" s="106"/>
      <c r="E40" s="106"/>
      <c r="F40" s="86"/>
      <c r="G40" s="121"/>
      <c r="H40" s="94"/>
      <c r="I40" s="294"/>
    </row>
    <row r="41" spans="2:9" ht="12">
      <c r="B41" s="108"/>
      <c r="C41" s="109"/>
      <c r="D41" s="109"/>
      <c r="E41" s="109"/>
      <c r="F41" s="110"/>
      <c r="G41" s="110"/>
      <c r="H41" s="111" t="s">
        <v>64</v>
      </c>
      <c r="I41" s="112">
        <f>SUM(H39:H40)</f>
        <v>26475</v>
      </c>
    </row>
    <row r="42" spans="2:9" ht="12">
      <c r="B42" s="295" t="s">
        <v>83</v>
      </c>
      <c r="C42" s="296"/>
      <c r="D42" s="297" t="s">
        <v>77</v>
      </c>
      <c r="E42" s="298"/>
      <c r="F42" s="298"/>
      <c r="G42" s="298"/>
      <c r="H42" s="299"/>
      <c r="I42" s="113">
        <f>SUM(I22+I36+I31+I41)</f>
        <v>38970.749382499998</v>
      </c>
    </row>
  </sheetData>
  <mergeCells count="41">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17:I21"/>
    <mergeCell ref="C18:D18"/>
    <mergeCell ref="C19:D19"/>
    <mergeCell ref="C21:D21"/>
    <mergeCell ref="C24:D24"/>
    <mergeCell ref="I24:I28"/>
    <mergeCell ref="C25:D25"/>
    <mergeCell ref="C26:D26"/>
    <mergeCell ref="C27:D27"/>
    <mergeCell ref="C28:D28"/>
    <mergeCell ref="C23:D23"/>
    <mergeCell ref="C17:D17"/>
    <mergeCell ref="C20:D20"/>
    <mergeCell ref="I38:I40"/>
    <mergeCell ref="B42:C42"/>
    <mergeCell ref="D42:H42"/>
    <mergeCell ref="G29:H29"/>
    <mergeCell ref="G31:H31"/>
    <mergeCell ref="C32:D32"/>
    <mergeCell ref="I33:I35"/>
    <mergeCell ref="G36:H36"/>
    <mergeCell ref="C37:D37"/>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DA421-63D4-4D88-968A-ED2E3A9B0C61}">
  <sheetPr codeName="Hoja25"/>
  <dimension ref="B3:I41"/>
  <sheetViews>
    <sheetView topLeftCell="A10" zoomScale="91" zoomScaleNormal="91" workbookViewId="0">
      <selection activeCell="L25" sqref="L25"/>
    </sheetView>
  </sheetViews>
  <sheetFormatPr baseColWidth="10" defaultColWidth="11.3984375" defaultRowHeight="11.4"/>
  <cols>
    <col min="1" max="2" width="11.3984375" style="11"/>
    <col min="3" max="3" width="25.3984375" style="11" customWidth="1"/>
    <col min="4" max="4" width="11.3984375" style="11" bestFit="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4</v>
      </c>
      <c r="E9" s="276" t="s">
        <v>18</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3.75" customHeight="1">
      <c r="B13" s="13" t="s">
        <v>16</v>
      </c>
      <c r="C13" s="283" t="s">
        <v>1909</v>
      </c>
      <c r="D13" s="284"/>
      <c r="E13" s="284"/>
      <c r="F13" s="285"/>
      <c r="G13" s="286" t="s">
        <v>2</v>
      </c>
      <c r="H13" s="286"/>
      <c r="I13" s="17">
        <v>10.08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119">
        <v>0.08</v>
      </c>
      <c r="H19" s="85">
        <f t="shared" ref="H19:H20" si="0">F19*G19</f>
        <v>840</v>
      </c>
      <c r="I19" s="287"/>
    </row>
    <row r="20" spans="2:9">
      <c r="B20" s="71" t="s">
        <v>347</v>
      </c>
      <c r="C20" s="288" t="str">
        <f>VLOOKUP(B20,'MAQUINARIA Y EQUIPOS  '!C8:F96,2,FALSE)</f>
        <v>Andamio (2cuerpo)</v>
      </c>
      <c r="D20" s="265"/>
      <c r="E20" s="71" t="str">
        <f>VLOOKUP(B20,'MAQUINARIA Y EQUIPOS  '!C8:F96,3,FALSE)</f>
        <v>DIA</v>
      </c>
      <c r="F20" s="86">
        <f>VLOOKUP(B20,'MAQUINARIA Y EQUIPOS  '!C8:F96,4,FALSE)</f>
        <v>10000</v>
      </c>
      <c r="G20" s="115">
        <v>0.13300000000000001</v>
      </c>
      <c r="H20" s="85">
        <f t="shared" si="0"/>
        <v>1330</v>
      </c>
      <c r="I20" s="287"/>
    </row>
    <row r="21" spans="2:9" ht="12">
      <c r="B21" s="89"/>
      <c r="C21" s="89"/>
      <c r="D21" s="89"/>
      <c r="E21" s="89"/>
      <c r="F21" s="89"/>
      <c r="G21" s="89"/>
      <c r="H21" s="89" t="s">
        <v>64</v>
      </c>
      <c r="I21" s="90">
        <f>SUM(H18:H20)</f>
        <v>3241.4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1279</v>
      </c>
      <c r="C24" s="290" t="str">
        <f>VLOOKUP(B24,'INSUMOS '!C7:F616,2,FALSE)</f>
        <v xml:space="preserve">Mortero de reparacio sikatop-122 25kg </v>
      </c>
      <c r="D24" s="293"/>
      <c r="E24" s="97" t="str">
        <f>VLOOKUP(B24,'INSUMOS '!C7:F616,3,FALSE)</f>
        <v>KG</v>
      </c>
      <c r="F24" s="117">
        <f>VLOOKUP(B24,'INSUMOS '!C7:F616,4,FALSE)</f>
        <v>8236</v>
      </c>
      <c r="G24" s="71">
        <v>18.3</v>
      </c>
      <c r="H24" s="83">
        <f>+G24*F24</f>
        <v>150718.80000000002</v>
      </c>
      <c r="I24" s="287"/>
    </row>
    <row r="25" spans="2:9">
      <c r="B25" s="71" t="s">
        <v>183</v>
      </c>
      <c r="C25" s="290" t="str">
        <f>VLOOKUP(B25,'INSUMOS '!C8:F503,2,FALSE)</f>
        <v>AGUA</v>
      </c>
      <c r="D25" s="293"/>
      <c r="E25" s="97" t="str">
        <f>VLOOKUP(B25,'INSUMOS '!C8:F503,3,FALSE)</f>
        <v>L</v>
      </c>
      <c r="F25" s="117">
        <f>VLOOKUP(B25,'INSUMOS '!C8:F503,4,FALSE)</f>
        <v>473</v>
      </c>
      <c r="G25" s="71">
        <v>0.16</v>
      </c>
      <c r="H25" s="83">
        <f>+G25*F25</f>
        <v>75.680000000000007</v>
      </c>
      <c r="I25" s="287"/>
    </row>
    <row r="26" spans="2:9">
      <c r="B26" s="71"/>
      <c r="C26" s="290"/>
      <c r="D26" s="293"/>
      <c r="E26" s="97"/>
      <c r="F26" s="117"/>
      <c r="G26" s="118"/>
      <c r="H26" s="83"/>
      <c r="I26" s="287"/>
    </row>
    <row r="27" spans="2:9">
      <c r="B27" s="71"/>
      <c r="C27" s="290"/>
      <c r="D27" s="293"/>
      <c r="E27" s="97"/>
      <c r="F27" s="117"/>
      <c r="G27" s="119"/>
      <c r="H27" s="83"/>
      <c r="I27" s="287"/>
    </row>
    <row r="28" spans="2:9" ht="12">
      <c r="B28" s="89"/>
      <c r="C28" s="89"/>
      <c r="D28" s="89"/>
      <c r="E28" s="89"/>
      <c r="F28" s="89"/>
      <c r="G28" s="258" t="s">
        <v>64</v>
      </c>
      <c r="H28" s="258"/>
      <c r="I28" s="85">
        <f>SUM(H24:H27)</f>
        <v>150794.48000000001</v>
      </c>
    </row>
    <row r="29" spans="2:9" ht="12">
      <c r="B29" s="89"/>
      <c r="C29" s="89"/>
      <c r="D29" s="89"/>
      <c r="E29" s="89"/>
      <c r="F29" s="89"/>
      <c r="G29" s="99" t="s">
        <v>72</v>
      </c>
      <c r="H29" s="100">
        <v>0.05</v>
      </c>
      <c r="I29" s="120">
        <f>I28*H29</f>
        <v>7539.7240000000011</v>
      </c>
    </row>
    <row r="30" spans="2:9" ht="12">
      <c r="B30" s="89"/>
      <c r="C30" s="89"/>
      <c r="D30" s="89"/>
      <c r="E30" s="89"/>
      <c r="F30" s="89"/>
      <c r="G30" s="258" t="s">
        <v>73</v>
      </c>
      <c r="H30" s="258"/>
      <c r="I30" s="90">
        <f>SUM(I28:I29)</f>
        <v>158334.204</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359</v>
      </c>
      <c r="C38" s="106" t="str">
        <f>+VLOOKUP(B38,'MANO DE OBRA '!B24:G47,2,FALSE)</f>
        <v xml:space="preserve"> Cuadrilla de construccion 2 (1 oficial+ 2 ayudante)</v>
      </c>
      <c r="D38" s="106">
        <v>1</v>
      </c>
      <c r="E38" s="106" t="str">
        <f>+VLOOKUP(B38,'MANO DE OBRA '!B24:G47,4,FALSE)</f>
        <v>Hora</v>
      </c>
      <c r="F38" s="86">
        <f>+VLOOKUP(B38,'MANO DE OBRA '!B24:G47,3,FALSE)</f>
        <v>66187.5</v>
      </c>
      <c r="G38" s="169">
        <v>2.91</v>
      </c>
      <c r="H38" s="94">
        <f>F38*G38*D38</f>
        <v>192605.625</v>
      </c>
      <c r="I38" s="294"/>
    </row>
    <row r="39" spans="2:9">
      <c r="B39" s="106"/>
      <c r="C39" s="106"/>
      <c r="D39" s="106"/>
      <c r="E39" s="106"/>
      <c r="F39" s="86"/>
      <c r="G39" s="121"/>
      <c r="H39" s="94"/>
      <c r="I39" s="294"/>
    </row>
    <row r="40" spans="2:9" ht="12">
      <c r="B40" s="108"/>
      <c r="C40" s="109"/>
      <c r="D40" s="109"/>
      <c r="E40" s="109"/>
      <c r="F40" s="110"/>
      <c r="G40" s="110"/>
      <c r="H40" s="111" t="s">
        <v>64</v>
      </c>
      <c r="I40" s="112">
        <f>SUM(H38:H39)</f>
        <v>192605.625</v>
      </c>
    </row>
    <row r="41" spans="2:9" ht="12">
      <c r="B41" s="295" t="s">
        <v>83</v>
      </c>
      <c r="C41" s="296"/>
      <c r="D41" s="297" t="s">
        <v>77</v>
      </c>
      <c r="E41" s="298"/>
      <c r="F41" s="298"/>
      <c r="G41" s="298"/>
      <c r="H41" s="299"/>
      <c r="I41" s="113">
        <f>SUM(I21+I35+I30+I40)</f>
        <v>354181.22899999999</v>
      </c>
    </row>
  </sheetData>
  <mergeCells count="40">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17:I20"/>
    <mergeCell ref="C18:D18"/>
    <mergeCell ref="C19:D19"/>
    <mergeCell ref="C20:D20"/>
    <mergeCell ref="C23:D23"/>
    <mergeCell ref="I23:I27"/>
    <mergeCell ref="C24:D24"/>
    <mergeCell ref="C25:D25"/>
    <mergeCell ref="C26:D26"/>
    <mergeCell ref="C27:D27"/>
    <mergeCell ref="C22:D22"/>
    <mergeCell ref="C17:D17"/>
    <mergeCell ref="I37:I39"/>
    <mergeCell ref="B41:C41"/>
    <mergeCell ref="D41:H41"/>
    <mergeCell ref="G28:H28"/>
    <mergeCell ref="G30:H30"/>
    <mergeCell ref="C31:D31"/>
    <mergeCell ref="I32:I34"/>
    <mergeCell ref="G35:H35"/>
    <mergeCell ref="C36:D36"/>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360B9-7FBF-4D89-AC46-D15151A2BFF4}">
  <sheetPr codeName="Hoja26"/>
  <dimension ref="B3:I41"/>
  <sheetViews>
    <sheetView topLeftCell="A16" zoomScale="91" zoomScaleNormal="91" workbookViewId="0">
      <selection activeCell="P19" sqref="P19"/>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5</v>
      </c>
      <c r="E9" s="276" t="s">
        <v>12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5.5" customHeight="1">
      <c r="B13" s="13" t="s">
        <v>20</v>
      </c>
      <c r="C13" s="283" t="s">
        <v>1910</v>
      </c>
      <c r="D13" s="284"/>
      <c r="E13" s="284"/>
      <c r="F13" s="285"/>
      <c r="G13" s="286" t="s">
        <v>2</v>
      </c>
      <c r="H13" s="286"/>
      <c r="I13" s="17">
        <v>60.139800000000001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7.0000000000000007E-2</v>
      </c>
      <c r="H19" s="85">
        <f>F19*G19</f>
        <v>735.00000000000011</v>
      </c>
      <c r="I19" s="287"/>
    </row>
    <row r="20" spans="2:9">
      <c r="B20" s="71"/>
      <c r="C20" s="288"/>
      <c r="D20" s="265"/>
      <c r="E20" s="71"/>
      <c r="F20" s="83"/>
      <c r="G20" s="126"/>
      <c r="H20" s="85"/>
      <c r="I20" s="287"/>
    </row>
    <row r="21" spans="2:9" ht="12">
      <c r="B21" s="89"/>
      <c r="C21" s="89"/>
      <c r="D21" s="89"/>
      <c r="E21" s="89"/>
      <c r="F21" s="89"/>
      <c r="G21" s="89"/>
      <c r="H21" s="89" t="s">
        <v>64</v>
      </c>
      <c r="I21" s="90">
        <f>SUM(H18:H20)</f>
        <v>1806.4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1222</v>
      </c>
      <c r="C24" s="290" t="str">
        <f>VLOOKUP(B24,'INSUMOS '!C7:F616,2,FALSE)</f>
        <v xml:space="preserve">ARENA CANTERA </v>
      </c>
      <c r="D24" s="293"/>
      <c r="E24" s="97" t="str">
        <f>VLOOKUP(B24,'INSUMOS '!C7:F616,3,FALSE)</f>
        <v>M3</v>
      </c>
      <c r="F24" s="117">
        <f>VLOOKUP(B24,'INSUMOS '!C7:F616,4,FALSE)</f>
        <v>50000</v>
      </c>
      <c r="G24" s="71">
        <v>0.05</v>
      </c>
      <c r="H24" s="83">
        <f>+G24*F24</f>
        <v>2500</v>
      </c>
      <c r="I24" s="287"/>
    </row>
    <row r="25" spans="2:9">
      <c r="B25" s="71" t="s">
        <v>846</v>
      </c>
      <c r="C25" s="290" t="str">
        <f>VLOOKUP(B25,'INSUMOS '!C8:F503,2,FALSE)</f>
        <v>PEGACOR BLANCO</v>
      </c>
      <c r="D25" s="293"/>
      <c r="E25" s="97" t="str">
        <f>VLOOKUP(B25,'INSUMOS '!C8:F503,3,FALSE)</f>
        <v>kg</v>
      </c>
      <c r="F25" s="117">
        <f>VLOOKUP(B25,'INSUMOS '!C8:F503,4,FALSE)</f>
        <v>4000</v>
      </c>
      <c r="G25" s="71">
        <v>6</v>
      </c>
      <c r="H25" s="83">
        <f>+G25*F25</f>
        <v>24000</v>
      </c>
      <c r="I25" s="287"/>
    </row>
    <row r="26" spans="2:9">
      <c r="B26" s="71" t="s">
        <v>1281</v>
      </c>
      <c r="C26" s="290" t="str">
        <f>VLOOKUP(B26,'INSUMOS '!C9:F504,2,FALSE)</f>
        <v>CERAMICA 60X60</v>
      </c>
      <c r="D26" s="293"/>
      <c r="E26" s="97" t="str">
        <f>VLOOKUP(B26,'INSUMOS '!C9:F504,3,FALSE)</f>
        <v>M2</v>
      </c>
      <c r="F26" s="117">
        <f>VLOOKUP(B26,'INSUMOS '!C9:F504,4,FALSE)</f>
        <v>43900</v>
      </c>
      <c r="G26" s="71">
        <v>1</v>
      </c>
      <c r="H26" s="83">
        <f>+G26*F26</f>
        <v>43900</v>
      </c>
      <c r="I26" s="287"/>
    </row>
    <row r="27" spans="2:9">
      <c r="B27" s="71" t="s">
        <v>844</v>
      </c>
      <c r="C27" s="290" t="str">
        <f>VLOOKUP(B27,'INSUMOS '!C10:F505,2,FALSE)</f>
        <v>MORTERO  1:6</v>
      </c>
      <c r="D27" s="291"/>
      <c r="E27" s="97" t="str">
        <f>VLOOKUP(B27,'INSUMOS '!C10:F505,3,FALSE)</f>
        <v>M3</v>
      </c>
      <c r="F27" s="117">
        <f>VLOOKUP(B27,'INSUMOS '!C10:F505,4,FALSE)</f>
        <v>290000</v>
      </c>
      <c r="G27" s="71">
        <v>0.06</v>
      </c>
      <c r="H27" s="83">
        <f>+G27*F27</f>
        <v>17400</v>
      </c>
      <c r="I27" s="287"/>
    </row>
    <row r="28" spans="2:9" ht="12">
      <c r="B28" s="89"/>
      <c r="C28" s="89"/>
      <c r="D28" s="89"/>
      <c r="E28" s="89"/>
      <c r="F28" s="89"/>
      <c r="G28" s="258" t="s">
        <v>64</v>
      </c>
      <c r="H28" s="258"/>
      <c r="I28" s="85">
        <f>SUM(H24:H27)</f>
        <v>87800</v>
      </c>
    </row>
    <row r="29" spans="2:9" ht="12">
      <c r="B29" s="89"/>
      <c r="C29" s="89"/>
      <c r="D29" s="89"/>
      <c r="E29" s="89"/>
      <c r="F29" s="89"/>
      <c r="G29" s="99" t="s">
        <v>72</v>
      </c>
      <c r="H29" s="100">
        <v>0.05</v>
      </c>
      <c r="I29" s="120">
        <f>I28*H29</f>
        <v>4390</v>
      </c>
    </row>
    <row r="30" spans="2:9" ht="12">
      <c r="B30" s="89"/>
      <c r="C30" s="89"/>
      <c r="D30" s="89"/>
      <c r="E30" s="89"/>
      <c r="F30" s="89"/>
      <c r="G30" s="258" t="s">
        <v>73</v>
      </c>
      <c r="H30" s="258"/>
      <c r="I30" s="90">
        <f>SUM(I28:I29)</f>
        <v>92190</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1278</v>
      </c>
      <c r="H32" s="74" t="s">
        <v>61</v>
      </c>
      <c r="I32" s="300"/>
    </row>
    <row r="33" spans="2:9" ht="12">
      <c r="B33" s="70" t="s">
        <v>1284</v>
      </c>
      <c r="C33" s="70" t="str">
        <f>VLOOKUP(B33,'MAQUINARIA Y EQUIPOS  '!C7:F95,2,FALSE)</f>
        <v xml:space="preserve">TRASNPORTE CERAMICA </v>
      </c>
      <c r="D33" s="75" t="str">
        <f>VLOOKUP(B33,'MAQUINARIA Y EQUIPOS  '!C7:F95,3,FALSE)</f>
        <v>M2</v>
      </c>
      <c r="E33" s="70">
        <v>1</v>
      </c>
      <c r="F33" s="70"/>
      <c r="G33" s="102">
        <f>VLOOKUP(B33,'MAQUINARIA Y EQUIPOS  '!C7:F95,4,FALSE)</f>
        <v>7000</v>
      </c>
      <c r="H33" s="103">
        <f>+G33*E33</f>
        <v>7000</v>
      </c>
      <c r="I33" s="301"/>
    </row>
    <row r="34" spans="2:9">
      <c r="B34" s="71"/>
      <c r="C34" s="71"/>
      <c r="D34" s="82"/>
      <c r="E34" s="71"/>
      <c r="F34" s="71"/>
      <c r="G34" s="86"/>
      <c r="H34" s="86"/>
      <c r="I34" s="301"/>
    </row>
    <row r="35" spans="2:9" ht="12">
      <c r="B35" s="89"/>
      <c r="C35" s="89"/>
      <c r="D35" s="89"/>
      <c r="E35" s="89"/>
      <c r="F35" s="89"/>
      <c r="G35" s="302" t="s">
        <v>64</v>
      </c>
      <c r="H35" s="302"/>
      <c r="I35" s="104">
        <f>+H33</f>
        <v>7000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359</v>
      </c>
      <c r="C38" s="106" t="str">
        <f>+VLOOKUP(B38,'MANO DE OBRA '!B24:G47,2,FALSE)</f>
        <v xml:space="preserve"> Cuadrilla de construccion 2 (1 oficial+ 2 ayudante)</v>
      </c>
      <c r="D38" s="106">
        <v>1</v>
      </c>
      <c r="E38" s="106" t="str">
        <f>+VLOOKUP(B38,'MANO DE OBRA '!B24:G47,4,FALSE)</f>
        <v>Hora</v>
      </c>
      <c r="F38" s="86">
        <f>+VLOOKUP(B38,'MANO DE OBRA '!B24:G47,3,FALSE)</f>
        <v>66187.5</v>
      </c>
      <c r="G38" s="121">
        <v>0.67600000000000005</v>
      </c>
      <c r="H38" s="94">
        <f>F38*G38*D38</f>
        <v>44742.75</v>
      </c>
      <c r="I38" s="294"/>
    </row>
    <row r="39" spans="2:9">
      <c r="B39" s="106"/>
      <c r="C39" s="106"/>
      <c r="D39" s="106"/>
      <c r="E39" s="106"/>
      <c r="F39" s="86"/>
      <c r="G39" s="121"/>
      <c r="H39" s="94"/>
      <c r="I39" s="294"/>
    </row>
    <row r="40" spans="2:9" ht="12">
      <c r="B40" s="108"/>
      <c r="C40" s="109"/>
      <c r="D40" s="109"/>
      <c r="E40" s="109"/>
      <c r="F40" s="110"/>
      <c r="G40" s="110"/>
      <c r="H40" s="111" t="s">
        <v>64</v>
      </c>
      <c r="I40" s="112">
        <f>SUM(H38:H39)</f>
        <v>44742.75</v>
      </c>
    </row>
    <row r="41" spans="2:9" ht="12">
      <c r="B41" s="295" t="s">
        <v>83</v>
      </c>
      <c r="C41" s="296"/>
      <c r="D41" s="297" t="s">
        <v>77</v>
      </c>
      <c r="E41" s="298"/>
      <c r="F41" s="298"/>
      <c r="G41" s="298"/>
      <c r="H41" s="299"/>
      <c r="I41" s="113">
        <f>SUM(I21+I35+I30+I40)</f>
        <v>145739.15</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D897C-3135-42F8-9513-01F720458160}">
  <sheetPr codeName="Hoja3"/>
  <dimension ref="C3:G616"/>
  <sheetViews>
    <sheetView tabSelected="1" workbookViewId="0">
      <selection activeCell="I12" sqref="I12"/>
    </sheetView>
  </sheetViews>
  <sheetFormatPr baseColWidth="10" defaultColWidth="11.3984375" defaultRowHeight="11.4"/>
  <cols>
    <col min="1" max="2" width="11.3984375" style="11"/>
    <col min="3" max="3" width="10.8984375" style="11" customWidth="1"/>
    <col min="4" max="4" width="65.8984375" style="11" bestFit="1" customWidth="1"/>
    <col min="5" max="5" width="11.3984375" style="11"/>
    <col min="6" max="6" width="20.09765625" style="11" customWidth="1"/>
    <col min="7" max="16384" width="11.3984375" style="11"/>
  </cols>
  <sheetData>
    <row r="3" spans="3:7" ht="12.75" thickBot="1">
      <c r="F3" s="61"/>
    </row>
    <row r="4" spans="3:7" ht="54.75" customHeight="1" thickBot="1">
      <c r="C4" s="251" t="s">
        <v>41</v>
      </c>
      <c r="D4" s="252"/>
      <c r="E4" s="252"/>
      <c r="F4" s="252"/>
      <c r="G4" s="257"/>
    </row>
    <row r="5" spans="3:7" ht="12">
      <c r="C5" s="16"/>
      <c r="D5" s="16"/>
      <c r="E5" s="16"/>
      <c r="F5" s="137"/>
    </row>
    <row r="6" spans="3:7" ht="12">
      <c r="C6" s="166" t="s">
        <v>42</v>
      </c>
      <c r="D6" s="167" t="s">
        <v>43</v>
      </c>
      <c r="E6" s="167" t="s">
        <v>1</v>
      </c>
      <c r="F6" s="168" t="s">
        <v>44</v>
      </c>
      <c r="G6" s="22" t="s">
        <v>1306</v>
      </c>
    </row>
    <row r="7" spans="3:7" ht="12">
      <c r="C7" s="15" t="s">
        <v>388</v>
      </c>
      <c r="D7" s="13" t="s">
        <v>389</v>
      </c>
      <c r="E7" s="13" t="s">
        <v>390</v>
      </c>
      <c r="F7" s="138">
        <v>8900</v>
      </c>
      <c r="G7" s="10"/>
    </row>
    <row r="8" spans="3:7" ht="12">
      <c r="C8" s="15" t="s">
        <v>159</v>
      </c>
      <c r="D8" s="13"/>
      <c r="E8" s="13"/>
      <c r="F8" s="139"/>
      <c r="G8" s="10"/>
    </row>
    <row r="9" spans="3:7" ht="12">
      <c r="C9" s="15" t="s">
        <v>45</v>
      </c>
      <c r="D9" s="13" t="s">
        <v>349</v>
      </c>
      <c r="E9" s="13" t="s">
        <v>350</v>
      </c>
      <c r="F9" s="139">
        <v>644.28</v>
      </c>
      <c r="G9" s="10"/>
    </row>
    <row r="10" spans="3:7" ht="12">
      <c r="C10" s="15" t="s">
        <v>351</v>
      </c>
      <c r="D10" s="13" t="s">
        <v>352</v>
      </c>
      <c r="E10" s="13" t="s">
        <v>346</v>
      </c>
      <c r="F10" s="139">
        <v>72000</v>
      </c>
      <c r="G10" s="10"/>
    </row>
    <row r="11" spans="3:7" ht="12">
      <c r="C11" s="15" t="s">
        <v>353</v>
      </c>
      <c r="D11" s="13" t="s">
        <v>354</v>
      </c>
      <c r="E11" s="13" t="s">
        <v>346</v>
      </c>
      <c r="F11" s="139">
        <v>120000</v>
      </c>
      <c r="G11" s="10"/>
    </row>
    <row r="12" spans="3:7" ht="12">
      <c r="C12" s="15" t="s">
        <v>183</v>
      </c>
      <c r="D12" s="13" t="s">
        <v>85</v>
      </c>
      <c r="E12" s="13" t="s">
        <v>355</v>
      </c>
      <c r="F12" s="139">
        <v>473</v>
      </c>
      <c r="G12" s="10"/>
    </row>
    <row r="13" spans="3:7">
      <c r="C13" s="15" t="s">
        <v>356</v>
      </c>
      <c r="D13" s="13" t="s">
        <v>357</v>
      </c>
      <c r="E13" s="140" t="s">
        <v>358</v>
      </c>
      <c r="F13" s="141">
        <v>10400</v>
      </c>
      <c r="G13" s="10"/>
    </row>
    <row r="14" spans="3:7" ht="12">
      <c r="C14" s="15" t="s">
        <v>359</v>
      </c>
      <c r="D14" s="13" t="s">
        <v>360</v>
      </c>
      <c r="E14" s="13" t="s">
        <v>350</v>
      </c>
      <c r="F14" s="139">
        <v>8600</v>
      </c>
      <c r="G14" s="10"/>
    </row>
    <row r="15" spans="3:7" ht="12">
      <c r="C15" s="15" t="s">
        <v>361</v>
      </c>
      <c r="D15" s="13" t="s">
        <v>362</v>
      </c>
      <c r="E15" s="13" t="s">
        <v>346</v>
      </c>
      <c r="F15" s="139"/>
      <c r="G15" s="10"/>
    </row>
    <row r="16" spans="3:7" ht="12">
      <c r="C16" s="15" t="s">
        <v>363</v>
      </c>
      <c r="D16" s="13" t="s">
        <v>364</v>
      </c>
      <c r="E16" s="13" t="s">
        <v>346</v>
      </c>
      <c r="F16" s="139"/>
      <c r="G16" s="10"/>
    </row>
    <row r="17" spans="3:7" ht="12">
      <c r="C17" s="15" t="s">
        <v>365</v>
      </c>
      <c r="D17" s="13" t="s">
        <v>366</v>
      </c>
      <c r="E17" s="13" t="s">
        <v>346</v>
      </c>
      <c r="F17" s="139"/>
      <c r="G17" s="10"/>
    </row>
    <row r="18" spans="3:7" ht="12">
      <c r="C18" s="15" t="s">
        <v>140</v>
      </c>
      <c r="D18" s="13" t="s">
        <v>367</v>
      </c>
      <c r="E18" s="13" t="s">
        <v>346</v>
      </c>
      <c r="F18" s="139"/>
      <c r="G18" s="10"/>
    </row>
    <row r="19" spans="3:7">
      <c r="C19" s="15" t="s">
        <v>538</v>
      </c>
      <c r="D19" s="13" t="s">
        <v>539</v>
      </c>
      <c r="E19" s="13" t="s">
        <v>136</v>
      </c>
      <c r="F19" s="139">
        <v>2504</v>
      </c>
      <c r="G19" s="10"/>
    </row>
    <row r="20" spans="3:7" ht="12">
      <c r="C20" s="15" t="s">
        <v>540</v>
      </c>
      <c r="D20" s="13" t="s">
        <v>541</v>
      </c>
      <c r="E20" s="13" t="s">
        <v>136</v>
      </c>
      <c r="F20" s="139">
        <v>17463</v>
      </c>
      <c r="G20" s="10"/>
    </row>
    <row r="21" spans="3:7" ht="12">
      <c r="C21" s="15" t="s">
        <v>542</v>
      </c>
      <c r="D21" s="13" t="s">
        <v>543</v>
      </c>
      <c r="E21" s="13" t="s">
        <v>136</v>
      </c>
      <c r="F21" s="139">
        <v>6743</v>
      </c>
      <c r="G21" s="10"/>
    </row>
    <row r="22" spans="3:7">
      <c r="C22" s="15" t="s">
        <v>544</v>
      </c>
      <c r="D22" s="13" t="s">
        <v>545</v>
      </c>
      <c r="E22" s="13" t="s">
        <v>136</v>
      </c>
      <c r="F22" s="139">
        <v>2927</v>
      </c>
      <c r="G22" s="10"/>
    </row>
    <row r="23" spans="3:7" ht="12">
      <c r="C23" s="15" t="s">
        <v>546</v>
      </c>
      <c r="D23" s="13" t="s">
        <v>547</v>
      </c>
      <c r="E23" s="13" t="s">
        <v>136</v>
      </c>
      <c r="F23" s="139">
        <v>5475</v>
      </c>
      <c r="G23" s="10"/>
    </row>
    <row r="24" spans="3:7" ht="12">
      <c r="C24" s="15" t="s">
        <v>548</v>
      </c>
      <c r="D24" s="13" t="s">
        <v>549</v>
      </c>
      <c r="E24" s="13" t="s">
        <v>136</v>
      </c>
      <c r="F24" s="139">
        <v>40134</v>
      </c>
      <c r="G24" s="10"/>
    </row>
    <row r="25" spans="3:7" ht="12">
      <c r="C25" s="15" t="s">
        <v>550</v>
      </c>
      <c r="D25" s="13" t="s">
        <v>551</v>
      </c>
      <c r="E25" s="13" t="s">
        <v>136</v>
      </c>
      <c r="F25" s="139">
        <v>1472</v>
      </c>
      <c r="G25" s="10"/>
    </row>
    <row r="26" spans="3:7">
      <c r="C26" s="15" t="s">
        <v>552</v>
      </c>
      <c r="D26" s="13" t="s">
        <v>553</v>
      </c>
      <c r="E26" s="13" t="s">
        <v>136</v>
      </c>
      <c r="F26" s="139">
        <v>1523</v>
      </c>
      <c r="G26" s="10"/>
    </row>
    <row r="27" spans="3:7" ht="12">
      <c r="C27" s="15" t="s">
        <v>554</v>
      </c>
      <c r="D27" s="13" t="s">
        <v>555</v>
      </c>
      <c r="E27" s="13" t="s">
        <v>136</v>
      </c>
      <c r="F27" s="139">
        <v>2121</v>
      </c>
      <c r="G27" s="10"/>
    </row>
    <row r="28" spans="3:7" ht="12">
      <c r="C28" s="15" t="s">
        <v>556</v>
      </c>
      <c r="D28" s="13" t="s">
        <v>557</v>
      </c>
      <c r="E28" s="13" t="s">
        <v>136</v>
      </c>
      <c r="F28" s="139">
        <v>22282</v>
      </c>
      <c r="G28" s="10"/>
    </row>
    <row r="29" spans="3:7" ht="12">
      <c r="C29" s="15" t="s">
        <v>177</v>
      </c>
      <c r="D29" s="13" t="s">
        <v>368</v>
      </c>
      <c r="E29" s="13" t="s">
        <v>346</v>
      </c>
      <c r="F29" s="139">
        <v>458680</v>
      </c>
      <c r="G29" s="10"/>
    </row>
    <row r="30" spans="3:7" ht="12">
      <c r="C30" s="15" t="s">
        <v>558</v>
      </c>
      <c r="D30" s="13" t="s">
        <v>559</v>
      </c>
      <c r="E30" s="13" t="s">
        <v>136</v>
      </c>
      <c r="F30" s="139">
        <v>803</v>
      </c>
      <c r="G30" s="10"/>
    </row>
    <row r="31" spans="3:7">
      <c r="C31" s="15" t="s">
        <v>560</v>
      </c>
      <c r="D31" s="13" t="s">
        <v>561</v>
      </c>
      <c r="E31" s="13" t="s">
        <v>136</v>
      </c>
      <c r="F31" s="139">
        <v>779</v>
      </c>
      <c r="G31" s="10"/>
    </row>
    <row r="32" spans="3:7">
      <c r="C32" s="15" t="s">
        <v>562</v>
      </c>
      <c r="D32" s="13" t="s">
        <v>563</v>
      </c>
      <c r="E32" s="13" t="s">
        <v>136</v>
      </c>
      <c r="F32" s="139">
        <v>1085</v>
      </c>
      <c r="G32" s="10"/>
    </row>
    <row r="33" spans="3:7">
      <c r="C33" s="15" t="s">
        <v>564</v>
      </c>
      <c r="D33" s="13" t="s">
        <v>565</v>
      </c>
      <c r="E33" s="13" t="s">
        <v>136</v>
      </c>
      <c r="F33" s="139">
        <v>15878</v>
      </c>
      <c r="G33" s="10"/>
    </row>
    <row r="34" spans="3:7">
      <c r="C34" s="15" t="s">
        <v>566</v>
      </c>
      <c r="D34" s="13" t="s">
        <v>567</v>
      </c>
      <c r="E34" s="13" t="s">
        <v>136</v>
      </c>
      <c r="F34" s="139">
        <v>491</v>
      </c>
      <c r="G34" s="10"/>
    </row>
    <row r="35" spans="3:7">
      <c r="C35" s="15" t="s">
        <v>568</v>
      </c>
      <c r="D35" s="13" t="s">
        <v>569</v>
      </c>
      <c r="E35" s="13" t="s">
        <v>136</v>
      </c>
      <c r="F35" s="139">
        <v>487</v>
      </c>
      <c r="G35" s="10"/>
    </row>
    <row r="36" spans="3:7">
      <c r="C36" s="15" t="s">
        <v>570</v>
      </c>
      <c r="D36" s="13" t="s">
        <v>571</v>
      </c>
      <c r="E36" s="13" t="s">
        <v>136</v>
      </c>
      <c r="F36" s="139">
        <v>643</v>
      </c>
      <c r="G36" s="10"/>
    </row>
    <row r="37" spans="3:7">
      <c r="C37" s="15" t="s">
        <v>572</v>
      </c>
      <c r="D37" s="13" t="s">
        <v>573</v>
      </c>
      <c r="E37" s="13" t="s">
        <v>136</v>
      </c>
      <c r="F37" s="139">
        <v>12815</v>
      </c>
      <c r="G37" s="10"/>
    </row>
    <row r="38" spans="3:7">
      <c r="C38" s="15" t="s">
        <v>574</v>
      </c>
      <c r="D38" s="13" t="s">
        <v>575</v>
      </c>
      <c r="E38" s="13" t="s">
        <v>136</v>
      </c>
      <c r="F38" s="139">
        <v>312</v>
      </c>
      <c r="G38" s="10"/>
    </row>
    <row r="39" spans="3:7">
      <c r="C39" s="15" t="s">
        <v>576</v>
      </c>
      <c r="D39" s="13" t="s">
        <v>577</v>
      </c>
      <c r="E39" s="13" t="s">
        <v>136</v>
      </c>
      <c r="F39" s="139">
        <v>1271</v>
      </c>
      <c r="G39" s="10"/>
    </row>
    <row r="40" spans="3:7">
      <c r="C40" s="15" t="s">
        <v>369</v>
      </c>
      <c r="D40" s="13" t="s">
        <v>370</v>
      </c>
      <c r="E40" s="13" t="s">
        <v>346</v>
      </c>
      <c r="F40" s="139">
        <v>682744.29</v>
      </c>
      <c r="G40" s="10"/>
    </row>
    <row r="41" spans="3:7">
      <c r="C41" s="15" t="s">
        <v>578</v>
      </c>
      <c r="D41" s="13" t="s">
        <v>579</v>
      </c>
      <c r="E41" s="13" t="s">
        <v>136</v>
      </c>
      <c r="F41" s="139">
        <v>1914</v>
      </c>
      <c r="G41" s="10"/>
    </row>
    <row r="42" spans="3:7">
      <c r="C42" s="15" t="s">
        <v>580</v>
      </c>
      <c r="D42" s="13" t="s">
        <v>581</v>
      </c>
      <c r="E42" s="13" t="s">
        <v>136</v>
      </c>
      <c r="F42" s="139">
        <v>606.74</v>
      </c>
      <c r="G42" s="10"/>
    </row>
    <row r="43" spans="3:7">
      <c r="C43" s="15" t="s">
        <v>582</v>
      </c>
      <c r="D43" s="13" t="s">
        <v>583</v>
      </c>
      <c r="E43" s="13" t="s">
        <v>136</v>
      </c>
      <c r="F43" s="139">
        <v>278</v>
      </c>
      <c r="G43" s="10"/>
    </row>
    <row r="44" spans="3:7">
      <c r="C44" s="15" t="s">
        <v>584</v>
      </c>
      <c r="D44" s="13" t="s">
        <v>585</v>
      </c>
      <c r="E44" s="13" t="s">
        <v>136</v>
      </c>
      <c r="F44" s="139">
        <v>18689</v>
      </c>
      <c r="G44" s="10"/>
    </row>
    <row r="45" spans="3:7">
      <c r="C45" s="15" t="s">
        <v>586</v>
      </c>
      <c r="D45" s="13" t="s">
        <v>587</v>
      </c>
      <c r="E45" s="13" t="s">
        <v>136</v>
      </c>
      <c r="F45" s="139">
        <v>14911</v>
      </c>
      <c r="G45" s="10"/>
    </row>
    <row r="46" spans="3:7">
      <c r="C46" s="15" t="s">
        <v>588</v>
      </c>
      <c r="D46" s="13" t="s">
        <v>589</v>
      </c>
      <c r="E46" s="13" t="s">
        <v>136</v>
      </c>
      <c r="F46" s="139">
        <v>7027</v>
      </c>
      <c r="G46" s="10"/>
    </row>
    <row r="47" spans="3:7">
      <c r="C47" s="15" t="s">
        <v>590</v>
      </c>
      <c r="D47" s="13" t="s">
        <v>591</v>
      </c>
      <c r="E47" s="13" t="s">
        <v>136</v>
      </c>
      <c r="F47" s="139">
        <v>11126</v>
      </c>
      <c r="G47" s="10"/>
    </row>
    <row r="48" spans="3:7">
      <c r="C48" s="15" t="s">
        <v>592</v>
      </c>
      <c r="D48" s="13" t="s">
        <v>593</v>
      </c>
      <c r="E48" s="13" t="s">
        <v>136</v>
      </c>
      <c r="F48" s="139">
        <v>2888.3999999999996</v>
      </c>
      <c r="G48" s="10"/>
    </row>
    <row r="49" spans="3:7">
      <c r="C49" s="15" t="s">
        <v>594</v>
      </c>
      <c r="D49" s="13" t="s">
        <v>595</v>
      </c>
      <c r="E49" s="13" t="s">
        <v>136</v>
      </c>
      <c r="F49" s="139">
        <v>272684</v>
      </c>
      <c r="G49" s="10"/>
    </row>
    <row r="50" spans="3:7">
      <c r="C50" s="15" t="s">
        <v>596</v>
      </c>
      <c r="D50" s="13" t="s">
        <v>597</v>
      </c>
      <c r="E50" s="13" t="s">
        <v>136</v>
      </c>
      <c r="F50" s="139">
        <v>136136</v>
      </c>
      <c r="G50" s="10"/>
    </row>
    <row r="51" spans="3:7">
      <c r="C51" s="15" t="s">
        <v>371</v>
      </c>
      <c r="D51" s="13" t="s">
        <v>372</v>
      </c>
      <c r="E51" s="13" t="s">
        <v>346</v>
      </c>
      <c r="F51" s="139">
        <v>530000</v>
      </c>
      <c r="G51" s="10"/>
    </row>
    <row r="52" spans="3:7">
      <c r="C52" s="15" t="s">
        <v>598</v>
      </c>
      <c r="D52" s="13" t="s">
        <v>599</v>
      </c>
      <c r="E52" s="13" t="s">
        <v>136</v>
      </c>
      <c r="F52" s="139">
        <v>9000</v>
      </c>
      <c r="G52" s="10"/>
    </row>
    <row r="53" spans="3:7">
      <c r="C53" s="15" t="s">
        <v>600</v>
      </c>
      <c r="D53" s="13" t="s">
        <v>601</v>
      </c>
      <c r="E53" s="13" t="s">
        <v>136</v>
      </c>
      <c r="F53" s="139">
        <v>505893.8</v>
      </c>
      <c r="G53" s="10"/>
    </row>
    <row r="54" spans="3:7">
      <c r="C54" s="15" t="s">
        <v>602</v>
      </c>
      <c r="D54" s="13" t="s">
        <v>603</v>
      </c>
      <c r="E54" s="13" t="s">
        <v>136</v>
      </c>
      <c r="F54" s="139">
        <v>336</v>
      </c>
      <c r="G54" s="10"/>
    </row>
    <row r="55" spans="3:7">
      <c r="C55" s="15" t="s">
        <v>604</v>
      </c>
      <c r="D55" s="13" t="s">
        <v>605</v>
      </c>
      <c r="E55" s="13" t="s">
        <v>136</v>
      </c>
      <c r="F55" s="139">
        <v>34382.160000000003</v>
      </c>
      <c r="G55" s="10"/>
    </row>
    <row r="56" spans="3:7">
      <c r="C56" s="15" t="s">
        <v>606</v>
      </c>
      <c r="D56" s="13" t="s">
        <v>607</v>
      </c>
      <c r="E56" s="13" t="s">
        <v>136</v>
      </c>
      <c r="F56" s="139">
        <v>1914</v>
      </c>
      <c r="G56" s="10"/>
    </row>
    <row r="57" spans="3:7">
      <c r="C57" s="15" t="s">
        <v>608</v>
      </c>
      <c r="D57" s="13" t="s">
        <v>609</v>
      </c>
      <c r="E57" s="13" t="s">
        <v>136</v>
      </c>
      <c r="F57" s="139">
        <v>77194</v>
      </c>
      <c r="G57" s="10"/>
    </row>
    <row r="58" spans="3:7">
      <c r="C58" s="15" t="s">
        <v>610</v>
      </c>
      <c r="D58" s="13" t="s">
        <v>611</v>
      </c>
      <c r="E58" s="13" t="s">
        <v>136</v>
      </c>
      <c r="F58" s="139">
        <v>321439.49</v>
      </c>
      <c r="G58" s="10"/>
    </row>
    <row r="59" spans="3:7">
      <c r="C59" s="15" t="s">
        <v>612</v>
      </c>
      <c r="D59" s="13" t="s">
        <v>613</v>
      </c>
      <c r="E59" s="13" t="s">
        <v>136</v>
      </c>
      <c r="F59" s="139">
        <v>643</v>
      </c>
      <c r="G59" s="10"/>
    </row>
    <row r="60" spans="3:7">
      <c r="C60" s="15" t="s">
        <v>614</v>
      </c>
      <c r="D60" s="13" t="s">
        <v>615</v>
      </c>
      <c r="E60" s="13" t="s">
        <v>136</v>
      </c>
      <c r="F60" s="139">
        <v>12815</v>
      </c>
      <c r="G60" s="10"/>
    </row>
    <row r="61" spans="3:7">
      <c r="C61" s="15" t="s">
        <v>160</v>
      </c>
      <c r="D61" s="13" t="s">
        <v>616</v>
      </c>
      <c r="E61" s="13" t="s">
        <v>346</v>
      </c>
      <c r="F61" s="139">
        <v>303915</v>
      </c>
      <c r="G61" s="10"/>
    </row>
    <row r="62" spans="3:7">
      <c r="C62" s="15" t="s">
        <v>171</v>
      </c>
      <c r="D62" s="13" t="s">
        <v>373</v>
      </c>
      <c r="E62" s="13" t="s">
        <v>346</v>
      </c>
      <c r="F62" s="139">
        <v>386535</v>
      </c>
      <c r="G62" s="10"/>
    </row>
    <row r="63" spans="3:7">
      <c r="C63" s="15" t="s">
        <v>617</v>
      </c>
      <c r="D63" s="13" t="s">
        <v>618</v>
      </c>
      <c r="E63" s="13" t="s">
        <v>355</v>
      </c>
      <c r="F63" s="139">
        <v>25</v>
      </c>
      <c r="G63" s="10"/>
    </row>
    <row r="64" spans="3:7">
      <c r="C64" s="15" t="s">
        <v>619</v>
      </c>
      <c r="D64" s="13" t="s">
        <v>620</v>
      </c>
      <c r="E64" s="13" t="s">
        <v>350</v>
      </c>
      <c r="F64" s="139">
        <v>4071.93</v>
      </c>
      <c r="G64" s="10"/>
    </row>
    <row r="65" spans="3:7">
      <c r="C65" s="15" t="s">
        <v>126</v>
      </c>
      <c r="D65" s="13" t="s">
        <v>621</v>
      </c>
      <c r="E65" s="13" t="s">
        <v>196</v>
      </c>
      <c r="F65" s="139">
        <v>19503.71</v>
      </c>
      <c r="G65" s="10"/>
    </row>
    <row r="66" spans="3:7">
      <c r="C66" s="15" t="s">
        <v>622</v>
      </c>
      <c r="D66" s="13" t="s">
        <v>623</v>
      </c>
      <c r="E66" s="13" t="s">
        <v>478</v>
      </c>
      <c r="F66" s="139">
        <v>19280.98</v>
      </c>
      <c r="G66" s="10"/>
    </row>
    <row r="67" spans="3:7">
      <c r="C67" s="15" t="s">
        <v>624</v>
      </c>
      <c r="D67" s="13" t="s">
        <v>349</v>
      </c>
      <c r="E67" s="13" t="s">
        <v>350</v>
      </c>
      <c r="F67" s="139">
        <v>500</v>
      </c>
      <c r="G67" s="10"/>
    </row>
    <row r="68" spans="3:7">
      <c r="C68" s="15" t="s">
        <v>625</v>
      </c>
      <c r="D68" s="13" t="s">
        <v>626</v>
      </c>
      <c r="E68" s="13" t="s">
        <v>136</v>
      </c>
      <c r="F68" s="139">
        <v>2494.39</v>
      </c>
      <c r="G68" s="10"/>
    </row>
    <row r="69" spans="3:7">
      <c r="C69" s="15" t="s">
        <v>627</v>
      </c>
      <c r="D69" s="13" t="s">
        <v>628</v>
      </c>
      <c r="E69" s="13" t="s">
        <v>478</v>
      </c>
      <c r="F69" s="139">
        <v>23056.27</v>
      </c>
      <c r="G69" s="10"/>
    </row>
    <row r="70" spans="3:7">
      <c r="C70" s="15" t="s">
        <v>629</v>
      </c>
      <c r="D70" s="13" t="s">
        <v>630</v>
      </c>
      <c r="E70" s="13" t="s">
        <v>136</v>
      </c>
      <c r="F70" s="139">
        <v>67416</v>
      </c>
      <c r="G70" s="10"/>
    </row>
    <row r="71" spans="3:7">
      <c r="C71" s="15" t="s">
        <v>631</v>
      </c>
      <c r="D71" s="13" t="s">
        <v>632</v>
      </c>
      <c r="E71" s="13" t="s">
        <v>196</v>
      </c>
      <c r="F71" s="139">
        <v>28500</v>
      </c>
      <c r="G71" s="10"/>
    </row>
    <row r="72" spans="3:7">
      <c r="C72" s="15" t="s">
        <v>633</v>
      </c>
      <c r="D72" s="13" t="s">
        <v>634</v>
      </c>
      <c r="E72" s="13" t="s">
        <v>350</v>
      </c>
      <c r="F72" s="139">
        <v>3000</v>
      </c>
      <c r="G72" s="10"/>
    </row>
    <row r="73" spans="3:7">
      <c r="C73" s="15" t="s">
        <v>374</v>
      </c>
      <c r="D73" s="13" t="s">
        <v>375</v>
      </c>
      <c r="E73" s="13" t="s">
        <v>346</v>
      </c>
      <c r="F73" s="141" t="e">
        <v>#REF!</v>
      </c>
      <c r="G73" s="10"/>
    </row>
    <row r="74" spans="3:7">
      <c r="C74" s="15" t="s">
        <v>147</v>
      </c>
      <c r="D74" s="13" t="s">
        <v>635</v>
      </c>
      <c r="E74" s="13" t="s">
        <v>136</v>
      </c>
      <c r="F74" s="139">
        <v>26900</v>
      </c>
      <c r="G74" s="10"/>
    </row>
    <row r="75" spans="3:7">
      <c r="C75" s="15" t="s">
        <v>636</v>
      </c>
      <c r="D75" s="13" t="s">
        <v>637</v>
      </c>
      <c r="E75" s="13" t="s">
        <v>385</v>
      </c>
      <c r="F75" s="139">
        <v>3640.46</v>
      </c>
      <c r="G75" s="10"/>
    </row>
    <row r="76" spans="3:7">
      <c r="C76" s="15" t="s">
        <v>638</v>
      </c>
      <c r="D76" s="13" t="s">
        <v>505</v>
      </c>
      <c r="E76" s="13" t="s">
        <v>136</v>
      </c>
      <c r="F76" s="139">
        <v>26.97</v>
      </c>
      <c r="G76" s="10"/>
    </row>
    <row r="77" spans="3:7">
      <c r="C77" s="15" t="s">
        <v>639</v>
      </c>
      <c r="D77" s="13" t="s">
        <v>640</v>
      </c>
      <c r="E77" s="13" t="s">
        <v>136</v>
      </c>
      <c r="F77" s="139">
        <v>4152.83</v>
      </c>
      <c r="G77" s="10"/>
    </row>
    <row r="78" spans="3:7">
      <c r="C78" s="15" t="s">
        <v>641</v>
      </c>
      <c r="D78" s="13" t="s">
        <v>642</v>
      </c>
      <c r="E78" s="13" t="s">
        <v>136</v>
      </c>
      <c r="F78" s="139">
        <v>107.87</v>
      </c>
      <c r="G78" s="10"/>
    </row>
    <row r="79" spans="3:7">
      <c r="C79" s="15" t="s">
        <v>643</v>
      </c>
      <c r="D79" s="13" t="s">
        <v>644</v>
      </c>
      <c r="E79" s="13" t="s">
        <v>136</v>
      </c>
      <c r="F79" s="139">
        <v>2426.98</v>
      </c>
      <c r="G79" s="10"/>
    </row>
    <row r="80" spans="3:7">
      <c r="C80" s="15" t="s">
        <v>129</v>
      </c>
      <c r="D80" s="13" t="s">
        <v>507</v>
      </c>
      <c r="E80" s="13" t="s">
        <v>136</v>
      </c>
      <c r="F80" s="139">
        <v>12404.54</v>
      </c>
      <c r="G80" s="10"/>
    </row>
    <row r="81" spans="3:7">
      <c r="C81" s="15" t="s">
        <v>645</v>
      </c>
      <c r="D81" s="13" t="s">
        <v>509</v>
      </c>
      <c r="E81" s="140" t="s">
        <v>136</v>
      </c>
      <c r="F81" s="141">
        <v>67.42</v>
      </c>
      <c r="G81" s="10"/>
    </row>
    <row r="82" spans="3:7">
      <c r="C82" s="15" t="s">
        <v>646</v>
      </c>
      <c r="D82" s="13" t="s">
        <v>647</v>
      </c>
      <c r="E82" s="140" t="s">
        <v>196</v>
      </c>
      <c r="F82" s="141">
        <v>161798.39999999999</v>
      </c>
      <c r="G82" s="10"/>
    </row>
    <row r="83" spans="3:7">
      <c r="C83" s="15" t="s">
        <v>648</v>
      </c>
      <c r="D83" s="13" t="s">
        <v>649</v>
      </c>
      <c r="E83" s="140" t="s">
        <v>196</v>
      </c>
      <c r="F83" s="141">
        <v>32359.68</v>
      </c>
      <c r="G83" s="10"/>
    </row>
    <row r="84" spans="3:7">
      <c r="C84" s="15" t="s">
        <v>376</v>
      </c>
      <c r="D84" s="13" t="s">
        <v>377</v>
      </c>
      <c r="E84" s="13" t="s">
        <v>346</v>
      </c>
      <c r="F84" s="139" t="e">
        <v>#REF!</v>
      </c>
      <c r="G84" s="10"/>
    </row>
    <row r="85" spans="3:7">
      <c r="C85" s="15" t="s">
        <v>650</v>
      </c>
      <c r="D85" s="13" t="s">
        <v>651</v>
      </c>
      <c r="E85" s="140" t="s">
        <v>136</v>
      </c>
      <c r="F85" s="141">
        <v>468392</v>
      </c>
      <c r="G85" s="10"/>
    </row>
    <row r="86" spans="3:7">
      <c r="C86" s="15" t="s">
        <v>652</v>
      </c>
      <c r="D86" s="13" t="s">
        <v>653</v>
      </c>
      <c r="E86" s="140" t="s">
        <v>136</v>
      </c>
      <c r="F86" s="141">
        <v>505000</v>
      </c>
      <c r="G86" s="10"/>
    </row>
    <row r="87" spans="3:7">
      <c r="C87" s="15" t="s">
        <v>654</v>
      </c>
      <c r="D87" s="13" t="s">
        <v>655</v>
      </c>
      <c r="E87" s="140" t="s">
        <v>136</v>
      </c>
      <c r="F87" s="141">
        <v>535000</v>
      </c>
      <c r="G87" s="10"/>
    </row>
    <row r="88" spans="3:7">
      <c r="C88" s="15" t="s">
        <v>656</v>
      </c>
      <c r="D88" s="13" t="s">
        <v>657</v>
      </c>
      <c r="E88" s="140" t="s">
        <v>136</v>
      </c>
      <c r="F88" s="141">
        <v>660000</v>
      </c>
      <c r="G88" s="10"/>
    </row>
    <row r="89" spans="3:7">
      <c r="C89" s="15" t="s">
        <v>658</v>
      </c>
      <c r="D89" s="13" t="s">
        <v>659</v>
      </c>
      <c r="E89" s="140" t="s">
        <v>136</v>
      </c>
      <c r="F89" s="141">
        <v>7119.13</v>
      </c>
      <c r="G89" s="10"/>
    </row>
    <row r="90" spans="3:7">
      <c r="C90" s="15" t="s">
        <v>660</v>
      </c>
      <c r="D90" s="13" t="s">
        <v>661</v>
      </c>
      <c r="E90" s="140" t="s">
        <v>136</v>
      </c>
      <c r="F90" s="141">
        <v>782025.6</v>
      </c>
      <c r="G90" s="10"/>
    </row>
    <row r="91" spans="3:7">
      <c r="C91" s="15" t="s">
        <v>662</v>
      </c>
      <c r="D91" s="13" t="s">
        <v>663</v>
      </c>
      <c r="E91" s="140" t="s">
        <v>136</v>
      </c>
      <c r="F91" s="141">
        <v>2157.31</v>
      </c>
      <c r="G91" s="10"/>
    </row>
    <row r="92" spans="3:7">
      <c r="C92" s="15" t="s">
        <v>664</v>
      </c>
      <c r="D92" s="13" t="s">
        <v>665</v>
      </c>
      <c r="E92" s="140" t="s">
        <v>136</v>
      </c>
      <c r="F92" s="141">
        <v>5929.92</v>
      </c>
      <c r="G92" s="10"/>
    </row>
    <row r="93" spans="3:7">
      <c r="C93" s="15" t="s">
        <v>666</v>
      </c>
      <c r="D93" s="13" t="s">
        <v>667</v>
      </c>
      <c r="E93" s="140" t="s">
        <v>136</v>
      </c>
      <c r="F93" s="141">
        <v>13173.09</v>
      </c>
      <c r="G93" s="10"/>
    </row>
    <row r="94" spans="3:7">
      <c r="C94" s="15" t="s">
        <v>668</v>
      </c>
      <c r="D94" s="13" t="s">
        <v>669</v>
      </c>
      <c r="E94" s="140" t="s">
        <v>136</v>
      </c>
      <c r="F94" s="141">
        <v>33.71</v>
      </c>
      <c r="G94" s="10"/>
    </row>
    <row r="95" spans="3:7">
      <c r="C95" s="15" t="s">
        <v>378</v>
      </c>
      <c r="D95" s="13" t="s">
        <v>379</v>
      </c>
      <c r="E95" s="13" t="s">
        <v>346</v>
      </c>
      <c r="F95" s="139">
        <v>644519</v>
      </c>
      <c r="G95" s="10"/>
    </row>
    <row r="96" spans="3:7">
      <c r="C96" s="15" t="s">
        <v>670</v>
      </c>
      <c r="D96" s="13" t="s">
        <v>671</v>
      </c>
      <c r="E96" s="140" t="s">
        <v>350</v>
      </c>
      <c r="F96" s="141">
        <v>21573.119999999999</v>
      </c>
      <c r="G96" s="10"/>
    </row>
    <row r="97" spans="3:7">
      <c r="C97" s="15" t="s">
        <v>672</v>
      </c>
      <c r="D97" s="13" t="s">
        <v>673</v>
      </c>
      <c r="E97" s="140" t="s">
        <v>136</v>
      </c>
      <c r="F97" s="141">
        <v>31281.02</v>
      </c>
      <c r="G97" s="10"/>
    </row>
    <row r="98" spans="3:7">
      <c r="C98" s="15" t="s">
        <v>674</v>
      </c>
      <c r="D98" s="13" t="s">
        <v>675</v>
      </c>
      <c r="E98" s="140" t="s">
        <v>350</v>
      </c>
      <c r="F98" s="141">
        <v>7078.68</v>
      </c>
      <c r="G98" s="10"/>
    </row>
    <row r="99" spans="3:7">
      <c r="C99" s="15" t="s">
        <v>676</v>
      </c>
      <c r="D99" s="13" t="s">
        <v>677</v>
      </c>
      <c r="E99" s="140" t="s">
        <v>136</v>
      </c>
      <c r="F99" s="141">
        <v>32899.01</v>
      </c>
      <c r="G99" s="10"/>
    </row>
    <row r="100" spans="3:7">
      <c r="C100" s="15" t="s">
        <v>678</v>
      </c>
      <c r="D100" s="13" t="s">
        <v>679</v>
      </c>
      <c r="E100" s="140" t="s">
        <v>136</v>
      </c>
      <c r="F100" s="141">
        <v>81303.7</v>
      </c>
      <c r="G100" s="10"/>
    </row>
    <row r="101" spans="3:7">
      <c r="C101" s="15" t="s">
        <v>680</v>
      </c>
      <c r="D101" s="13" t="s">
        <v>681</v>
      </c>
      <c r="E101" s="140" t="s">
        <v>136</v>
      </c>
      <c r="F101" s="141">
        <v>1483.15</v>
      </c>
      <c r="G101" s="10"/>
    </row>
    <row r="102" spans="3:7">
      <c r="C102" s="15" t="s">
        <v>682</v>
      </c>
      <c r="D102" s="13" t="s">
        <v>683</v>
      </c>
      <c r="E102" s="140" t="s">
        <v>136</v>
      </c>
      <c r="F102" s="141">
        <v>125299.38</v>
      </c>
      <c r="G102" s="10"/>
    </row>
    <row r="103" spans="3:7">
      <c r="C103" s="15" t="s">
        <v>684</v>
      </c>
      <c r="D103" s="13" t="s">
        <v>685</v>
      </c>
      <c r="E103" s="140" t="s">
        <v>136</v>
      </c>
      <c r="F103" s="141">
        <v>80764.37</v>
      </c>
      <c r="G103" s="10"/>
    </row>
    <row r="104" spans="3:7">
      <c r="C104" s="15" t="s">
        <v>686</v>
      </c>
      <c r="D104" s="13" t="s">
        <v>687</v>
      </c>
      <c r="E104" s="140" t="s">
        <v>136</v>
      </c>
      <c r="F104" s="141">
        <v>7843.17</v>
      </c>
      <c r="G104" s="10"/>
    </row>
    <row r="105" spans="3:7">
      <c r="C105" s="15" t="s">
        <v>688</v>
      </c>
      <c r="D105" s="13" t="s">
        <v>675</v>
      </c>
      <c r="E105" s="140" t="s">
        <v>350</v>
      </c>
      <c r="F105" s="141">
        <v>7078.68</v>
      </c>
      <c r="G105" s="10"/>
    </row>
    <row r="106" spans="3:7">
      <c r="C106" s="15" t="s">
        <v>380</v>
      </c>
      <c r="D106" s="13" t="s">
        <v>381</v>
      </c>
      <c r="E106" s="13" t="s">
        <v>346</v>
      </c>
      <c r="F106" s="139" t="e">
        <v>#REF!</v>
      </c>
      <c r="G106" s="10"/>
    </row>
    <row r="107" spans="3:7">
      <c r="C107" s="15" t="s">
        <v>689</v>
      </c>
      <c r="D107" s="13" t="s">
        <v>690</v>
      </c>
      <c r="E107" s="140" t="s">
        <v>136</v>
      </c>
      <c r="F107" s="141">
        <v>175955.76</v>
      </c>
      <c r="G107" s="10"/>
    </row>
    <row r="108" spans="3:7">
      <c r="C108" s="15" t="s">
        <v>691</v>
      </c>
      <c r="D108" s="13" t="s">
        <v>692</v>
      </c>
      <c r="E108" s="140" t="s">
        <v>136</v>
      </c>
      <c r="F108" s="141">
        <v>100180.18</v>
      </c>
      <c r="G108" s="10"/>
    </row>
    <row r="109" spans="3:7">
      <c r="C109" s="15" t="s">
        <v>693</v>
      </c>
      <c r="D109" s="13" t="s">
        <v>694</v>
      </c>
      <c r="E109" s="140" t="s">
        <v>136</v>
      </c>
      <c r="F109" s="141">
        <v>219102</v>
      </c>
      <c r="G109" s="10"/>
    </row>
    <row r="110" spans="3:7">
      <c r="C110" s="15" t="s">
        <v>695</v>
      </c>
      <c r="D110" s="13" t="s">
        <v>696</v>
      </c>
      <c r="E110" s="140" t="s">
        <v>196</v>
      </c>
      <c r="F110" s="141">
        <v>196787</v>
      </c>
      <c r="G110" s="10"/>
    </row>
    <row r="111" spans="3:7">
      <c r="C111" s="15" t="s">
        <v>148</v>
      </c>
      <c r="D111" s="13" t="s">
        <v>697</v>
      </c>
      <c r="E111" s="140" t="s">
        <v>136</v>
      </c>
      <c r="F111" s="141">
        <v>1800</v>
      </c>
      <c r="G111" s="10"/>
    </row>
    <row r="112" spans="3:7">
      <c r="C112" s="15" t="s">
        <v>698</v>
      </c>
      <c r="D112" s="13" t="s">
        <v>699</v>
      </c>
      <c r="E112" s="140" t="s">
        <v>159</v>
      </c>
      <c r="F112" s="141">
        <v>11325.89</v>
      </c>
      <c r="G112" s="10"/>
    </row>
    <row r="113" spans="3:7">
      <c r="C113" s="15" t="s">
        <v>700</v>
      </c>
      <c r="D113" s="13" t="s">
        <v>701</v>
      </c>
      <c r="E113" s="140" t="s">
        <v>136</v>
      </c>
      <c r="F113" s="141">
        <v>40557.47</v>
      </c>
      <c r="G113" s="10"/>
    </row>
    <row r="114" spans="3:7">
      <c r="C114" s="15" t="s">
        <v>702</v>
      </c>
      <c r="D114" s="13" t="s">
        <v>703</v>
      </c>
      <c r="E114" s="140" t="s">
        <v>385</v>
      </c>
      <c r="F114" s="141">
        <v>14966.35</v>
      </c>
      <c r="G114" s="10"/>
    </row>
    <row r="115" spans="3:7">
      <c r="C115" s="15" t="s">
        <v>704</v>
      </c>
      <c r="D115" s="13" t="s">
        <v>705</v>
      </c>
      <c r="E115" s="140" t="s">
        <v>136</v>
      </c>
      <c r="F115" s="141">
        <v>79228</v>
      </c>
      <c r="G115" s="10"/>
    </row>
    <row r="116" spans="3:7">
      <c r="C116" s="15" t="s">
        <v>706</v>
      </c>
      <c r="D116" s="13" t="s">
        <v>707</v>
      </c>
      <c r="E116" s="140" t="s">
        <v>159</v>
      </c>
      <c r="F116" s="141">
        <v>8138.833333333333</v>
      </c>
      <c r="G116" s="10"/>
    </row>
    <row r="117" spans="3:7">
      <c r="C117" s="15" t="s">
        <v>68</v>
      </c>
      <c r="D117" s="13" t="s">
        <v>382</v>
      </c>
      <c r="E117" s="140" t="s">
        <v>350</v>
      </c>
      <c r="F117" s="141">
        <v>714</v>
      </c>
      <c r="G117" s="10"/>
    </row>
    <row r="118" spans="3:7">
      <c r="C118" s="15" t="s">
        <v>708</v>
      </c>
      <c r="D118" s="13" t="s">
        <v>709</v>
      </c>
      <c r="E118" s="140" t="s">
        <v>136</v>
      </c>
      <c r="F118" s="141">
        <v>5800</v>
      </c>
      <c r="G118" s="10"/>
    </row>
    <row r="119" spans="3:7">
      <c r="C119" s="15" t="s">
        <v>710</v>
      </c>
      <c r="D119" s="13" t="s">
        <v>711</v>
      </c>
      <c r="E119" s="140" t="s">
        <v>136</v>
      </c>
      <c r="F119" s="141">
        <v>103281.31</v>
      </c>
      <c r="G119" s="10"/>
    </row>
    <row r="120" spans="3:7">
      <c r="C120" s="15" t="s">
        <v>712</v>
      </c>
      <c r="D120" s="13" t="s">
        <v>713</v>
      </c>
      <c r="E120" s="140" t="s">
        <v>390</v>
      </c>
      <c r="F120" s="141">
        <v>100837.5</v>
      </c>
      <c r="G120" s="10"/>
    </row>
    <row r="121" spans="3:7">
      <c r="C121" s="15" t="s">
        <v>714</v>
      </c>
      <c r="D121" s="13" t="s">
        <v>715</v>
      </c>
      <c r="E121" s="140" t="s">
        <v>136</v>
      </c>
      <c r="F121" s="141">
        <v>3210.35</v>
      </c>
      <c r="G121" s="10"/>
    </row>
    <row r="122" spans="3:7">
      <c r="C122" s="15" t="s">
        <v>716</v>
      </c>
      <c r="D122" s="13" t="s">
        <v>717</v>
      </c>
      <c r="E122" s="140" t="s">
        <v>136</v>
      </c>
      <c r="F122" s="141">
        <v>11846.34</v>
      </c>
      <c r="G122" s="10"/>
    </row>
    <row r="123" spans="3:7">
      <c r="C123" s="15" t="s">
        <v>718</v>
      </c>
      <c r="D123" s="13" t="s">
        <v>719</v>
      </c>
      <c r="E123" s="140" t="s">
        <v>159</v>
      </c>
      <c r="F123" s="141">
        <v>26525.333333333332</v>
      </c>
      <c r="G123" s="10"/>
    </row>
    <row r="124" spans="3:7">
      <c r="C124" s="15" t="s">
        <v>720</v>
      </c>
      <c r="D124" s="13" t="s">
        <v>721</v>
      </c>
      <c r="E124" s="140" t="s">
        <v>136</v>
      </c>
      <c r="F124" s="141">
        <v>5466</v>
      </c>
      <c r="G124" s="10"/>
    </row>
    <row r="125" spans="3:7">
      <c r="C125" s="15" t="s">
        <v>722</v>
      </c>
      <c r="D125" s="13" t="s">
        <v>723</v>
      </c>
      <c r="E125" s="140" t="s">
        <v>136</v>
      </c>
      <c r="F125" s="141">
        <v>7188</v>
      </c>
      <c r="G125" s="10"/>
    </row>
    <row r="126" spans="3:7">
      <c r="C126" s="15" t="s">
        <v>724</v>
      </c>
      <c r="D126" s="13" t="s">
        <v>725</v>
      </c>
      <c r="E126" s="140" t="s">
        <v>136</v>
      </c>
      <c r="F126" s="141">
        <f>52404</f>
        <v>52404</v>
      </c>
      <c r="G126" s="10"/>
    </row>
    <row r="127" spans="3:7">
      <c r="C127" s="15" t="s">
        <v>726</v>
      </c>
      <c r="D127" s="13" t="s">
        <v>727</v>
      </c>
      <c r="E127" s="140" t="s">
        <v>136</v>
      </c>
      <c r="F127" s="141">
        <v>2011</v>
      </c>
      <c r="G127" s="10"/>
    </row>
    <row r="128" spans="3:7">
      <c r="C128" s="15" t="s">
        <v>69</v>
      </c>
      <c r="D128" s="13" t="s">
        <v>383</v>
      </c>
      <c r="E128" s="13" t="s">
        <v>136</v>
      </c>
      <c r="F128" s="139">
        <v>400</v>
      </c>
      <c r="G128" s="10"/>
    </row>
    <row r="129" spans="3:7">
      <c r="C129" s="15" t="s">
        <v>728</v>
      </c>
      <c r="D129" s="13" t="s">
        <v>729</v>
      </c>
      <c r="E129" s="140" t="s">
        <v>136</v>
      </c>
      <c r="F129" s="141">
        <v>101124</v>
      </c>
      <c r="G129" s="10"/>
    </row>
    <row r="130" spans="3:7">
      <c r="C130" s="15" t="s">
        <v>730</v>
      </c>
      <c r="D130" s="13" t="s">
        <v>731</v>
      </c>
      <c r="E130" s="140" t="s">
        <v>136</v>
      </c>
      <c r="F130" s="141">
        <v>3597.32</v>
      </c>
      <c r="G130" s="10"/>
    </row>
    <row r="131" spans="3:7">
      <c r="C131" s="15" t="s">
        <v>732</v>
      </c>
      <c r="D131" s="13" t="s">
        <v>733</v>
      </c>
      <c r="E131" s="140" t="s">
        <v>136</v>
      </c>
      <c r="F131" s="141">
        <v>2831.47</v>
      </c>
      <c r="G131" s="10"/>
    </row>
    <row r="132" spans="3:7">
      <c r="C132" s="15" t="s">
        <v>734</v>
      </c>
      <c r="D132" s="13" t="s">
        <v>735</v>
      </c>
      <c r="E132" s="140" t="s">
        <v>136</v>
      </c>
      <c r="F132" s="141">
        <v>516314.95</v>
      </c>
      <c r="G132" s="10"/>
    </row>
    <row r="133" spans="3:7">
      <c r="C133" s="15" t="s">
        <v>736</v>
      </c>
      <c r="D133" s="13" t="s">
        <v>737</v>
      </c>
      <c r="E133" s="140" t="s">
        <v>136</v>
      </c>
      <c r="F133" s="141">
        <v>485000</v>
      </c>
      <c r="G133" s="10"/>
    </row>
    <row r="134" spans="3:7">
      <c r="C134" s="15" t="s">
        <v>738</v>
      </c>
      <c r="D134" s="13" t="s">
        <v>739</v>
      </c>
      <c r="E134" s="140" t="s">
        <v>159</v>
      </c>
      <c r="F134" s="141">
        <f>83407/6</f>
        <v>13901.166666666666</v>
      </c>
      <c r="G134" s="10"/>
    </row>
    <row r="135" spans="3:7">
      <c r="C135" s="15" t="s">
        <v>740</v>
      </c>
      <c r="D135" s="13" t="s">
        <v>741</v>
      </c>
      <c r="E135" s="140" t="s">
        <v>136</v>
      </c>
      <c r="F135" s="141">
        <v>25523</v>
      </c>
      <c r="G135" s="10"/>
    </row>
    <row r="136" spans="3:7">
      <c r="C136" s="15" t="s">
        <v>742</v>
      </c>
      <c r="D136" s="13" t="s">
        <v>743</v>
      </c>
      <c r="E136" s="140" t="s">
        <v>159</v>
      </c>
      <c r="F136" s="141">
        <f>246150/6</f>
        <v>41025</v>
      </c>
      <c r="G136" s="10"/>
    </row>
    <row r="137" spans="3:7">
      <c r="C137" s="15" t="s">
        <v>744</v>
      </c>
      <c r="D137" s="13" t="s">
        <v>713</v>
      </c>
      <c r="E137" s="140" t="s">
        <v>390</v>
      </c>
      <c r="F137" s="141">
        <v>100837.5</v>
      </c>
      <c r="G137" s="10"/>
    </row>
    <row r="138" spans="3:7">
      <c r="C138" s="15" t="s">
        <v>745</v>
      </c>
      <c r="D138" s="13" t="s">
        <v>746</v>
      </c>
      <c r="E138" s="140" t="s">
        <v>136</v>
      </c>
      <c r="F138" s="141">
        <v>21109.3</v>
      </c>
      <c r="G138" s="10"/>
    </row>
    <row r="139" spans="3:7">
      <c r="C139" s="15" t="s">
        <v>70</v>
      </c>
      <c r="D139" s="13" t="s">
        <v>384</v>
      </c>
      <c r="E139" s="13" t="s">
        <v>385</v>
      </c>
      <c r="F139" s="139">
        <v>3400</v>
      </c>
      <c r="G139" s="10"/>
    </row>
    <row r="140" spans="3:7">
      <c r="C140" s="15" t="s">
        <v>747</v>
      </c>
      <c r="D140" s="13" t="s">
        <v>717</v>
      </c>
      <c r="E140" s="140" t="s">
        <v>136</v>
      </c>
      <c r="F140" s="141">
        <v>11846.34</v>
      </c>
      <c r="G140" s="10"/>
    </row>
    <row r="141" spans="3:7">
      <c r="C141" s="15" t="s">
        <v>748</v>
      </c>
      <c r="D141" s="13" t="s">
        <v>749</v>
      </c>
      <c r="E141" s="140" t="s">
        <v>159</v>
      </c>
      <c r="F141" s="141">
        <v>78248</v>
      </c>
      <c r="G141" s="10"/>
    </row>
    <row r="142" spans="3:7">
      <c r="C142" s="15" t="s">
        <v>750</v>
      </c>
      <c r="D142" s="13" t="s">
        <v>751</v>
      </c>
      <c r="E142" s="140" t="s">
        <v>159</v>
      </c>
      <c r="F142" s="141">
        <v>9480.3333333333339</v>
      </c>
      <c r="G142" s="10"/>
    </row>
    <row r="143" spans="3:7">
      <c r="C143" s="15" t="s">
        <v>752</v>
      </c>
      <c r="D143" s="13" t="s">
        <v>753</v>
      </c>
      <c r="E143" s="140" t="s">
        <v>159</v>
      </c>
      <c r="F143" s="141">
        <v>7457.333333333333</v>
      </c>
      <c r="G143" s="10"/>
    </row>
    <row r="144" spans="3:7">
      <c r="C144" s="15" t="s">
        <v>754</v>
      </c>
      <c r="D144" s="13" t="s">
        <v>755</v>
      </c>
      <c r="E144" s="140" t="s">
        <v>350</v>
      </c>
      <c r="F144" s="141">
        <v>9168.58</v>
      </c>
      <c r="G144" s="10"/>
    </row>
    <row r="145" spans="3:7">
      <c r="C145" s="15" t="s">
        <v>756</v>
      </c>
      <c r="D145" s="13" t="s">
        <v>757</v>
      </c>
      <c r="E145" s="140" t="s">
        <v>137</v>
      </c>
      <c r="F145" s="142">
        <f>259000/100</f>
        <v>2590</v>
      </c>
      <c r="G145" s="10"/>
    </row>
    <row r="146" spans="3:7">
      <c r="C146" s="15" t="s">
        <v>758</v>
      </c>
      <c r="D146" s="13" t="s">
        <v>759</v>
      </c>
      <c r="E146" s="140" t="s">
        <v>342</v>
      </c>
      <c r="F146" s="143">
        <f>7500</f>
        <v>7500</v>
      </c>
      <c r="G146" s="13"/>
    </row>
    <row r="147" spans="3:7">
      <c r="C147" s="15" t="s">
        <v>760</v>
      </c>
      <c r="D147" s="13" t="s">
        <v>761</v>
      </c>
      <c r="E147" s="140" t="s">
        <v>136</v>
      </c>
      <c r="F147" s="144">
        <v>1050</v>
      </c>
      <c r="G147" s="10"/>
    </row>
    <row r="148" spans="3:7">
      <c r="C148" s="15" t="s">
        <v>163</v>
      </c>
      <c r="D148" s="13" t="s">
        <v>1226</v>
      </c>
      <c r="E148" s="140" t="s">
        <v>762</v>
      </c>
      <c r="F148" s="141">
        <f>731624/60</f>
        <v>12193.733333333334</v>
      </c>
      <c r="G148" s="10"/>
    </row>
    <row r="149" spans="3:7">
      <c r="C149" s="15" t="s">
        <v>763</v>
      </c>
      <c r="D149" s="13" t="s">
        <v>764</v>
      </c>
      <c r="E149" s="140" t="s">
        <v>136</v>
      </c>
      <c r="F149" s="141">
        <v>550</v>
      </c>
      <c r="G149" s="10"/>
    </row>
    <row r="150" spans="3:7">
      <c r="C150" s="15" t="s">
        <v>71</v>
      </c>
      <c r="D150" s="13" t="s">
        <v>386</v>
      </c>
      <c r="E150" s="13" t="s">
        <v>387</v>
      </c>
      <c r="F150" s="139">
        <v>3910.13</v>
      </c>
      <c r="G150" s="10"/>
    </row>
    <row r="151" spans="3:7">
      <c r="C151" s="15" t="s">
        <v>765</v>
      </c>
      <c r="D151" s="13" t="s">
        <v>766</v>
      </c>
      <c r="E151" s="140" t="s">
        <v>346</v>
      </c>
      <c r="F151" s="141">
        <v>130000</v>
      </c>
      <c r="G151" s="10"/>
    </row>
    <row r="152" spans="3:7">
      <c r="C152" s="15" t="s">
        <v>767</v>
      </c>
      <c r="D152" s="13" t="s">
        <v>768</v>
      </c>
      <c r="E152" s="140" t="s">
        <v>137</v>
      </c>
      <c r="F152" s="141">
        <f>18000/3</f>
        <v>6000</v>
      </c>
      <c r="G152" s="10"/>
    </row>
    <row r="153" spans="3:7">
      <c r="C153" s="15" t="s">
        <v>769</v>
      </c>
      <c r="D153" s="145" t="s">
        <v>770</v>
      </c>
      <c r="E153" s="145" t="s">
        <v>390</v>
      </c>
      <c r="F153" s="146">
        <v>1000</v>
      </c>
      <c r="G153" s="10"/>
    </row>
    <row r="154" spans="3:7">
      <c r="C154" s="15" t="s">
        <v>771</v>
      </c>
      <c r="D154" s="145" t="s">
        <v>772</v>
      </c>
      <c r="E154" s="145" t="s">
        <v>149</v>
      </c>
      <c r="F154" s="146">
        <v>940</v>
      </c>
      <c r="G154" s="10"/>
    </row>
    <row r="155" spans="3:7">
      <c r="C155" s="15" t="s">
        <v>773</v>
      </c>
      <c r="D155" s="147" t="s">
        <v>774</v>
      </c>
      <c r="E155" s="147" t="s">
        <v>762</v>
      </c>
      <c r="F155" s="146">
        <v>2950</v>
      </c>
      <c r="G155" s="10"/>
    </row>
    <row r="156" spans="3:7">
      <c r="C156" s="15" t="s">
        <v>178</v>
      </c>
      <c r="D156" s="147" t="s">
        <v>775</v>
      </c>
      <c r="E156" s="147" t="s">
        <v>350</v>
      </c>
      <c r="F156" s="146">
        <v>3300</v>
      </c>
      <c r="G156" s="10"/>
    </row>
    <row r="157" spans="3:7">
      <c r="C157" s="15" t="s">
        <v>776</v>
      </c>
      <c r="D157" s="147" t="s">
        <v>777</v>
      </c>
      <c r="E157" s="147" t="s">
        <v>350</v>
      </c>
      <c r="F157" s="146">
        <v>9000</v>
      </c>
      <c r="G157" s="10"/>
    </row>
    <row r="158" spans="3:7">
      <c r="C158" s="15" t="s">
        <v>778</v>
      </c>
      <c r="D158" s="145" t="s">
        <v>779</v>
      </c>
      <c r="E158" s="145" t="s">
        <v>780</v>
      </c>
      <c r="F158" s="146">
        <v>1000</v>
      </c>
      <c r="G158" s="10"/>
    </row>
    <row r="159" spans="3:7">
      <c r="C159" s="15" t="s">
        <v>781</v>
      </c>
      <c r="D159" s="147" t="s">
        <v>782</v>
      </c>
      <c r="E159" s="147" t="s">
        <v>762</v>
      </c>
      <c r="F159" s="146">
        <v>4037</v>
      </c>
      <c r="G159" s="10"/>
    </row>
    <row r="160" spans="3:7">
      <c r="C160" s="15" t="s">
        <v>783</v>
      </c>
      <c r="D160" s="147" t="s">
        <v>784</v>
      </c>
      <c r="E160" s="147" t="s">
        <v>780</v>
      </c>
      <c r="F160" s="146">
        <v>6600</v>
      </c>
      <c r="G160" s="10"/>
    </row>
    <row r="161" spans="3:7">
      <c r="C161" s="15" t="s">
        <v>391</v>
      </c>
      <c r="D161" s="13" t="s">
        <v>392</v>
      </c>
      <c r="E161" s="13" t="s">
        <v>346</v>
      </c>
      <c r="F161" s="139">
        <v>35000</v>
      </c>
      <c r="G161" s="10"/>
    </row>
    <row r="162" spans="3:7">
      <c r="C162" s="15" t="s">
        <v>162</v>
      </c>
      <c r="D162" s="148" t="s">
        <v>785</v>
      </c>
      <c r="E162" s="148" t="s">
        <v>786</v>
      </c>
      <c r="F162" s="146">
        <v>1000</v>
      </c>
      <c r="G162" s="10"/>
    </row>
    <row r="163" spans="3:7">
      <c r="C163" s="15" t="s">
        <v>787</v>
      </c>
      <c r="D163" s="147" t="s">
        <v>788</v>
      </c>
      <c r="E163" s="147" t="s">
        <v>780</v>
      </c>
      <c r="F163" s="146">
        <v>2000</v>
      </c>
      <c r="G163" s="10"/>
    </row>
    <row r="164" spans="3:7">
      <c r="C164" s="15" t="s">
        <v>789</v>
      </c>
      <c r="D164" s="147" t="s">
        <v>790</v>
      </c>
      <c r="E164" s="147" t="s">
        <v>136</v>
      </c>
      <c r="F164" s="146">
        <v>2500</v>
      </c>
      <c r="G164" s="10"/>
    </row>
    <row r="165" spans="3:7">
      <c r="C165" s="15" t="s">
        <v>791</v>
      </c>
      <c r="D165" s="147" t="s">
        <v>792</v>
      </c>
      <c r="E165" s="147" t="s">
        <v>780</v>
      </c>
      <c r="F165" s="146">
        <v>2800</v>
      </c>
      <c r="G165" s="10"/>
    </row>
    <row r="166" spans="3:7">
      <c r="C166" s="15" t="s">
        <v>191</v>
      </c>
      <c r="D166" s="145" t="s">
        <v>793</v>
      </c>
      <c r="E166" s="145" t="s">
        <v>136</v>
      </c>
      <c r="F166" s="146">
        <v>18000</v>
      </c>
      <c r="G166" s="10"/>
    </row>
    <row r="167" spans="3:7">
      <c r="C167" s="15" t="s">
        <v>794</v>
      </c>
      <c r="D167" s="145" t="s">
        <v>1324</v>
      </c>
      <c r="E167" s="145" t="s">
        <v>780</v>
      </c>
      <c r="F167" s="146">
        <v>2500</v>
      </c>
      <c r="G167" s="10"/>
    </row>
    <row r="168" spans="3:7">
      <c r="C168" s="15" t="s">
        <v>795</v>
      </c>
      <c r="D168" s="148" t="s">
        <v>796</v>
      </c>
      <c r="E168" s="148" t="s">
        <v>797</v>
      </c>
      <c r="F168" s="146">
        <v>145000</v>
      </c>
      <c r="G168" s="10"/>
    </row>
    <row r="169" spans="3:7">
      <c r="C169" s="15" t="s">
        <v>798</v>
      </c>
      <c r="D169" s="145" t="s">
        <v>1341</v>
      </c>
      <c r="E169" s="145" t="s">
        <v>799</v>
      </c>
      <c r="F169" s="146">
        <v>24900</v>
      </c>
      <c r="G169" s="10"/>
    </row>
    <row r="170" spans="3:7">
      <c r="C170" s="15" t="s">
        <v>800</v>
      </c>
      <c r="D170" s="147" t="s">
        <v>801</v>
      </c>
      <c r="E170" s="147" t="s">
        <v>137</v>
      </c>
      <c r="F170" s="146">
        <v>40000</v>
      </c>
      <c r="G170" s="10"/>
    </row>
    <row r="171" spans="3:7">
      <c r="C171" s="15" t="s">
        <v>802</v>
      </c>
      <c r="D171" s="147" t="s">
        <v>803</v>
      </c>
      <c r="E171" s="147" t="s">
        <v>762</v>
      </c>
      <c r="F171" s="146">
        <v>3500</v>
      </c>
      <c r="G171" s="10"/>
    </row>
    <row r="172" spans="3:7">
      <c r="C172" s="15" t="s">
        <v>167</v>
      </c>
      <c r="D172" s="13" t="s">
        <v>393</v>
      </c>
      <c r="E172" s="13" t="s">
        <v>350</v>
      </c>
      <c r="F172" s="139">
        <v>4200</v>
      </c>
      <c r="G172" s="10"/>
    </row>
    <row r="173" spans="3:7">
      <c r="C173" s="15" t="s">
        <v>804</v>
      </c>
      <c r="D173" s="147" t="s">
        <v>805</v>
      </c>
      <c r="E173" s="147" t="s">
        <v>762</v>
      </c>
      <c r="F173" s="146">
        <v>3500</v>
      </c>
      <c r="G173" s="10"/>
    </row>
    <row r="174" spans="3:7">
      <c r="C174" s="15" t="s">
        <v>806</v>
      </c>
      <c r="D174" s="147" t="s">
        <v>807</v>
      </c>
      <c r="E174" s="147" t="s">
        <v>346</v>
      </c>
      <c r="F174" s="146">
        <v>325000</v>
      </c>
      <c r="G174" s="10"/>
    </row>
    <row r="175" spans="3:7">
      <c r="C175" s="15" t="s">
        <v>151</v>
      </c>
      <c r="D175" s="147" t="s">
        <v>808</v>
      </c>
      <c r="E175" s="147" t="s">
        <v>346</v>
      </c>
      <c r="F175" s="146">
        <v>644809.47</v>
      </c>
      <c r="G175" s="10"/>
    </row>
    <row r="176" spans="3:7">
      <c r="C176" s="15" t="s">
        <v>181</v>
      </c>
      <c r="D176" s="147" t="s">
        <v>809</v>
      </c>
      <c r="E176" s="147" t="s">
        <v>346</v>
      </c>
      <c r="F176" s="146">
        <v>663776.88</v>
      </c>
      <c r="G176" s="10"/>
    </row>
    <row r="177" spans="3:7">
      <c r="C177" s="15" t="s">
        <v>810</v>
      </c>
      <c r="D177" s="147" t="s">
        <v>811</v>
      </c>
      <c r="E177" s="147" t="s">
        <v>196</v>
      </c>
      <c r="F177" s="146">
        <v>60000</v>
      </c>
      <c r="G177" s="10"/>
    </row>
    <row r="178" spans="3:7">
      <c r="C178" s="15" t="s">
        <v>812</v>
      </c>
      <c r="D178" s="145" t="s">
        <v>813</v>
      </c>
      <c r="E178" s="145" t="s">
        <v>780</v>
      </c>
      <c r="F178" s="146">
        <v>800</v>
      </c>
      <c r="G178" s="10"/>
    </row>
    <row r="179" spans="3:7">
      <c r="C179" s="15" t="s">
        <v>125</v>
      </c>
      <c r="D179" s="147" t="s">
        <v>814</v>
      </c>
      <c r="E179" s="147" t="s">
        <v>780</v>
      </c>
      <c r="F179" s="146">
        <v>76650</v>
      </c>
      <c r="G179" s="10"/>
    </row>
    <row r="180" spans="3:7">
      <c r="C180" s="15" t="s">
        <v>815</v>
      </c>
      <c r="D180" s="147" t="s">
        <v>816</v>
      </c>
      <c r="E180" s="147" t="s">
        <v>248</v>
      </c>
      <c r="F180" s="146">
        <v>2116000</v>
      </c>
      <c r="G180" s="10"/>
    </row>
    <row r="181" spans="3:7">
      <c r="C181" s="15" t="s">
        <v>817</v>
      </c>
      <c r="D181" s="147" t="s">
        <v>818</v>
      </c>
      <c r="E181" s="147" t="s">
        <v>780</v>
      </c>
      <c r="F181" s="146">
        <v>500</v>
      </c>
      <c r="G181" s="10"/>
    </row>
    <row r="182" spans="3:7">
      <c r="C182" s="15" t="s">
        <v>819</v>
      </c>
      <c r="D182" s="147" t="s">
        <v>820</v>
      </c>
      <c r="E182" s="147" t="s">
        <v>350</v>
      </c>
      <c r="F182" s="146">
        <v>4363.33</v>
      </c>
      <c r="G182" s="10"/>
    </row>
    <row r="183" spans="3:7">
      <c r="C183" s="15" t="s">
        <v>168</v>
      </c>
      <c r="D183" s="13" t="s">
        <v>394</v>
      </c>
      <c r="E183" s="13" t="s">
        <v>350</v>
      </c>
      <c r="F183" s="139">
        <v>6218</v>
      </c>
      <c r="G183" s="10"/>
    </row>
    <row r="184" spans="3:7">
      <c r="C184" s="15" t="s">
        <v>821</v>
      </c>
      <c r="D184" s="148" t="s">
        <v>822</v>
      </c>
      <c r="E184" s="148" t="s">
        <v>2</v>
      </c>
      <c r="F184" s="146">
        <v>48000</v>
      </c>
      <c r="G184" s="10"/>
    </row>
    <row r="185" spans="3:7">
      <c r="C185" s="15" t="s">
        <v>823</v>
      </c>
      <c r="D185" s="147" t="s">
        <v>824</v>
      </c>
      <c r="E185" s="147" t="s">
        <v>390</v>
      </c>
      <c r="F185" s="146">
        <v>7350</v>
      </c>
      <c r="G185" s="10"/>
    </row>
    <row r="186" spans="3:7">
      <c r="C186" s="15" t="s">
        <v>825</v>
      </c>
      <c r="D186" s="148" t="s">
        <v>826</v>
      </c>
      <c r="E186" s="148" t="s">
        <v>6</v>
      </c>
      <c r="F186" s="146">
        <v>90000</v>
      </c>
      <c r="G186" s="10"/>
    </row>
    <row r="187" spans="3:7">
      <c r="C187" s="15" t="s">
        <v>827</v>
      </c>
      <c r="D187" s="145" t="s">
        <v>828</v>
      </c>
      <c r="E187" s="145" t="s">
        <v>780</v>
      </c>
      <c r="F187" s="146">
        <v>11500</v>
      </c>
      <c r="G187" s="10"/>
    </row>
    <row r="188" spans="3:7">
      <c r="C188" s="15" t="s">
        <v>829</v>
      </c>
      <c r="D188" s="147" t="s">
        <v>830</v>
      </c>
      <c r="E188" s="147" t="s">
        <v>780</v>
      </c>
      <c r="F188" s="146">
        <v>1000</v>
      </c>
      <c r="G188" s="10"/>
    </row>
    <row r="189" spans="3:7">
      <c r="C189" s="15" t="s">
        <v>831</v>
      </c>
      <c r="D189" s="147" t="s">
        <v>832</v>
      </c>
      <c r="E189" s="147" t="s">
        <v>23</v>
      </c>
      <c r="F189" s="146">
        <v>52584</v>
      </c>
      <c r="G189" s="10"/>
    </row>
    <row r="190" spans="3:7">
      <c r="C190" s="15" t="s">
        <v>833</v>
      </c>
      <c r="D190" s="145" t="s">
        <v>834</v>
      </c>
      <c r="E190" s="145" t="s">
        <v>780</v>
      </c>
      <c r="F190" s="146">
        <v>135200</v>
      </c>
      <c r="G190" s="10"/>
    </row>
    <row r="191" spans="3:7">
      <c r="C191" s="15" t="s">
        <v>835</v>
      </c>
      <c r="D191" s="147" t="s">
        <v>836</v>
      </c>
      <c r="E191" s="147" t="s">
        <v>196</v>
      </c>
      <c r="F191" s="146">
        <v>21000</v>
      </c>
      <c r="G191" s="10"/>
    </row>
    <row r="192" spans="3:7">
      <c r="C192" s="15" t="s">
        <v>837</v>
      </c>
      <c r="D192" s="147" t="s">
        <v>838</v>
      </c>
      <c r="E192" s="147" t="s">
        <v>839</v>
      </c>
      <c r="F192" s="146">
        <v>155326</v>
      </c>
      <c r="G192" s="10"/>
    </row>
    <row r="193" spans="3:7">
      <c r="C193" s="15" t="s">
        <v>124</v>
      </c>
      <c r="D193" s="147" t="s">
        <v>840</v>
      </c>
      <c r="E193" s="147" t="s">
        <v>346</v>
      </c>
      <c r="F193" s="146">
        <v>309771</v>
      </c>
      <c r="G193" s="10"/>
    </row>
    <row r="194" spans="3:7">
      <c r="C194" s="15" t="s">
        <v>395</v>
      </c>
      <c r="D194" s="13" t="s">
        <v>396</v>
      </c>
      <c r="E194" s="13" t="s">
        <v>136</v>
      </c>
      <c r="F194" s="139">
        <v>3173</v>
      </c>
      <c r="G194" s="10"/>
    </row>
    <row r="195" spans="3:7">
      <c r="C195" s="15" t="s">
        <v>841</v>
      </c>
      <c r="D195" s="147" t="s">
        <v>842</v>
      </c>
      <c r="E195" s="147" t="s">
        <v>346</v>
      </c>
      <c r="F195" s="146">
        <v>405000</v>
      </c>
      <c r="G195" s="10"/>
    </row>
    <row r="196" spans="3:7">
      <c r="C196" s="15" t="s">
        <v>134</v>
      </c>
      <c r="D196" s="147" t="s">
        <v>843</v>
      </c>
      <c r="E196" s="147" t="s">
        <v>346</v>
      </c>
      <c r="F196" s="146">
        <v>459006.31</v>
      </c>
      <c r="G196" s="10"/>
    </row>
    <row r="197" spans="3:7">
      <c r="C197" s="15" t="s">
        <v>844</v>
      </c>
      <c r="D197" s="147" t="s">
        <v>845</v>
      </c>
      <c r="E197" s="147" t="s">
        <v>346</v>
      </c>
      <c r="F197" s="146">
        <v>290000</v>
      </c>
      <c r="G197" s="10"/>
    </row>
    <row r="198" spans="3:7">
      <c r="C198" s="15" t="s">
        <v>846</v>
      </c>
      <c r="D198" s="147" t="s">
        <v>847</v>
      </c>
      <c r="E198" s="147" t="s">
        <v>762</v>
      </c>
      <c r="F198" s="146">
        <v>4000</v>
      </c>
      <c r="G198" s="10"/>
    </row>
    <row r="199" spans="3:7">
      <c r="C199" s="15" t="s">
        <v>848</v>
      </c>
      <c r="D199" s="145" t="s">
        <v>849</v>
      </c>
      <c r="E199" s="145" t="s">
        <v>390</v>
      </c>
      <c r="F199" s="146">
        <v>100000</v>
      </c>
      <c r="G199" s="10"/>
    </row>
    <row r="200" spans="3:7">
      <c r="C200" s="15" t="s">
        <v>121</v>
      </c>
      <c r="D200" s="147" t="s">
        <v>1307</v>
      </c>
      <c r="E200" s="147" t="s">
        <v>1000</v>
      </c>
      <c r="F200" s="146">
        <v>2280</v>
      </c>
      <c r="G200" s="10"/>
    </row>
    <row r="201" spans="3:7">
      <c r="C201" s="15" t="s">
        <v>850</v>
      </c>
      <c r="D201" s="148" t="s">
        <v>851</v>
      </c>
      <c r="E201" s="148" t="s">
        <v>1000</v>
      </c>
      <c r="F201" s="146">
        <v>3100</v>
      </c>
      <c r="G201" s="10"/>
    </row>
    <row r="202" spans="3:7">
      <c r="C202" s="15" t="s">
        <v>852</v>
      </c>
      <c r="D202" s="147" t="s">
        <v>853</v>
      </c>
      <c r="E202" s="147" t="s">
        <v>854</v>
      </c>
      <c r="F202" s="146">
        <v>146900</v>
      </c>
      <c r="G202" s="10"/>
    </row>
    <row r="203" spans="3:7">
      <c r="C203" s="15" t="s">
        <v>855</v>
      </c>
      <c r="D203" s="147" t="s">
        <v>856</v>
      </c>
      <c r="E203" s="147" t="s">
        <v>196</v>
      </c>
      <c r="F203" s="146">
        <v>35000</v>
      </c>
      <c r="G203" s="10"/>
    </row>
    <row r="204" spans="3:7" ht="22.8">
      <c r="C204" s="15" t="s">
        <v>857</v>
      </c>
      <c r="D204" s="147" t="s">
        <v>858</v>
      </c>
      <c r="E204" s="147" t="s">
        <v>780</v>
      </c>
      <c r="F204" s="146">
        <v>550000</v>
      </c>
      <c r="G204" s="10"/>
    </row>
    <row r="205" spans="3:7">
      <c r="C205" s="15" t="s">
        <v>397</v>
      </c>
      <c r="D205" s="13" t="s">
        <v>398</v>
      </c>
      <c r="E205" s="13" t="s">
        <v>136</v>
      </c>
      <c r="F205" s="139">
        <v>1700</v>
      </c>
      <c r="G205" s="10"/>
    </row>
    <row r="206" spans="3:7">
      <c r="C206" s="15" t="s">
        <v>859</v>
      </c>
      <c r="D206" s="147" t="s">
        <v>860</v>
      </c>
      <c r="E206" s="147" t="s">
        <v>861</v>
      </c>
      <c r="F206" s="146">
        <v>2616</v>
      </c>
      <c r="G206" s="10"/>
    </row>
    <row r="207" spans="3:7">
      <c r="C207" s="15" t="s">
        <v>862</v>
      </c>
      <c r="D207" s="147" t="s">
        <v>863</v>
      </c>
      <c r="E207" s="147" t="s">
        <v>780</v>
      </c>
      <c r="F207" s="146">
        <v>3100</v>
      </c>
      <c r="G207" s="10"/>
    </row>
    <row r="208" spans="3:7">
      <c r="C208" s="15" t="s">
        <v>864</v>
      </c>
      <c r="D208" s="147" t="s">
        <v>865</v>
      </c>
      <c r="E208" s="147" t="s">
        <v>762</v>
      </c>
      <c r="F208" s="146">
        <v>6800</v>
      </c>
      <c r="G208" s="10"/>
    </row>
    <row r="209" spans="3:7">
      <c r="C209" s="15" t="s">
        <v>866</v>
      </c>
      <c r="D209" s="149" t="s">
        <v>867</v>
      </c>
      <c r="E209" s="149" t="s">
        <v>780</v>
      </c>
      <c r="F209" s="146">
        <v>35000</v>
      </c>
      <c r="G209" s="10"/>
    </row>
    <row r="210" spans="3:7">
      <c r="C210" s="15" t="s">
        <v>868</v>
      </c>
      <c r="D210" s="147" t="s">
        <v>869</v>
      </c>
      <c r="E210" s="147" t="s">
        <v>780</v>
      </c>
      <c r="F210" s="146">
        <v>13000</v>
      </c>
      <c r="G210" s="10"/>
    </row>
    <row r="211" spans="3:7">
      <c r="C211" s="15" t="s">
        <v>187</v>
      </c>
      <c r="D211" s="145" t="s">
        <v>870</v>
      </c>
      <c r="E211" s="145" t="s">
        <v>780</v>
      </c>
      <c r="F211" s="146">
        <v>180000</v>
      </c>
      <c r="G211" s="10"/>
    </row>
    <row r="212" spans="3:7">
      <c r="C212" s="15" t="s">
        <v>161</v>
      </c>
      <c r="D212" s="147" t="s">
        <v>871</v>
      </c>
      <c r="E212" s="147" t="s">
        <v>786</v>
      </c>
      <c r="F212" s="146">
        <v>800</v>
      </c>
      <c r="G212" s="10"/>
    </row>
    <row r="213" spans="3:7">
      <c r="C213" s="15" t="s">
        <v>872</v>
      </c>
      <c r="D213" s="147" t="s">
        <v>873</v>
      </c>
      <c r="E213" s="147" t="s">
        <v>196</v>
      </c>
      <c r="F213" s="146">
        <v>22000</v>
      </c>
      <c r="G213" s="10"/>
    </row>
    <row r="214" spans="3:7">
      <c r="C214" s="15" t="s">
        <v>874</v>
      </c>
      <c r="D214" s="145" t="s">
        <v>1319</v>
      </c>
      <c r="E214" s="145" t="s">
        <v>780</v>
      </c>
      <c r="F214" s="146">
        <v>32900</v>
      </c>
      <c r="G214" s="10"/>
    </row>
    <row r="215" spans="3:7">
      <c r="C215" s="15" t="s">
        <v>875</v>
      </c>
      <c r="D215" s="148" t="s">
        <v>876</v>
      </c>
      <c r="E215" s="148" t="s">
        <v>23</v>
      </c>
      <c r="F215" s="146">
        <v>81</v>
      </c>
      <c r="G215" s="10"/>
    </row>
    <row r="216" spans="3:7">
      <c r="C216" s="15" t="s">
        <v>399</v>
      </c>
      <c r="D216" s="13" t="s">
        <v>400</v>
      </c>
      <c r="E216" s="13" t="s">
        <v>159</v>
      </c>
      <c r="F216" s="139">
        <v>3397.77</v>
      </c>
      <c r="G216" s="10"/>
    </row>
    <row r="217" spans="3:7">
      <c r="C217" s="15" t="s">
        <v>194</v>
      </c>
      <c r="D217" s="147" t="s">
        <v>877</v>
      </c>
      <c r="E217" s="147" t="s">
        <v>780</v>
      </c>
      <c r="F217" s="146">
        <v>700</v>
      </c>
      <c r="G217" s="10"/>
    </row>
    <row r="218" spans="3:7">
      <c r="C218" s="15" t="s">
        <v>878</v>
      </c>
      <c r="D218" s="147" t="s">
        <v>879</v>
      </c>
      <c r="E218" s="147" t="s">
        <v>780</v>
      </c>
      <c r="F218" s="146">
        <v>700</v>
      </c>
      <c r="G218" s="10"/>
    </row>
    <row r="219" spans="3:7">
      <c r="C219" s="15" t="s">
        <v>880</v>
      </c>
      <c r="D219" s="145" t="s">
        <v>881</v>
      </c>
      <c r="E219" s="145" t="s">
        <v>159</v>
      </c>
      <c r="F219" s="146">
        <v>1408</v>
      </c>
      <c r="G219" s="10"/>
    </row>
    <row r="220" spans="3:7">
      <c r="C220" s="15" t="s">
        <v>882</v>
      </c>
      <c r="D220" s="145" t="s">
        <v>883</v>
      </c>
      <c r="E220" s="145" t="s">
        <v>159</v>
      </c>
      <c r="F220" s="146">
        <v>2800</v>
      </c>
      <c r="G220" s="10"/>
    </row>
    <row r="221" spans="3:7">
      <c r="C221" s="15" t="s">
        <v>884</v>
      </c>
      <c r="D221" s="145" t="s">
        <v>885</v>
      </c>
      <c r="E221" s="145" t="s">
        <v>780</v>
      </c>
      <c r="F221" s="146">
        <v>3010</v>
      </c>
      <c r="G221" s="10"/>
    </row>
    <row r="222" spans="3:7">
      <c r="C222" s="15" t="s">
        <v>886</v>
      </c>
      <c r="D222" s="149" t="s">
        <v>887</v>
      </c>
      <c r="E222" s="149" t="s">
        <v>780</v>
      </c>
      <c r="F222" s="146">
        <v>106560</v>
      </c>
      <c r="G222" s="10"/>
    </row>
    <row r="223" spans="3:7">
      <c r="C223" s="15" t="s">
        <v>888</v>
      </c>
      <c r="D223" s="147" t="s">
        <v>889</v>
      </c>
      <c r="E223" s="147" t="s">
        <v>780</v>
      </c>
      <c r="F223" s="146">
        <v>228000</v>
      </c>
      <c r="G223" s="10"/>
    </row>
    <row r="224" spans="3:7">
      <c r="C224" s="15" t="s">
        <v>890</v>
      </c>
      <c r="D224" s="145" t="s">
        <v>891</v>
      </c>
      <c r="E224" s="145" t="s">
        <v>780</v>
      </c>
      <c r="F224" s="146">
        <v>220000</v>
      </c>
      <c r="G224" s="10"/>
    </row>
    <row r="225" spans="3:7">
      <c r="C225" s="15" t="s">
        <v>892</v>
      </c>
      <c r="D225" s="147" t="s">
        <v>893</v>
      </c>
      <c r="E225" s="147" t="s">
        <v>786</v>
      </c>
      <c r="F225" s="146">
        <v>110000</v>
      </c>
      <c r="G225" s="10"/>
    </row>
    <row r="226" spans="3:7">
      <c r="C226" s="15" t="s">
        <v>894</v>
      </c>
      <c r="D226" s="147" t="s">
        <v>241</v>
      </c>
      <c r="E226" s="147" t="s">
        <v>786</v>
      </c>
      <c r="F226" s="146">
        <v>108000</v>
      </c>
      <c r="G226" s="10"/>
    </row>
    <row r="227" spans="3:7">
      <c r="C227" s="15" t="s">
        <v>401</v>
      </c>
      <c r="D227" s="13" t="s">
        <v>402</v>
      </c>
      <c r="E227" s="13" t="s">
        <v>136</v>
      </c>
      <c r="F227" s="139">
        <v>23250</v>
      </c>
      <c r="G227" s="10"/>
    </row>
    <row r="228" spans="3:7">
      <c r="C228" s="15" t="s">
        <v>895</v>
      </c>
      <c r="D228" s="147" t="s">
        <v>896</v>
      </c>
      <c r="E228" s="147" t="s">
        <v>897</v>
      </c>
      <c r="F228" s="146">
        <v>35000</v>
      </c>
      <c r="G228" s="10"/>
    </row>
    <row r="229" spans="3:7">
      <c r="C229" s="15" t="s">
        <v>898</v>
      </c>
      <c r="D229" s="13" t="s">
        <v>899</v>
      </c>
      <c r="E229" s="13" t="s">
        <v>900</v>
      </c>
      <c r="F229" s="139">
        <v>8000</v>
      </c>
      <c r="G229" s="10"/>
    </row>
    <row r="230" spans="3:7">
      <c r="C230" s="15" t="s">
        <v>901</v>
      </c>
      <c r="D230" s="150" t="s">
        <v>902</v>
      </c>
      <c r="E230" s="151" t="s">
        <v>86</v>
      </c>
      <c r="F230" s="146">
        <f>145800*1.05/(5.97*6)</f>
        <v>4273.869346733668</v>
      </c>
      <c r="G230" s="10"/>
    </row>
    <row r="231" spans="3:7">
      <c r="C231" s="15" t="s">
        <v>903</v>
      </c>
      <c r="D231" s="150" t="s">
        <v>904</v>
      </c>
      <c r="E231" s="151" t="s">
        <v>86</v>
      </c>
      <c r="F231" s="146">
        <v>125</v>
      </c>
      <c r="G231" s="10"/>
    </row>
    <row r="232" spans="3:7">
      <c r="C232" s="15" t="s">
        <v>905</v>
      </c>
      <c r="D232" s="150" t="s">
        <v>906</v>
      </c>
      <c r="E232" s="151" t="s">
        <v>907</v>
      </c>
      <c r="F232" s="146">
        <v>8500</v>
      </c>
      <c r="G232" s="10"/>
    </row>
    <row r="233" spans="3:7">
      <c r="C233" s="15" t="s">
        <v>908</v>
      </c>
      <c r="D233" s="150" t="s">
        <v>909</v>
      </c>
      <c r="E233" s="151" t="s">
        <v>907</v>
      </c>
      <c r="F233" s="146">
        <v>11500</v>
      </c>
      <c r="G233" s="10"/>
    </row>
    <row r="234" spans="3:7">
      <c r="C234" s="15" t="s">
        <v>910</v>
      </c>
      <c r="D234" s="150" t="s">
        <v>911</v>
      </c>
      <c r="E234" s="151" t="s">
        <v>907</v>
      </c>
      <c r="F234" s="146">
        <v>9500</v>
      </c>
      <c r="G234" s="10"/>
    </row>
    <row r="235" spans="3:7">
      <c r="C235" s="15" t="s">
        <v>912</v>
      </c>
      <c r="D235" s="150" t="s">
        <v>913</v>
      </c>
      <c r="E235" s="151" t="s">
        <v>907</v>
      </c>
      <c r="F235" s="146">
        <v>2550</v>
      </c>
      <c r="G235" s="10"/>
    </row>
    <row r="236" spans="3:7">
      <c r="C236" s="15" t="s">
        <v>914</v>
      </c>
      <c r="D236" s="150" t="s">
        <v>915</v>
      </c>
      <c r="E236" s="151" t="s">
        <v>907</v>
      </c>
      <c r="F236" s="146">
        <v>75000</v>
      </c>
      <c r="G236" s="10"/>
    </row>
    <row r="237" spans="3:7">
      <c r="C237" s="15" t="s">
        <v>916</v>
      </c>
      <c r="D237" s="150" t="s">
        <v>917</v>
      </c>
      <c r="E237" s="151" t="s">
        <v>170</v>
      </c>
      <c r="F237" s="146">
        <v>38000</v>
      </c>
      <c r="G237" s="10"/>
    </row>
    <row r="238" spans="3:7">
      <c r="C238" s="15" t="s">
        <v>403</v>
      </c>
      <c r="D238" s="13" t="s">
        <v>404</v>
      </c>
      <c r="E238" s="13" t="s">
        <v>346</v>
      </c>
      <c r="F238" s="139">
        <v>149326.44</v>
      </c>
      <c r="G238" s="10"/>
    </row>
    <row r="239" spans="3:7">
      <c r="C239" s="15" t="s">
        <v>918</v>
      </c>
      <c r="D239" s="152" t="s">
        <v>919</v>
      </c>
      <c r="E239" s="151" t="s">
        <v>196</v>
      </c>
      <c r="F239" s="146">
        <v>19750</v>
      </c>
      <c r="G239" s="10"/>
    </row>
    <row r="240" spans="3:7">
      <c r="C240" s="15" t="s">
        <v>920</v>
      </c>
      <c r="D240" s="150" t="s">
        <v>921</v>
      </c>
      <c r="E240" s="151" t="s">
        <v>907</v>
      </c>
      <c r="F240" s="146">
        <v>39750</v>
      </c>
      <c r="G240" s="10"/>
    </row>
    <row r="241" spans="3:7">
      <c r="C241" s="15" t="s">
        <v>922</v>
      </c>
      <c r="D241" s="150" t="s">
        <v>906</v>
      </c>
      <c r="E241" s="151" t="s">
        <v>907</v>
      </c>
      <c r="F241" s="146">
        <v>8500</v>
      </c>
      <c r="G241" s="10"/>
    </row>
    <row r="242" spans="3:7">
      <c r="C242" s="15" t="s">
        <v>923</v>
      </c>
      <c r="D242" s="150" t="s">
        <v>924</v>
      </c>
      <c r="E242" s="151" t="s">
        <v>907</v>
      </c>
      <c r="F242" s="146">
        <v>1990</v>
      </c>
      <c r="G242" s="10"/>
    </row>
    <row r="243" spans="3:7">
      <c r="C243" s="15" t="s">
        <v>925</v>
      </c>
      <c r="D243" s="150" t="s">
        <v>926</v>
      </c>
      <c r="E243" s="151" t="s">
        <v>907</v>
      </c>
      <c r="F243" s="146">
        <v>8500</v>
      </c>
      <c r="G243" s="10"/>
    </row>
    <row r="244" spans="3:7">
      <c r="C244" s="15" t="s">
        <v>927</v>
      </c>
      <c r="D244" s="150" t="s">
        <v>928</v>
      </c>
      <c r="E244" s="151" t="s">
        <v>170</v>
      </c>
      <c r="F244" s="146">
        <f>36000*1.19</f>
        <v>42840</v>
      </c>
      <c r="G244" s="10"/>
    </row>
    <row r="245" spans="3:7">
      <c r="C245" s="15" t="s">
        <v>929</v>
      </c>
      <c r="D245" s="145" t="s">
        <v>930</v>
      </c>
      <c r="E245" s="13" t="s">
        <v>136</v>
      </c>
      <c r="F245" s="139">
        <v>425000</v>
      </c>
      <c r="G245" s="10"/>
    </row>
    <row r="246" spans="3:7">
      <c r="C246" s="15" t="s">
        <v>190</v>
      </c>
      <c r="D246" s="145" t="s">
        <v>931</v>
      </c>
      <c r="E246" s="13" t="s">
        <v>136</v>
      </c>
      <c r="F246" s="139">
        <v>9358</v>
      </c>
      <c r="G246" s="10"/>
    </row>
    <row r="247" spans="3:7">
      <c r="C247" s="15" t="s">
        <v>932</v>
      </c>
      <c r="D247" s="145" t="s">
        <v>933</v>
      </c>
      <c r="E247" s="13" t="s">
        <v>136</v>
      </c>
      <c r="F247" s="139">
        <v>600000</v>
      </c>
      <c r="G247" s="10"/>
    </row>
    <row r="248" spans="3:7">
      <c r="C248" s="15" t="s">
        <v>934</v>
      </c>
      <c r="D248" s="145" t="s">
        <v>935</v>
      </c>
      <c r="E248" s="13" t="s">
        <v>136</v>
      </c>
      <c r="F248" s="139">
        <v>125000</v>
      </c>
      <c r="G248" s="10"/>
    </row>
    <row r="249" spans="3:7">
      <c r="C249" s="15" t="s">
        <v>405</v>
      </c>
      <c r="D249" s="13" t="s">
        <v>406</v>
      </c>
      <c r="E249" s="13" t="s">
        <v>136</v>
      </c>
      <c r="F249" s="139">
        <v>12809.04</v>
      </c>
      <c r="G249" s="10"/>
    </row>
    <row r="250" spans="3:7">
      <c r="C250" s="15" t="s">
        <v>936</v>
      </c>
      <c r="D250" s="145" t="s">
        <v>937</v>
      </c>
      <c r="E250" s="13" t="s">
        <v>136</v>
      </c>
      <c r="F250" s="139">
        <v>1900</v>
      </c>
      <c r="G250" s="10"/>
    </row>
    <row r="251" spans="3:7">
      <c r="C251" s="15" t="s">
        <v>938</v>
      </c>
      <c r="D251" s="145" t="s">
        <v>939</v>
      </c>
      <c r="E251" s="13" t="s">
        <v>136</v>
      </c>
      <c r="F251" s="139">
        <v>21500</v>
      </c>
      <c r="G251" s="10"/>
    </row>
    <row r="252" spans="3:7">
      <c r="C252" s="15" t="s">
        <v>940</v>
      </c>
      <c r="D252" s="145" t="s">
        <v>941</v>
      </c>
      <c r="E252" s="13" t="s">
        <v>136</v>
      </c>
      <c r="F252" s="139">
        <v>2000</v>
      </c>
      <c r="G252" s="10"/>
    </row>
    <row r="253" spans="3:7">
      <c r="C253" s="15" t="s">
        <v>942</v>
      </c>
      <c r="D253" s="145" t="s">
        <v>943</v>
      </c>
      <c r="E253" s="13" t="s">
        <v>136</v>
      </c>
      <c r="F253" s="139">
        <v>1050</v>
      </c>
      <c r="G253" s="10"/>
    </row>
    <row r="254" spans="3:7">
      <c r="C254" s="15" t="s">
        <v>944</v>
      </c>
      <c r="D254" s="145" t="s">
        <v>945</v>
      </c>
      <c r="E254" s="13" t="s">
        <v>136</v>
      </c>
      <c r="F254" s="139">
        <v>40000</v>
      </c>
      <c r="G254" s="10"/>
    </row>
    <row r="255" spans="3:7">
      <c r="C255" s="15" t="s">
        <v>946</v>
      </c>
      <c r="D255" s="145" t="s">
        <v>947</v>
      </c>
      <c r="E255" s="13" t="s">
        <v>136</v>
      </c>
      <c r="F255" s="139">
        <v>6000</v>
      </c>
      <c r="G255" s="10"/>
    </row>
    <row r="256" spans="3:7">
      <c r="C256" s="15" t="s">
        <v>948</v>
      </c>
      <c r="D256" s="145" t="s">
        <v>949</v>
      </c>
      <c r="E256" s="13" t="s">
        <v>136</v>
      </c>
      <c r="F256" s="139">
        <v>17000</v>
      </c>
      <c r="G256" s="10"/>
    </row>
    <row r="257" spans="3:7">
      <c r="C257" s="15" t="s">
        <v>950</v>
      </c>
      <c r="D257" s="145" t="s">
        <v>951</v>
      </c>
      <c r="E257" s="13" t="s">
        <v>136</v>
      </c>
      <c r="F257" s="139">
        <v>280000</v>
      </c>
      <c r="G257" s="10"/>
    </row>
    <row r="258" spans="3:7">
      <c r="C258" s="15" t="s">
        <v>952</v>
      </c>
      <c r="D258" s="145" t="s">
        <v>953</v>
      </c>
      <c r="E258" s="13" t="s">
        <v>137</v>
      </c>
      <c r="F258" s="139">
        <v>980</v>
      </c>
      <c r="G258" s="10"/>
    </row>
    <row r="259" spans="3:7">
      <c r="C259" s="15" t="s">
        <v>954</v>
      </c>
      <c r="D259" s="145" t="s">
        <v>955</v>
      </c>
      <c r="E259" s="13" t="s">
        <v>137</v>
      </c>
      <c r="F259" s="139">
        <v>1350</v>
      </c>
      <c r="G259" s="10"/>
    </row>
    <row r="260" spans="3:7">
      <c r="C260" s="15" t="s">
        <v>407</v>
      </c>
      <c r="D260" s="13" t="s">
        <v>408</v>
      </c>
      <c r="E260" s="13" t="s">
        <v>136</v>
      </c>
      <c r="F260" s="139">
        <v>8089.92</v>
      </c>
      <c r="G260" s="10"/>
    </row>
    <row r="261" spans="3:7">
      <c r="C261" s="15" t="s">
        <v>956</v>
      </c>
      <c r="D261" s="145" t="s">
        <v>957</v>
      </c>
      <c r="E261" s="13" t="s">
        <v>137</v>
      </c>
      <c r="F261" s="139">
        <v>1950</v>
      </c>
      <c r="G261" s="10"/>
    </row>
    <row r="262" spans="3:7">
      <c r="C262" s="15" t="s">
        <v>958</v>
      </c>
      <c r="D262" s="13" t="s">
        <v>959</v>
      </c>
      <c r="E262" s="13" t="s">
        <v>136</v>
      </c>
      <c r="F262" s="139">
        <v>4000</v>
      </c>
      <c r="G262" s="10"/>
    </row>
    <row r="263" spans="3:7">
      <c r="C263" s="15" t="s">
        <v>960</v>
      </c>
      <c r="D263" s="13" t="s">
        <v>961</v>
      </c>
      <c r="E263" s="13" t="s">
        <v>136</v>
      </c>
      <c r="F263" s="139">
        <v>3000</v>
      </c>
      <c r="G263" s="10"/>
    </row>
    <row r="264" spans="3:7">
      <c r="C264" s="15" t="s">
        <v>962</v>
      </c>
      <c r="D264" s="13" t="s">
        <v>963</v>
      </c>
      <c r="E264" s="13" t="s">
        <v>136</v>
      </c>
      <c r="F264" s="139">
        <v>5800</v>
      </c>
      <c r="G264" s="10"/>
    </row>
    <row r="265" spans="3:7">
      <c r="C265" s="15" t="s">
        <v>964</v>
      </c>
      <c r="D265" s="13" t="s">
        <v>965</v>
      </c>
      <c r="E265" s="13" t="s">
        <v>137</v>
      </c>
      <c r="F265" s="139">
        <v>3240</v>
      </c>
      <c r="G265" s="10"/>
    </row>
    <row r="266" spans="3:7">
      <c r="C266" s="15" t="s">
        <v>966</v>
      </c>
      <c r="D266" s="13" t="s">
        <v>967</v>
      </c>
      <c r="E266" s="13" t="s">
        <v>149</v>
      </c>
      <c r="F266" s="139">
        <v>15000</v>
      </c>
      <c r="G266" s="10"/>
    </row>
    <row r="267" spans="3:7">
      <c r="C267" s="15" t="s">
        <v>968</v>
      </c>
      <c r="D267" s="13" t="s">
        <v>969</v>
      </c>
      <c r="E267" s="13" t="s">
        <v>137</v>
      </c>
      <c r="F267" s="139">
        <v>21633.33</v>
      </c>
      <c r="G267" s="10"/>
    </row>
    <row r="268" spans="3:7">
      <c r="C268" s="15" t="s">
        <v>970</v>
      </c>
      <c r="D268" s="13" t="s">
        <v>971</v>
      </c>
      <c r="E268" s="13" t="s">
        <v>136</v>
      </c>
      <c r="F268" s="139">
        <v>30000</v>
      </c>
      <c r="G268" s="10"/>
    </row>
    <row r="269" spans="3:7">
      <c r="C269" s="15" t="s">
        <v>972</v>
      </c>
      <c r="D269" s="145" t="s">
        <v>2326</v>
      </c>
      <c r="E269" s="13" t="s">
        <v>136</v>
      </c>
      <c r="F269" s="139">
        <v>88000</v>
      </c>
      <c r="G269" s="10"/>
    </row>
    <row r="270" spans="3:7">
      <c r="C270" s="15" t="s">
        <v>973</v>
      </c>
      <c r="D270" s="13" t="s">
        <v>974</v>
      </c>
      <c r="E270" s="13" t="s">
        <v>136</v>
      </c>
      <c r="F270" s="139">
        <v>9900</v>
      </c>
      <c r="G270" s="10"/>
    </row>
    <row r="271" spans="3:7">
      <c r="C271" s="15" t="s">
        <v>409</v>
      </c>
      <c r="D271" s="13" t="s">
        <v>410</v>
      </c>
      <c r="E271" s="13" t="s">
        <v>350</v>
      </c>
      <c r="F271" s="139">
        <v>3300</v>
      </c>
      <c r="G271" s="10"/>
    </row>
    <row r="272" spans="3:7">
      <c r="C272" s="15" t="s">
        <v>975</v>
      </c>
      <c r="D272" s="13" t="s">
        <v>828</v>
      </c>
      <c r="E272" s="13" t="s">
        <v>136</v>
      </c>
      <c r="F272" s="139">
        <v>21000</v>
      </c>
      <c r="G272" s="10"/>
    </row>
    <row r="273" spans="3:7">
      <c r="C273" s="15" t="s">
        <v>976</v>
      </c>
      <c r="D273" s="13" t="s">
        <v>977</v>
      </c>
      <c r="E273" s="13" t="s">
        <v>350</v>
      </c>
      <c r="F273" s="139">
        <v>4030</v>
      </c>
      <c r="G273" s="10"/>
    </row>
    <row r="274" spans="3:7">
      <c r="C274" s="15" t="s">
        <v>978</v>
      </c>
      <c r="D274" s="13" t="s">
        <v>979</v>
      </c>
      <c r="E274" s="13" t="s">
        <v>136</v>
      </c>
      <c r="F274" s="139">
        <v>36404.639999999999</v>
      </c>
      <c r="G274" s="10"/>
    </row>
    <row r="275" spans="3:7">
      <c r="C275" s="15" t="s">
        <v>980</v>
      </c>
      <c r="D275" s="13" t="s">
        <v>981</v>
      </c>
      <c r="E275" s="13" t="s">
        <v>358</v>
      </c>
      <c r="F275" s="139">
        <v>155326</v>
      </c>
      <c r="G275" s="10"/>
    </row>
    <row r="276" spans="3:7">
      <c r="C276" s="15" t="s">
        <v>982</v>
      </c>
      <c r="D276" s="13" t="s">
        <v>983</v>
      </c>
      <c r="E276" s="13" t="s">
        <v>136</v>
      </c>
      <c r="F276" s="139">
        <v>4044.96</v>
      </c>
      <c r="G276" s="10"/>
    </row>
    <row r="277" spans="3:7">
      <c r="C277" s="15" t="s">
        <v>984</v>
      </c>
      <c r="D277" s="13" t="s">
        <v>985</v>
      </c>
      <c r="E277" s="13" t="s">
        <v>1000</v>
      </c>
      <c r="F277" s="139">
        <v>2500</v>
      </c>
      <c r="G277" s="10"/>
    </row>
    <row r="278" spans="3:7">
      <c r="C278" s="15" t="s">
        <v>986</v>
      </c>
      <c r="D278" s="13" t="s">
        <v>987</v>
      </c>
      <c r="E278" s="13" t="s">
        <v>136</v>
      </c>
      <c r="F278" s="139">
        <v>10786.56</v>
      </c>
      <c r="G278" s="10"/>
    </row>
    <row r="279" spans="3:7">
      <c r="C279" s="15" t="s">
        <v>988</v>
      </c>
      <c r="D279" s="13" t="s">
        <v>503</v>
      </c>
      <c r="E279" s="13" t="s">
        <v>136</v>
      </c>
      <c r="F279" s="139">
        <v>67.42</v>
      </c>
      <c r="G279" s="10"/>
    </row>
    <row r="280" spans="3:7">
      <c r="C280" s="15" t="s">
        <v>114</v>
      </c>
      <c r="D280" s="13" t="s">
        <v>989</v>
      </c>
      <c r="E280" s="13" t="s">
        <v>390</v>
      </c>
      <c r="F280" s="139">
        <v>92800</v>
      </c>
      <c r="G280" s="10"/>
    </row>
    <row r="281" spans="3:7">
      <c r="C281" s="15" t="s">
        <v>990</v>
      </c>
      <c r="D281" s="13" t="s">
        <v>991</v>
      </c>
      <c r="E281" s="13" t="s">
        <v>136</v>
      </c>
      <c r="F281" s="139">
        <v>9850</v>
      </c>
      <c r="G281" s="10"/>
    </row>
    <row r="282" spans="3:7">
      <c r="C282" s="15" t="s">
        <v>411</v>
      </c>
      <c r="D282" s="13" t="s">
        <v>384</v>
      </c>
      <c r="E282" s="13" t="s">
        <v>385</v>
      </c>
      <c r="F282" s="139">
        <v>2630</v>
      </c>
      <c r="G282" s="10"/>
    </row>
    <row r="283" spans="3:7">
      <c r="C283" s="15" t="s">
        <v>992</v>
      </c>
      <c r="D283" s="13" t="s">
        <v>993</v>
      </c>
      <c r="E283" s="13" t="s">
        <v>136</v>
      </c>
      <c r="F283" s="139">
        <v>15300</v>
      </c>
      <c r="G283" s="10"/>
    </row>
    <row r="284" spans="3:7">
      <c r="C284" s="15" t="s">
        <v>994</v>
      </c>
      <c r="D284" s="13" t="s">
        <v>995</v>
      </c>
      <c r="E284" s="13" t="s">
        <v>136</v>
      </c>
      <c r="F284" s="139">
        <v>17900</v>
      </c>
      <c r="G284" s="10"/>
    </row>
    <row r="285" spans="3:7">
      <c r="C285" s="15" t="s">
        <v>996</v>
      </c>
      <c r="D285" s="150" t="s">
        <v>997</v>
      </c>
      <c r="E285" s="151" t="s">
        <v>196</v>
      </c>
      <c r="F285" s="146">
        <v>18000</v>
      </c>
      <c r="G285" s="10"/>
    </row>
    <row r="286" spans="3:7">
      <c r="C286" s="15" t="s">
        <v>998</v>
      </c>
      <c r="D286" s="150" t="s">
        <v>999</v>
      </c>
      <c r="E286" s="151" t="s">
        <v>1000</v>
      </c>
      <c r="F286" s="146">
        <v>853</v>
      </c>
      <c r="G286" s="10"/>
    </row>
    <row r="287" spans="3:7">
      <c r="C287" s="15" t="s">
        <v>1001</v>
      </c>
      <c r="D287" s="150" t="s">
        <v>1002</v>
      </c>
      <c r="E287" s="151" t="s">
        <v>1000</v>
      </c>
      <c r="F287" s="146">
        <f>4500/3</f>
        <v>1500</v>
      </c>
      <c r="G287" s="10"/>
    </row>
    <row r="288" spans="3:7">
      <c r="C288" s="15" t="s">
        <v>120</v>
      </c>
      <c r="D288" s="150" t="s">
        <v>1003</v>
      </c>
      <c r="E288" s="151" t="s">
        <v>159</v>
      </c>
      <c r="F288" s="146">
        <v>4550</v>
      </c>
      <c r="G288" s="10"/>
    </row>
    <row r="289" spans="3:7">
      <c r="C289" s="15" t="s">
        <v>1004</v>
      </c>
      <c r="D289" s="13" t="s">
        <v>1005</v>
      </c>
      <c r="E289" s="13" t="s">
        <v>1000</v>
      </c>
      <c r="F289" s="139">
        <f>3500/3</f>
        <v>1166.6666666666667</v>
      </c>
      <c r="G289" s="10"/>
    </row>
    <row r="290" spans="3:7">
      <c r="C290" s="15" t="s">
        <v>1006</v>
      </c>
      <c r="D290" s="13" t="s">
        <v>1007</v>
      </c>
      <c r="E290" s="13" t="s">
        <v>136</v>
      </c>
      <c r="F290" s="139">
        <v>15000</v>
      </c>
      <c r="G290" s="10"/>
    </row>
    <row r="291" spans="3:7">
      <c r="C291" s="15" t="s">
        <v>1008</v>
      </c>
      <c r="D291" s="13" t="s">
        <v>1009</v>
      </c>
      <c r="E291" s="13" t="s">
        <v>136</v>
      </c>
      <c r="F291" s="139">
        <v>15000</v>
      </c>
      <c r="G291" s="10"/>
    </row>
    <row r="292" spans="3:7">
      <c r="C292" s="15" t="s">
        <v>1010</v>
      </c>
      <c r="D292" s="13" t="s">
        <v>1011</v>
      </c>
      <c r="E292" s="13" t="s">
        <v>1012</v>
      </c>
      <c r="F292" s="139">
        <v>18500</v>
      </c>
      <c r="G292" s="10"/>
    </row>
    <row r="293" spans="3:7">
      <c r="C293" s="15" t="s">
        <v>412</v>
      </c>
      <c r="D293" s="13" t="s">
        <v>413</v>
      </c>
      <c r="E293" s="13" t="s">
        <v>159</v>
      </c>
      <c r="F293" s="139">
        <v>6358</v>
      </c>
      <c r="G293" s="10"/>
    </row>
    <row r="294" spans="3:7">
      <c r="C294" s="15" t="s">
        <v>1013</v>
      </c>
      <c r="D294" s="13" t="s">
        <v>1014</v>
      </c>
      <c r="E294" s="13" t="s">
        <v>136</v>
      </c>
      <c r="F294" s="139">
        <v>15000</v>
      </c>
      <c r="G294" s="10"/>
    </row>
    <row r="295" spans="3:7">
      <c r="C295" s="15" t="s">
        <v>1015</v>
      </c>
      <c r="D295" s="152" t="s">
        <v>1016</v>
      </c>
      <c r="E295" s="13" t="s">
        <v>137</v>
      </c>
      <c r="F295" s="139">
        <v>27500</v>
      </c>
      <c r="G295" s="10"/>
    </row>
    <row r="296" spans="3:7">
      <c r="C296" s="15" t="s">
        <v>1017</v>
      </c>
      <c r="D296" s="13" t="s">
        <v>1018</v>
      </c>
      <c r="E296" s="13" t="s">
        <v>170</v>
      </c>
      <c r="F296" s="139">
        <v>4500</v>
      </c>
      <c r="G296" s="10"/>
    </row>
    <row r="297" spans="3:7">
      <c r="C297" s="15" t="s">
        <v>1019</v>
      </c>
      <c r="D297" s="13" t="s">
        <v>1020</v>
      </c>
      <c r="E297" s="13" t="s">
        <v>170</v>
      </c>
      <c r="F297" s="139">
        <v>4700</v>
      </c>
      <c r="G297" s="10"/>
    </row>
    <row r="298" spans="3:7">
      <c r="C298" s="15" t="s">
        <v>112</v>
      </c>
      <c r="D298" s="13" t="s">
        <v>1021</v>
      </c>
      <c r="E298" s="13" t="s">
        <v>496</v>
      </c>
      <c r="F298" s="139">
        <v>47180</v>
      </c>
      <c r="G298" s="10"/>
    </row>
    <row r="299" spans="3:7">
      <c r="C299" s="15" t="s">
        <v>1022</v>
      </c>
      <c r="D299" s="13" t="s">
        <v>1023</v>
      </c>
      <c r="E299" s="13" t="s">
        <v>196</v>
      </c>
      <c r="F299" s="139">
        <v>35000</v>
      </c>
      <c r="G299" s="10"/>
    </row>
    <row r="300" spans="3:7">
      <c r="C300" s="15" t="s">
        <v>111</v>
      </c>
      <c r="D300" s="13" t="s">
        <v>1024</v>
      </c>
      <c r="E300" s="13" t="s">
        <v>496</v>
      </c>
      <c r="F300" s="139">
        <v>65000</v>
      </c>
      <c r="G300" s="10"/>
    </row>
    <row r="301" spans="3:7">
      <c r="C301" s="15" t="s">
        <v>1025</v>
      </c>
      <c r="D301" s="145" t="s">
        <v>1026</v>
      </c>
      <c r="E301" s="13" t="s">
        <v>136</v>
      </c>
      <c r="F301" s="139">
        <v>280000</v>
      </c>
      <c r="G301" s="10"/>
    </row>
    <row r="302" spans="3:7">
      <c r="C302" s="15" t="s">
        <v>1027</v>
      </c>
      <c r="D302" s="13" t="s">
        <v>1028</v>
      </c>
      <c r="E302" s="13" t="s">
        <v>136</v>
      </c>
      <c r="F302" s="139">
        <v>68900</v>
      </c>
      <c r="G302" s="10"/>
    </row>
    <row r="303" spans="3:7">
      <c r="C303" s="15" t="s">
        <v>1029</v>
      </c>
      <c r="D303" s="13" t="s">
        <v>1030</v>
      </c>
      <c r="E303" s="13" t="s">
        <v>136</v>
      </c>
      <c r="F303" s="139">
        <v>19900</v>
      </c>
      <c r="G303" s="10"/>
    </row>
    <row r="304" spans="3:7">
      <c r="C304" s="15" t="s">
        <v>414</v>
      </c>
      <c r="D304" s="13" t="s">
        <v>415</v>
      </c>
      <c r="E304" s="13" t="s">
        <v>159</v>
      </c>
      <c r="F304" s="139">
        <v>6741.6</v>
      </c>
      <c r="G304" s="10"/>
    </row>
    <row r="305" spans="3:7">
      <c r="C305" s="15" t="s">
        <v>1031</v>
      </c>
      <c r="D305" s="13" t="s">
        <v>1032</v>
      </c>
      <c r="E305" s="13" t="s">
        <v>136</v>
      </c>
      <c r="F305" s="139">
        <v>22900</v>
      </c>
      <c r="G305" s="10"/>
    </row>
    <row r="306" spans="3:7">
      <c r="C306" s="15" t="s">
        <v>1033</v>
      </c>
      <c r="D306" s="145" t="s">
        <v>1347</v>
      </c>
      <c r="E306" s="145" t="s">
        <v>137</v>
      </c>
      <c r="F306" s="146">
        <v>8000</v>
      </c>
      <c r="G306" s="10"/>
    </row>
    <row r="307" spans="3:7">
      <c r="C307" s="15" t="s">
        <v>1034</v>
      </c>
      <c r="D307" s="145" t="s">
        <v>1035</v>
      </c>
      <c r="E307" s="13" t="s">
        <v>136</v>
      </c>
      <c r="F307" s="146">
        <v>2000</v>
      </c>
      <c r="G307" s="10"/>
    </row>
    <row r="308" spans="3:7">
      <c r="C308" s="15" t="s">
        <v>1036</v>
      </c>
      <c r="D308" s="145" t="s">
        <v>1037</v>
      </c>
      <c r="E308" s="13" t="s">
        <v>136</v>
      </c>
      <c r="F308" s="146">
        <v>4000</v>
      </c>
      <c r="G308" s="10"/>
    </row>
    <row r="309" spans="3:7">
      <c r="C309" s="15" t="s">
        <v>131</v>
      </c>
      <c r="D309" s="145" t="s">
        <v>1038</v>
      </c>
      <c r="E309" s="13" t="s">
        <v>1039</v>
      </c>
      <c r="F309" s="139">
        <v>50000</v>
      </c>
      <c r="G309" s="10"/>
    </row>
    <row r="310" spans="3:7">
      <c r="C310" s="15" t="s">
        <v>1040</v>
      </c>
      <c r="D310" s="145" t="s">
        <v>1325</v>
      </c>
      <c r="E310" s="13" t="s">
        <v>27</v>
      </c>
      <c r="F310" s="146">
        <v>5236</v>
      </c>
      <c r="G310" s="10"/>
    </row>
    <row r="311" spans="3:7">
      <c r="C311" s="15" t="s">
        <v>1041</v>
      </c>
      <c r="D311" s="145" t="s">
        <v>1035</v>
      </c>
      <c r="E311" s="145" t="s">
        <v>136</v>
      </c>
      <c r="F311" s="146">
        <v>2000</v>
      </c>
      <c r="G311" s="10"/>
    </row>
    <row r="312" spans="3:7">
      <c r="C312" s="15" t="s">
        <v>1042</v>
      </c>
      <c r="D312" s="145" t="s">
        <v>1043</v>
      </c>
      <c r="E312" s="145" t="s">
        <v>136</v>
      </c>
      <c r="F312" s="146">
        <v>1000</v>
      </c>
      <c r="G312" s="10"/>
    </row>
    <row r="313" spans="3:7">
      <c r="C313" s="15" t="s">
        <v>1044</v>
      </c>
      <c r="D313" s="145" t="s">
        <v>1045</v>
      </c>
      <c r="E313" s="145" t="s">
        <v>136</v>
      </c>
      <c r="F313" s="146">
        <v>1700</v>
      </c>
      <c r="G313" s="10"/>
    </row>
    <row r="314" spans="3:7">
      <c r="C314" s="15" t="s">
        <v>1046</v>
      </c>
      <c r="D314" s="145" t="s">
        <v>1047</v>
      </c>
      <c r="E314" s="145" t="s">
        <v>137</v>
      </c>
      <c r="F314" s="139">
        <v>4850</v>
      </c>
      <c r="G314" s="10"/>
    </row>
    <row r="315" spans="3:7">
      <c r="C315" s="15" t="s">
        <v>180</v>
      </c>
      <c r="D315" s="13" t="s">
        <v>416</v>
      </c>
      <c r="E315" s="13" t="s">
        <v>417</v>
      </c>
      <c r="F315" s="139">
        <v>1690</v>
      </c>
      <c r="G315" s="10"/>
    </row>
    <row r="316" spans="3:7">
      <c r="C316" s="15" t="s">
        <v>1048</v>
      </c>
      <c r="D316" s="145" t="s">
        <v>1043</v>
      </c>
      <c r="E316" s="13" t="s">
        <v>136</v>
      </c>
      <c r="F316" s="146">
        <v>1250</v>
      </c>
      <c r="G316" s="10"/>
    </row>
    <row r="317" spans="3:7">
      <c r="C317" s="15" t="s">
        <v>1049</v>
      </c>
      <c r="D317" s="145" t="s">
        <v>1050</v>
      </c>
      <c r="E317" s="13" t="s">
        <v>136</v>
      </c>
      <c r="F317" s="146">
        <v>9000</v>
      </c>
      <c r="G317" s="10"/>
    </row>
    <row r="318" spans="3:7">
      <c r="C318" s="15" t="s">
        <v>1051</v>
      </c>
      <c r="D318" s="145" t="s">
        <v>1052</v>
      </c>
      <c r="E318" s="13" t="s">
        <v>137</v>
      </c>
      <c r="F318" s="139">
        <v>11233.33</v>
      </c>
      <c r="G318" s="10"/>
    </row>
    <row r="319" spans="3:7">
      <c r="C319" s="15" t="s">
        <v>1053</v>
      </c>
      <c r="D319" s="145" t="s">
        <v>1054</v>
      </c>
      <c r="E319" s="13" t="s">
        <v>136</v>
      </c>
      <c r="F319" s="139">
        <v>1950</v>
      </c>
      <c r="G319" s="10"/>
    </row>
    <row r="320" spans="3:7">
      <c r="C320" s="15" t="s">
        <v>1055</v>
      </c>
      <c r="D320" s="13" t="s">
        <v>1056</v>
      </c>
      <c r="E320" s="13" t="s">
        <v>196</v>
      </c>
      <c r="F320" s="139">
        <v>12400</v>
      </c>
      <c r="G320" s="10"/>
    </row>
    <row r="321" spans="3:7">
      <c r="C321" s="15" t="s">
        <v>1057</v>
      </c>
      <c r="D321" s="13" t="s">
        <v>1058</v>
      </c>
      <c r="E321" s="13" t="s">
        <v>350</v>
      </c>
      <c r="F321" s="139">
        <v>4900</v>
      </c>
      <c r="G321" s="10"/>
    </row>
    <row r="322" spans="3:7">
      <c r="C322" s="15" t="s">
        <v>1059</v>
      </c>
      <c r="D322" s="13" t="s">
        <v>1060</v>
      </c>
      <c r="E322" s="13" t="s">
        <v>350</v>
      </c>
      <c r="F322" s="139">
        <v>12000</v>
      </c>
      <c r="G322" s="10"/>
    </row>
    <row r="323" spans="3:7">
      <c r="C323" s="15" t="s">
        <v>1061</v>
      </c>
      <c r="D323" s="13" t="s">
        <v>1062</v>
      </c>
      <c r="E323" s="13" t="s">
        <v>1063</v>
      </c>
      <c r="F323" s="139">
        <v>5568</v>
      </c>
      <c r="G323" s="10"/>
    </row>
    <row r="324" spans="3:7">
      <c r="C324" s="15" t="s">
        <v>1064</v>
      </c>
      <c r="D324" s="13" t="s">
        <v>1065</v>
      </c>
      <c r="E324" s="13" t="s">
        <v>137</v>
      </c>
      <c r="F324" s="139">
        <v>76000</v>
      </c>
      <c r="G324" s="10"/>
    </row>
    <row r="325" spans="3:7">
      <c r="C325" s="15" t="s">
        <v>1066</v>
      </c>
      <c r="D325" s="13" t="s">
        <v>1067</v>
      </c>
      <c r="E325" s="13" t="s">
        <v>136</v>
      </c>
      <c r="F325" s="139">
        <v>2700</v>
      </c>
      <c r="G325" s="10"/>
    </row>
    <row r="326" spans="3:7">
      <c r="C326" s="15" t="s">
        <v>418</v>
      </c>
      <c r="D326" s="13" t="s">
        <v>419</v>
      </c>
      <c r="E326" s="13" t="s">
        <v>159</v>
      </c>
      <c r="F326" s="139">
        <v>10166.33</v>
      </c>
      <c r="G326" s="10"/>
    </row>
    <row r="327" spans="3:7">
      <c r="C327" s="15" t="s">
        <v>1068</v>
      </c>
      <c r="D327" s="13" t="s">
        <v>573</v>
      </c>
      <c r="E327" s="13" t="s">
        <v>136</v>
      </c>
      <c r="F327" s="139">
        <v>12815</v>
      </c>
      <c r="G327" s="10"/>
    </row>
    <row r="328" spans="3:7">
      <c r="C328" s="15" t="s">
        <v>1069</v>
      </c>
      <c r="D328" s="13" t="s">
        <v>569</v>
      </c>
      <c r="E328" s="13" t="s">
        <v>136</v>
      </c>
      <c r="F328" s="139">
        <v>487</v>
      </c>
      <c r="G328" s="10"/>
    </row>
    <row r="329" spans="3:7">
      <c r="C329" s="15" t="s">
        <v>1070</v>
      </c>
      <c r="D329" s="13" t="s">
        <v>577</v>
      </c>
      <c r="E329" s="13" t="s">
        <v>136</v>
      </c>
      <c r="F329" s="139">
        <v>1271</v>
      </c>
      <c r="G329" s="10"/>
    </row>
    <row r="330" spans="3:7">
      <c r="C330" s="15" t="s">
        <v>1071</v>
      </c>
      <c r="D330" s="13" t="s">
        <v>579</v>
      </c>
      <c r="E330" s="13" t="s">
        <v>136</v>
      </c>
      <c r="F330" s="139">
        <v>1914</v>
      </c>
      <c r="G330" s="10"/>
    </row>
    <row r="331" spans="3:7">
      <c r="C331" s="15" t="s">
        <v>1072</v>
      </c>
      <c r="D331" s="13" t="s">
        <v>581</v>
      </c>
      <c r="E331" s="13" t="s">
        <v>136</v>
      </c>
      <c r="F331" s="139">
        <v>606.74</v>
      </c>
      <c r="G331" s="10"/>
    </row>
    <row r="332" spans="3:7">
      <c r="C332" s="15" t="s">
        <v>1073</v>
      </c>
      <c r="D332" s="13" t="s">
        <v>452</v>
      </c>
      <c r="E332" s="13" t="s">
        <v>136</v>
      </c>
      <c r="F332" s="139">
        <v>77194</v>
      </c>
      <c r="G332" s="10"/>
    </row>
    <row r="333" spans="3:7">
      <c r="C333" s="15" t="s">
        <v>1074</v>
      </c>
      <c r="D333" s="13" t="s">
        <v>583</v>
      </c>
      <c r="E333" s="13" t="s">
        <v>136</v>
      </c>
      <c r="F333" s="139">
        <v>278</v>
      </c>
      <c r="G333" s="10"/>
    </row>
    <row r="334" spans="3:7">
      <c r="C334" s="15" t="s">
        <v>1075</v>
      </c>
      <c r="D334" s="13" t="s">
        <v>571</v>
      </c>
      <c r="E334" s="13" t="s">
        <v>136</v>
      </c>
      <c r="F334" s="139">
        <v>643</v>
      </c>
      <c r="G334" s="10"/>
    </row>
    <row r="335" spans="3:7">
      <c r="C335" s="15" t="s">
        <v>1076</v>
      </c>
      <c r="D335" s="13" t="s">
        <v>575</v>
      </c>
      <c r="E335" s="13" t="s">
        <v>136</v>
      </c>
      <c r="F335" s="139">
        <v>312</v>
      </c>
      <c r="G335" s="10"/>
    </row>
    <row r="336" spans="3:7">
      <c r="C336" s="15" t="s">
        <v>1077</v>
      </c>
      <c r="D336" s="13" t="s">
        <v>1078</v>
      </c>
      <c r="E336" s="13" t="s">
        <v>137</v>
      </c>
      <c r="F336" s="139">
        <v>5500</v>
      </c>
      <c r="G336" s="10"/>
    </row>
    <row r="337" spans="3:7">
      <c r="C337" s="15" t="s">
        <v>420</v>
      </c>
      <c r="D337" s="13" t="s">
        <v>421</v>
      </c>
      <c r="E337" s="13" t="s">
        <v>350</v>
      </c>
      <c r="F337" s="139">
        <v>4912.99</v>
      </c>
      <c r="G337" s="10"/>
    </row>
    <row r="338" spans="3:7">
      <c r="C338" s="15" t="s">
        <v>1079</v>
      </c>
      <c r="D338" s="13" t="s">
        <v>1080</v>
      </c>
      <c r="E338" s="13" t="s">
        <v>1</v>
      </c>
      <c r="F338" s="139">
        <v>2600</v>
      </c>
      <c r="G338" s="10"/>
    </row>
    <row r="339" spans="3:7">
      <c r="C339" s="15" t="s">
        <v>1081</v>
      </c>
      <c r="D339" s="13" t="s">
        <v>1082</v>
      </c>
      <c r="E339" s="13" t="s">
        <v>1083</v>
      </c>
      <c r="F339" s="139">
        <v>94000</v>
      </c>
      <c r="G339" s="10"/>
    </row>
    <row r="340" spans="3:7">
      <c r="C340" s="15" t="s">
        <v>1084</v>
      </c>
      <c r="D340" s="13" t="s">
        <v>1085</v>
      </c>
      <c r="E340" s="13" t="s">
        <v>1083</v>
      </c>
      <c r="F340" s="139">
        <v>78000</v>
      </c>
      <c r="G340" s="10"/>
    </row>
    <row r="341" spans="3:7">
      <c r="C341" s="15" t="s">
        <v>1086</v>
      </c>
      <c r="D341" s="13" t="s">
        <v>1087</v>
      </c>
      <c r="E341" s="13" t="s">
        <v>137</v>
      </c>
      <c r="F341" s="139">
        <v>15000</v>
      </c>
      <c r="G341" s="10"/>
    </row>
    <row r="342" spans="3:7">
      <c r="C342" s="15" t="s">
        <v>1088</v>
      </c>
      <c r="D342" s="13" t="s">
        <v>1089</v>
      </c>
      <c r="E342" s="13" t="s">
        <v>1</v>
      </c>
      <c r="F342" s="139">
        <v>49500</v>
      </c>
      <c r="G342" s="10"/>
    </row>
    <row r="343" spans="3:7">
      <c r="C343" s="15" t="s">
        <v>97</v>
      </c>
      <c r="D343" s="13" t="s">
        <v>581</v>
      </c>
      <c r="E343" s="13" t="s">
        <v>387</v>
      </c>
      <c r="F343" s="139">
        <v>1120</v>
      </c>
      <c r="G343" s="10"/>
    </row>
    <row r="344" spans="3:7">
      <c r="C344" s="15" t="s">
        <v>1090</v>
      </c>
      <c r="D344" s="13" t="s">
        <v>1091</v>
      </c>
      <c r="E344" s="13" t="s">
        <v>1</v>
      </c>
      <c r="F344" s="139">
        <v>1280</v>
      </c>
      <c r="G344" s="10"/>
    </row>
    <row r="345" spans="3:7">
      <c r="C345" s="15" t="s">
        <v>1092</v>
      </c>
      <c r="D345" s="13" t="s">
        <v>1093</v>
      </c>
      <c r="E345" s="13" t="s">
        <v>137</v>
      </c>
      <c r="F345" s="139">
        <v>15200</v>
      </c>
      <c r="G345" s="10"/>
    </row>
    <row r="346" spans="3:7">
      <c r="C346" s="15" t="s">
        <v>1094</v>
      </c>
      <c r="D346" s="13" t="s">
        <v>1095</v>
      </c>
      <c r="E346" s="13" t="s">
        <v>136</v>
      </c>
      <c r="F346" s="139">
        <v>4500</v>
      </c>
      <c r="G346" s="10"/>
    </row>
    <row r="347" spans="3:7">
      <c r="C347" s="15" t="s">
        <v>1096</v>
      </c>
      <c r="D347" s="13" t="s">
        <v>1097</v>
      </c>
      <c r="E347" s="153" t="s">
        <v>1</v>
      </c>
      <c r="F347" s="139">
        <v>4800</v>
      </c>
      <c r="G347" s="10"/>
    </row>
    <row r="348" spans="3:7">
      <c r="C348" s="15" t="s">
        <v>422</v>
      </c>
      <c r="D348" s="13" t="s">
        <v>423</v>
      </c>
      <c r="E348" s="13" t="s">
        <v>350</v>
      </c>
      <c r="F348" s="139">
        <v>4446.43</v>
      </c>
      <c r="G348" s="10"/>
    </row>
    <row r="349" spans="3:7">
      <c r="C349" s="15" t="s">
        <v>1098</v>
      </c>
      <c r="D349" s="13" t="s">
        <v>1099</v>
      </c>
      <c r="E349" s="153" t="s">
        <v>1</v>
      </c>
      <c r="F349" s="139">
        <v>507150</v>
      </c>
      <c r="G349" s="10"/>
    </row>
    <row r="350" spans="3:7">
      <c r="C350" s="15" t="s">
        <v>87</v>
      </c>
      <c r="D350" s="13" t="s">
        <v>1100</v>
      </c>
      <c r="E350" s="13" t="s">
        <v>1</v>
      </c>
      <c r="F350" s="139">
        <v>87500</v>
      </c>
      <c r="G350" s="10"/>
    </row>
    <row r="351" spans="3:7">
      <c r="C351" s="15" t="s">
        <v>1101</v>
      </c>
      <c r="D351" s="13" t="s">
        <v>1102</v>
      </c>
      <c r="E351" s="13" t="s">
        <v>1</v>
      </c>
      <c r="F351" s="139">
        <v>12000</v>
      </c>
      <c r="G351" s="10"/>
    </row>
    <row r="352" spans="3:7">
      <c r="C352" s="15" t="s">
        <v>1103</v>
      </c>
      <c r="D352" s="152" t="s">
        <v>1104</v>
      </c>
      <c r="E352" s="13" t="s">
        <v>1</v>
      </c>
      <c r="F352" s="139">
        <v>31000</v>
      </c>
      <c r="G352" s="10"/>
    </row>
    <row r="353" spans="3:7">
      <c r="C353" s="15" t="s">
        <v>1105</v>
      </c>
      <c r="D353" s="13" t="s">
        <v>1106</v>
      </c>
      <c r="E353" s="13" t="s">
        <v>1</v>
      </c>
      <c r="F353" s="139">
        <v>24000</v>
      </c>
      <c r="G353" s="10"/>
    </row>
    <row r="354" spans="3:7">
      <c r="C354" s="15" t="s">
        <v>141</v>
      </c>
      <c r="D354" s="13" t="s">
        <v>1107</v>
      </c>
      <c r="E354" s="13" t="s">
        <v>136</v>
      </c>
      <c r="F354" s="139">
        <v>600</v>
      </c>
      <c r="G354" s="10"/>
    </row>
    <row r="355" spans="3:7">
      <c r="C355" s="15" t="s">
        <v>1108</v>
      </c>
      <c r="D355" s="13" t="s">
        <v>1109</v>
      </c>
      <c r="E355" s="13" t="s">
        <v>1</v>
      </c>
      <c r="F355" s="139">
        <v>21200</v>
      </c>
      <c r="G355" s="10"/>
    </row>
    <row r="356" spans="3:7">
      <c r="C356" s="15" t="s">
        <v>1110</v>
      </c>
      <c r="D356" s="13" t="s">
        <v>1111</v>
      </c>
      <c r="E356" s="13" t="s">
        <v>346</v>
      </c>
      <c r="F356" s="139">
        <f>950000/16</f>
        <v>59375</v>
      </c>
      <c r="G356" s="10"/>
    </row>
    <row r="357" spans="3:7">
      <c r="C357" s="15" t="s">
        <v>1112</v>
      </c>
      <c r="D357" s="13" t="s">
        <v>1113</v>
      </c>
      <c r="E357" s="13"/>
      <c r="F357" s="14"/>
      <c r="G357" s="10"/>
    </row>
    <row r="358" spans="3:7">
      <c r="C358" s="15" t="s">
        <v>1114</v>
      </c>
      <c r="D358" s="13" t="s">
        <v>1115</v>
      </c>
      <c r="E358" s="13" t="s">
        <v>137</v>
      </c>
      <c r="F358" s="139">
        <v>6100</v>
      </c>
      <c r="G358" s="10"/>
    </row>
    <row r="359" spans="3:7">
      <c r="C359" s="15" t="s">
        <v>138</v>
      </c>
      <c r="D359" s="13" t="s">
        <v>424</v>
      </c>
      <c r="E359" s="13" t="s">
        <v>159</v>
      </c>
      <c r="F359" s="139">
        <f>15800*1.19/6</f>
        <v>3133.6666666666665</v>
      </c>
      <c r="G359" s="10"/>
    </row>
    <row r="360" spans="3:7">
      <c r="C360" s="15" t="s">
        <v>1116</v>
      </c>
      <c r="D360" s="13" t="s">
        <v>1117</v>
      </c>
      <c r="E360" s="13" t="s">
        <v>137</v>
      </c>
      <c r="F360" s="139">
        <v>3850</v>
      </c>
      <c r="G360" s="10"/>
    </row>
    <row r="361" spans="3:7">
      <c r="C361" s="15" t="s">
        <v>1118</v>
      </c>
      <c r="D361" s="13" t="s">
        <v>1119</v>
      </c>
      <c r="E361" s="13" t="s">
        <v>137</v>
      </c>
      <c r="F361" s="139">
        <v>2890</v>
      </c>
      <c r="G361" s="10"/>
    </row>
    <row r="362" spans="3:7">
      <c r="C362" s="15" t="s">
        <v>1120</v>
      </c>
      <c r="D362" s="13" t="s">
        <v>1121</v>
      </c>
      <c r="E362" s="13" t="s">
        <v>137</v>
      </c>
      <c r="F362" s="139">
        <v>2100</v>
      </c>
      <c r="G362" s="10"/>
    </row>
    <row r="363" spans="3:7">
      <c r="C363" s="15" t="s">
        <v>1122</v>
      </c>
      <c r="D363" s="13" t="s">
        <v>1123</v>
      </c>
      <c r="E363" s="13" t="s">
        <v>137</v>
      </c>
      <c r="F363" s="139">
        <v>1980</v>
      </c>
      <c r="G363" s="10"/>
    </row>
    <row r="364" spans="3:7">
      <c r="C364" s="15" t="s">
        <v>1124</v>
      </c>
      <c r="D364" s="13" t="s">
        <v>1125</v>
      </c>
      <c r="E364" s="13" t="s">
        <v>1083</v>
      </c>
      <c r="F364" s="139">
        <v>40000</v>
      </c>
      <c r="G364" s="10"/>
    </row>
    <row r="365" spans="3:7">
      <c r="C365" s="15" t="s">
        <v>1126</v>
      </c>
      <c r="D365" s="13" t="s">
        <v>1127</v>
      </c>
      <c r="E365" s="13" t="s">
        <v>1083</v>
      </c>
      <c r="F365" s="139">
        <v>26800</v>
      </c>
      <c r="G365" s="10"/>
    </row>
    <row r="366" spans="3:7">
      <c r="C366" s="15" t="s">
        <v>1128</v>
      </c>
      <c r="D366" s="13" t="s">
        <v>1129</v>
      </c>
      <c r="E366" s="13" t="s">
        <v>1083</v>
      </c>
      <c r="F366" s="139">
        <v>85000</v>
      </c>
      <c r="G366" s="10"/>
    </row>
    <row r="367" spans="3:7">
      <c r="C367" s="15" t="s">
        <v>1130</v>
      </c>
      <c r="D367" s="13" t="s">
        <v>1131</v>
      </c>
      <c r="E367" s="13" t="s">
        <v>136</v>
      </c>
      <c r="F367" s="139">
        <v>28600</v>
      </c>
      <c r="G367" s="10"/>
    </row>
    <row r="368" spans="3:7">
      <c r="C368" s="15" t="s">
        <v>110</v>
      </c>
      <c r="D368" s="13" t="s">
        <v>1132</v>
      </c>
      <c r="E368" s="13" t="s">
        <v>1083</v>
      </c>
      <c r="F368" s="139">
        <v>25400</v>
      </c>
      <c r="G368" s="10"/>
    </row>
    <row r="369" spans="3:7">
      <c r="C369" s="15" t="s">
        <v>1133</v>
      </c>
      <c r="D369" s="13" t="s">
        <v>1134</v>
      </c>
      <c r="E369" s="13" t="s">
        <v>136</v>
      </c>
      <c r="F369" s="139">
        <v>31.6</v>
      </c>
      <c r="G369" s="10"/>
    </row>
    <row r="370" spans="3:7">
      <c r="C370" s="15" t="s">
        <v>425</v>
      </c>
      <c r="D370" s="13" t="s">
        <v>426</v>
      </c>
      <c r="E370" s="13" t="s">
        <v>350</v>
      </c>
      <c r="F370" s="139">
        <v>3371</v>
      </c>
      <c r="G370" s="10"/>
    </row>
    <row r="371" spans="3:7">
      <c r="C371" s="15" t="s">
        <v>1135</v>
      </c>
      <c r="D371" s="13" t="s">
        <v>1136</v>
      </c>
      <c r="E371" s="13" t="s">
        <v>137</v>
      </c>
      <c r="F371" s="139">
        <v>17300</v>
      </c>
      <c r="G371" s="10"/>
    </row>
    <row r="372" spans="3:7">
      <c r="C372" s="15" t="s">
        <v>150</v>
      </c>
      <c r="D372" s="13" t="s">
        <v>1137</v>
      </c>
      <c r="E372" s="13" t="s">
        <v>346</v>
      </c>
      <c r="F372" s="139">
        <v>4000</v>
      </c>
      <c r="G372" s="10"/>
    </row>
    <row r="373" spans="3:7">
      <c r="C373" s="15" t="s">
        <v>143</v>
      </c>
      <c r="D373" s="13" t="s">
        <v>1138</v>
      </c>
      <c r="E373" s="13" t="s">
        <v>136</v>
      </c>
      <c r="F373" s="139">
        <v>15000</v>
      </c>
      <c r="G373" s="10"/>
    </row>
    <row r="374" spans="3:7">
      <c r="C374" s="15" t="s">
        <v>144</v>
      </c>
      <c r="D374" s="13" t="s">
        <v>1139</v>
      </c>
      <c r="E374" s="13" t="s">
        <v>196</v>
      </c>
      <c r="F374" s="139">
        <v>11476</v>
      </c>
      <c r="G374" s="10"/>
    </row>
    <row r="375" spans="3:7">
      <c r="C375" s="15" t="s">
        <v>142</v>
      </c>
      <c r="D375" s="13" t="s">
        <v>1140</v>
      </c>
      <c r="E375" s="13" t="s">
        <v>136</v>
      </c>
      <c r="F375" s="139">
        <v>1490</v>
      </c>
      <c r="G375" s="10"/>
    </row>
    <row r="376" spans="3:7">
      <c r="C376" s="15" t="s">
        <v>179</v>
      </c>
      <c r="D376" s="13" t="s">
        <v>1141</v>
      </c>
      <c r="E376" s="13" t="s">
        <v>350</v>
      </c>
      <c r="F376" s="139">
        <v>64900</v>
      </c>
      <c r="G376" s="10"/>
    </row>
    <row r="377" spans="3:7">
      <c r="C377" s="15" t="s">
        <v>1142</v>
      </c>
      <c r="D377" s="13" t="s">
        <v>1143</v>
      </c>
      <c r="E377" s="13" t="s">
        <v>137</v>
      </c>
      <c r="F377" s="139">
        <v>6200</v>
      </c>
      <c r="G377" s="10"/>
    </row>
    <row r="378" spans="3:7">
      <c r="C378" s="15" t="s">
        <v>133</v>
      </c>
      <c r="D378" s="13" t="s">
        <v>175</v>
      </c>
      <c r="E378" s="13" t="s">
        <v>136</v>
      </c>
      <c r="F378" s="139">
        <v>3200</v>
      </c>
      <c r="G378" s="10"/>
    </row>
    <row r="379" spans="3:7">
      <c r="C379" s="15" t="s">
        <v>1144</v>
      </c>
      <c r="D379" s="13" t="s">
        <v>1145</v>
      </c>
      <c r="E379" s="13" t="s">
        <v>350</v>
      </c>
      <c r="F379" s="139">
        <v>119700</v>
      </c>
      <c r="G379" s="10"/>
    </row>
    <row r="380" spans="3:7">
      <c r="C380" s="15" t="s">
        <v>1146</v>
      </c>
      <c r="D380" s="13" t="s">
        <v>1147</v>
      </c>
      <c r="E380" s="13" t="s">
        <v>1148</v>
      </c>
      <c r="F380" s="139">
        <v>3000</v>
      </c>
      <c r="G380" s="10"/>
    </row>
    <row r="381" spans="3:7">
      <c r="C381" s="15" t="s">
        <v>427</v>
      </c>
      <c r="D381" s="13" t="s">
        <v>428</v>
      </c>
      <c r="E381" s="13" t="s">
        <v>136</v>
      </c>
      <c r="F381" s="139">
        <v>103281.31</v>
      </c>
      <c r="G381" s="10"/>
    </row>
    <row r="382" spans="3:7">
      <c r="C382" s="15" t="s">
        <v>146</v>
      </c>
      <c r="D382" s="13" t="s">
        <v>1149</v>
      </c>
      <c r="E382" s="13" t="s">
        <v>196</v>
      </c>
      <c r="F382" s="139">
        <v>23020.2</v>
      </c>
      <c r="G382" s="10"/>
    </row>
    <row r="383" spans="3:7">
      <c r="C383" s="15" t="s">
        <v>1150</v>
      </c>
      <c r="D383" s="13" t="s">
        <v>1151</v>
      </c>
      <c r="E383" s="13" t="s">
        <v>196</v>
      </c>
      <c r="F383" s="139"/>
      <c r="G383" s="10"/>
    </row>
    <row r="384" spans="3:7">
      <c r="C384" s="15" t="s">
        <v>145</v>
      </c>
      <c r="D384" s="13" t="s">
        <v>1152</v>
      </c>
      <c r="E384" s="13" t="s">
        <v>1148</v>
      </c>
      <c r="F384" s="139">
        <v>12900</v>
      </c>
      <c r="G384" s="10"/>
    </row>
    <row r="385" spans="3:7">
      <c r="C385" s="15" t="s">
        <v>156</v>
      </c>
      <c r="D385" s="13" t="s">
        <v>1153</v>
      </c>
      <c r="E385" s="13" t="s">
        <v>196</v>
      </c>
      <c r="F385" s="139">
        <v>17996</v>
      </c>
      <c r="G385" s="10"/>
    </row>
    <row r="386" spans="3:7">
      <c r="C386" s="15" t="s">
        <v>1154</v>
      </c>
      <c r="D386" s="13" t="s">
        <v>1155</v>
      </c>
      <c r="E386" s="13" t="s">
        <v>196</v>
      </c>
      <c r="F386" s="139">
        <v>15434</v>
      </c>
      <c r="G386" s="10"/>
    </row>
    <row r="387" spans="3:7">
      <c r="C387" s="15" t="s">
        <v>152</v>
      </c>
      <c r="D387" s="13" t="s">
        <v>1156</v>
      </c>
      <c r="E387" s="13" t="s">
        <v>196</v>
      </c>
      <c r="F387" s="139">
        <v>16750</v>
      </c>
      <c r="G387" s="10"/>
    </row>
    <row r="388" spans="3:7">
      <c r="C388" s="15" t="s">
        <v>176</v>
      </c>
      <c r="D388" s="13" t="s">
        <v>1157</v>
      </c>
      <c r="E388" s="13" t="s">
        <v>196</v>
      </c>
      <c r="F388" s="139"/>
      <c r="G388" s="10"/>
    </row>
    <row r="389" spans="3:7">
      <c r="C389" s="15" t="s">
        <v>166</v>
      </c>
      <c r="D389" s="13" t="s">
        <v>1158</v>
      </c>
      <c r="E389" s="13" t="s">
        <v>136</v>
      </c>
      <c r="F389" s="139">
        <v>115000</v>
      </c>
      <c r="G389" s="10"/>
    </row>
    <row r="390" spans="3:7">
      <c r="C390" s="15" t="s">
        <v>164</v>
      </c>
      <c r="D390" s="13" t="s">
        <v>1159</v>
      </c>
      <c r="E390" s="13" t="s">
        <v>136</v>
      </c>
      <c r="F390" s="139">
        <f>199900/50</f>
        <v>3998</v>
      </c>
      <c r="G390" s="10"/>
    </row>
    <row r="391" spans="3:7">
      <c r="C391" s="15" t="s">
        <v>165</v>
      </c>
      <c r="D391" s="13" t="s">
        <v>1160</v>
      </c>
      <c r="E391" s="13" t="s">
        <v>136</v>
      </c>
      <c r="F391" s="139">
        <v>68900</v>
      </c>
      <c r="G391" s="10"/>
    </row>
    <row r="392" spans="3:7">
      <c r="C392" s="15" t="s">
        <v>429</v>
      </c>
      <c r="D392" s="13" t="s">
        <v>430</v>
      </c>
      <c r="E392" s="153" t="s">
        <v>136</v>
      </c>
      <c r="F392" s="139">
        <v>64045.2</v>
      </c>
      <c r="G392" s="10"/>
    </row>
    <row r="393" spans="3:7">
      <c r="C393" s="15" t="s">
        <v>153</v>
      </c>
      <c r="D393" s="13" t="s">
        <v>1161</v>
      </c>
      <c r="E393" s="13" t="s">
        <v>136</v>
      </c>
      <c r="F393" s="139">
        <v>4900</v>
      </c>
      <c r="G393" s="10"/>
    </row>
    <row r="394" spans="3:7">
      <c r="C394" s="15" t="s">
        <v>158</v>
      </c>
      <c r="D394" s="13" t="s">
        <v>1162</v>
      </c>
      <c r="E394" s="13" t="s">
        <v>342</v>
      </c>
      <c r="F394" s="139">
        <v>6400</v>
      </c>
      <c r="G394" s="10"/>
    </row>
    <row r="395" spans="3:7">
      <c r="C395" s="15" t="s">
        <v>155</v>
      </c>
      <c r="D395" s="13" t="s">
        <v>1163</v>
      </c>
      <c r="E395" s="13" t="s">
        <v>136</v>
      </c>
      <c r="F395" s="139">
        <v>14900</v>
      </c>
      <c r="G395" s="10"/>
    </row>
    <row r="396" spans="3:7">
      <c r="C396" s="15" t="s">
        <v>135</v>
      </c>
      <c r="D396" s="13" t="s">
        <v>1164</v>
      </c>
      <c r="E396" s="13" t="s">
        <v>136</v>
      </c>
      <c r="F396" s="139">
        <v>195000</v>
      </c>
      <c r="G396" s="10"/>
    </row>
    <row r="397" spans="3:7">
      <c r="C397" s="15" t="s">
        <v>139</v>
      </c>
      <c r="D397" s="13" t="s">
        <v>1165</v>
      </c>
      <c r="E397" s="13" t="s">
        <v>136</v>
      </c>
      <c r="F397" s="139">
        <v>856</v>
      </c>
      <c r="G397" s="10"/>
    </row>
    <row r="398" spans="3:7">
      <c r="C398" s="15" t="s">
        <v>132</v>
      </c>
      <c r="D398" s="13" t="s">
        <v>1166</v>
      </c>
      <c r="E398" s="13" t="s">
        <v>136</v>
      </c>
      <c r="F398" s="139">
        <v>19300</v>
      </c>
      <c r="G398" s="10"/>
    </row>
    <row r="399" spans="3:7" ht="22.8">
      <c r="C399" s="15" t="s">
        <v>189</v>
      </c>
      <c r="D399" s="13" t="s">
        <v>1167</v>
      </c>
      <c r="E399" s="13" t="s">
        <v>136</v>
      </c>
      <c r="F399" s="139">
        <v>48479</v>
      </c>
      <c r="G399" s="10"/>
    </row>
    <row r="400" spans="3:7" ht="22.8">
      <c r="C400" s="15" t="s">
        <v>188</v>
      </c>
      <c r="D400" s="13" t="s">
        <v>1168</v>
      </c>
      <c r="E400" s="13" t="s">
        <v>136</v>
      </c>
      <c r="F400" s="139">
        <v>57205</v>
      </c>
      <c r="G400" s="10"/>
    </row>
    <row r="401" spans="3:7">
      <c r="C401" s="15" t="s">
        <v>130</v>
      </c>
      <c r="D401" s="13" t="s">
        <v>1169</v>
      </c>
      <c r="E401" s="13" t="s">
        <v>136</v>
      </c>
      <c r="F401" s="139">
        <v>27950</v>
      </c>
      <c r="G401" s="10"/>
    </row>
    <row r="402" spans="3:7">
      <c r="C402" s="15" t="s">
        <v>128</v>
      </c>
      <c r="D402" s="13" t="s">
        <v>1170</v>
      </c>
      <c r="E402" s="13" t="s">
        <v>136</v>
      </c>
      <c r="F402" s="139">
        <v>43440</v>
      </c>
      <c r="G402" s="10"/>
    </row>
    <row r="403" spans="3:7">
      <c r="C403" s="15" t="s">
        <v>431</v>
      </c>
      <c r="D403" s="13" t="s">
        <v>432</v>
      </c>
      <c r="E403" s="13" t="s">
        <v>136</v>
      </c>
      <c r="F403" s="139">
        <v>1564.05</v>
      </c>
      <c r="G403" s="10"/>
    </row>
    <row r="404" spans="3:7">
      <c r="C404" s="15" t="s">
        <v>1171</v>
      </c>
      <c r="D404" s="13" t="s">
        <v>1172</v>
      </c>
      <c r="E404" s="13" t="s">
        <v>387</v>
      </c>
      <c r="F404" s="139">
        <v>219900</v>
      </c>
      <c r="G404" s="10"/>
    </row>
    <row r="405" spans="3:7">
      <c r="C405" s="15" t="s">
        <v>122</v>
      </c>
      <c r="D405" s="13" t="s">
        <v>1173</v>
      </c>
      <c r="E405" s="13" t="s">
        <v>350</v>
      </c>
      <c r="F405" s="139">
        <v>3363</v>
      </c>
      <c r="G405" s="10"/>
    </row>
    <row r="406" spans="3:7">
      <c r="C406" s="15" t="s">
        <v>118</v>
      </c>
      <c r="D406" s="13" t="s">
        <v>1174</v>
      </c>
      <c r="E406" s="13" t="s">
        <v>136</v>
      </c>
      <c r="F406" s="154">
        <f>135750/10</f>
        <v>13575</v>
      </c>
      <c r="G406" s="10"/>
    </row>
    <row r="407" spans="3:7">
      <c r="C407" s="15" t="s">
        <v>117</v>
      </c>
      <c r="D407" s="13" t="s">
        <v>1305</v>
      </c>
      <c r="E407" s="13" t="s">
        <v>196</v>
      </c>
      <c r="F407" s="155">
        <v>18000</v>
      </c>
      <c r="G407" s="13"/>
    </row>
    <row r="408" spans="3:7">
      <c r="C408" s="15" t="s">
        <v>116</v>
      </c>
      <c r="D408" s="13" t="s">
        <v>1175</v>
      </c>
      <c r="E408" s="13" t="s">
        <v>1176</v>
      </c>
      <c r="F408" s="155">
        <v>19900</v>
      </c>
      <c r="G408" s="13"/>
    </row>
    <row r="409" spans="3:7">
      <c r="C409" s="15" t="s">
        <v>113</v>
      </c>
      <c r="D409" s="13" t="s">
        <v>1177</v>
      </c>
      <c r="E409" s="13" t="s">
        <v>1176</v>
      </c>
      <c r="F409" s="138">
        <v>71900</v>
      </c>
      <c r="G409" s="10"/>
    </row>
    <row r="410" spans="3:7">
      <c r="C410" s="15" t="s">
        <v>109</v>
      </c>
      <c r="D410" s="13" t="s">
        <v>1178</v>
      </c>
      <c r="E410" s="13" t="s">
        <v>196</v>
      </c>
      <c r="F410" s="139">
        <v>135900</v>
      </c>
      <c r="G410" s="10"/>
    </row>
    <row r="411" spans="3:7">
      <c r="C411" s="15" t="s">
        <v>108</v>
      </c>
      <c r="D411" s="13" t="s">
        <v>1179</v>
      </c>
      <c r="E411" s="13" t="s">
        <v>136</v>
      </c>
      <c r="F411" s="139">
        <v>81600</v>
      </c>
      <c r="G411" s="10"/>
    </row>
    <row r="412" spans="3:7" ht="22.8">
      <c r="C412" s="15" t="s">
        <v>107</v>
      </c>
      <c r="D412" s="13" t="s">
        <v>1180</v>
      </c>
      <c r="E412" s="13" t="s">
        <v>136</v>
      </c>
      <c r="F412" s="139">
        <v>249900</v>
      </c>
      <c r="G412" s="10"/>
    </row>
    <row r="413" spans="3:7">
      <c r="C413" s="15" t="s">
        <v>106</v>
      </c>
      <c r="D413" s="13" t="s">
        <v>1181</v>
      </c>
      <c r="E413" s="13" t="s">
        <v>136</v>
      </c>
      <c r="F413" s="139">
        <v>3900</v>
      </c>
      <c r="G413" s="10"/>
    </row>
    <row r="414" spans="3:7">
      <c r="C414" s="15" t="s">
        <v>433</v>
      </c>
      <c r="D414" s="13" t="s">
        <v>434</v>
      </c>
      <c r="E414" s="13" t="s">
        <v>355</v>
      </c>
      <c r="F414" s="139">
        <v>5258.45</v>
      </c>
      <c r="G414" s="10"/>
    </row>
    <row r="415" spans="3:7">
      <c r="C415" s="15" t="s">
        <v>104</v>
      </c>
      <c r="D415" s="14" t="s">
        <v>1182</v>
      </c>
      <c r="E415" s="156" t="s">
        <v>196</v>
      </c>
      <c r="F415" s="157">
        <v>34900</v>
      </c>
      <c r="G415" s="10"/>
    </row>
    <row r="416" spans="3:7">
      <c r="C416" s="15" t="s">
        <v>103</v>
      </c>
      <c r="D416" s="13" t="s">
        <v>1183</v>
      </c>
      <c r="E416" s="13" t="s">
        <v>136</v>
      </c>
      <c r="F416" s="139">
        <v>27900</v>
      </c>
      <c r="G416" s="10"/>
    </row>
    <row r="417" spans="3:7">
      <c r="C417" s="15" t="s">
        <v>102</v>
      </c>
      <c r="D417" s="13" t="s">
        <v>1184</v>
      </c>
      <c r="E417" s="13" t="s">
        <v>136</v>
      </c>
      <c r="F417" s="139">
        <v>10800</v>
      </c>
      <c r="G417" s="10"/>
    </row>
    <row r="418" spans="3:7">
      <c r="C418" s="15" t="s">
        <v>101</v>
      </c>
      <c r="D418" s="13" t="s">
        <v>1185</v>
      </c>
      <c r="E418" s="13" t="s">
        <v>136</v>
      </c>
      <c r="F418" s="139">
        <v>29900</v>
      </c>
      <c r="G418" s="10"/>
    </row>
    <row r="419" spans="3:7">
      <c r="C419" s="15" t="s">
        <v>100</v>
      </c>
      <c r="D419" s="13" t="s">
        <v>1186</v>
      </c>
      <c r="E419" s="13" t="s">
        <v>136</v>
      </c>
      <c r="F419" s="139">
        <v>126900</v>
      </c>
      <c r="G419" s="10"/>
    </row>
    <row r="420" spans="3:7">
      <c r="C420" s="15" t="s">
        <v>1187</v>
      </c>
      <c r="D420" s="13" t="s">
        <v>1188</v>
      </c>
      <c r="E420" s="13" t="s">
        <v>136</v>
      </c>
      <c r="F420" s="139">
        <v>24515</v>
      </c>
      <c r="G420" s="10"/>
    </row>
    <row r="421" spans="3:7">
      <c r="C421" s="15" t="s">
        <v>99</v>
      </c>
      <c r="D421" s="13" t="s">
        <v>1189</v>
      </c>
      <c r="E421" s="13" t="s">
        <v>136</v>
      </c>
      <c r="F421" s="139">
        <v>46000</v>
      </c>
      <c r="G421" s="10"/>
    </row>
    <row r="422" spans="3:7">
      <c r="C422" s="15" t="s">
        <v>96</v>
      </c>
      <c r="D422" s="13" t="s">
        <v>1190</v>
      </c>
      <c r="E422" s="13" t="s">
        <v>136</v>
      </c>
      <c r="F422" s="139">
        <v>14150</v>
      </c>
      <c r="G422" s="10"/>
    </row>
    <row r="423" spans="3:7">
      <c r="C423" s="15" t="s">
        <v>115</v>
      </c>
      <c r="D423" s="13" t="s">
        <v>1191</v>
      </c>
      <c r="E423" s="13" t="s">
        <v>136</v>
      </c>
      <c r="F423" s="139">
        <v>6300</v>
      </c>
      <c r="G423" s="10"/>
    </row>
    <row r="424" spans="3:7">
      <c r="C424" s="15" t="s">
        <v>195</v>
      </c>
      <c r="D424" s="13" t="s">
        <v>1192</v>
      </c>
      <c r="E424" s="13" t="s">
        <v>136</v>
      </c>
      <c r="F424" s="139">
        <v>18000</v>
      </c>
      <c r="G424" s="10"/>
    </row>
    <row r="425" spans="3:7">
      <c r="C425" s="15" t="s">
        <v>435</v>
      </c>
      <c r="D425" s="13" t="s">
        <v>436</v>
      </c>
      <c r="E425" s="13" t="s">
        <v>196</v>
      </c>
      <c r="F425" s="139">
        <v>92500</v>
      </c>
      <c r="G425" s="10"/>
    </row>
    <row r="426" spans="3:7">
      <c r="C426" s="15" t="s">
        <v>1193</v>
      </c>
      <c r="D426" s="13" t="s">
        <v>1194</v>
      </c>
      <c r="E426" s="13" t="s">
        <v>136</v>
      </c>
      <c r="F426" s="139">
        <v>16400</v>
      </c>
      <c r="G426" s="10"/>
    </row>
    <row r="427" spans="3:7">
      <c r="C427" s="15" t="s">
        <v>95</v>
      </c>
      <c r="D427" s="13" t="s">
        <v>1195</v>
      </c>
      <c r="E427" s="13" t="s">
        <v>136</v>
      </c>
      <c r="F427" s="139">
        <v>585000</v>
      </c>
      <c r="G427" s="10"/>
    </row>
    <row r="428" spans="3:7">
      <c r="C428" s="15" t="s">
        <v>94</v>
      </c>
      <c r="D428" s="13" t="s">
        <v>1196</v>
      </c>
      <c r="E428" s="13" t="s">
        <v>137</v>
      </c>
      <c r="F428" s="139">
        <v>154000</v>
      </c>
      <c r="G428" s="10"/>
    </row>
    <row r="429" spans="3:7">
      <c r="C429" s="15" t="s">
        <v>1197</v>
      </c>
      <c r="D429" s="13" t="s">
        <v>1198</v>
      </c>
      <c r="E429" s="13" t="s">
        <v>136</v>
      </c>
      <c r="F429" s="139">
        <v>6400</v>
      </c>
      <c r="G429" s="10"/>
    </row>
    <row r="430" spans="3:7">
      <c r="C430" s="15" t="s">
        <v>157</v>
      </c>
      <c r="D430" s="13" t="s">
        <v>1199</v>
      </c>
      <c r="E430" s="13" t="s">
        <v>196</v>
      </c>
      <c r="F430" s="139">
        <v>20500</v>
      </c>
      <c r="G430" s="10"/>
    </row>
    <row r="431" spans="3:7">
      <c r="C431" s="15" t="s">
        <v>154</v>
      </c>
      <c r="D431" s="13" t="s">
        <v>1200</v>
      </c>
      <c r="E431" s="13" t="s">
        <v>196</v>
      </c>
      <c r="F431" s="139">
        <v>25500</v>
      </c>
      <c r="G431" s="10"/>
    </row>
    <row r="432" spans="3:7">
      <c r="C432" s="15" t="s">
        <v>98</v>
      </c>
      <c r="D432" s="13" t="s">
        <v>1212</v>
      </c>
      <c r="E432" s="13" t="s">
        <v>136</v>
      </c>
      <c r="F432" s="139">
        <v>4900</v>
      </c>
      <c r="G432" s="10"/>
    </row>
    <row r="433" spans="3:7">
      <c r="C433" s="15" t="s">
        <v>1213</v>
      </c>
      <c r="D433" s="13" t="s">
        <v>1214</v>
      </c>
      <c r="E433" s="13" t="s">
        <v>136</v>
      </c>
      <c r="F433" s="139">
        <v>428900</v>
      </c>
      <c r="G433" s="10"/>
    </row>
    <row r="434" spans="3:7">
      <c r="C434" s="15" t="s">
        <v>1215</v>
      </c>
      <c r="D434" s="13" t="s">
        <v>1216</v>
      </c>
      <c r="E434" s="13" t="s">
        <v>136</v>
      </c>
      <c r="F434" s="139">
        <v>499900</v>
      </c>
      <c r="G434" s="10"/>
    </row>
    <row r="435" spans="3:7">
      <c r="C435" s="15" t="s">
        <v>1217</v>
      </c>
      <c r="D435" s="13" t="s">
        <v>1218</v>
      </c>
      <c r="E435" s="13" t="s">
        <v>136</v>
      </c>
      <c r="F435" s="139">
        <v>849900</v>
      </c>
      <c r="G435" s="10"/>
    </row>
    <row r="436" spans="3:7">
      <c r="C436" s="15" t="s">
        <v>437</v>
      </c>
      <c r="D436" s="13" t="s">
        <v>438</v>
      </c>
      <c r="E436" s="13" t="s">
        <v>136</v>
      </c>
      <c r="F436" s="139">
        <v>35</v>
      </c>
      <c r="G436" s="10"/>
    </row>
    <row r="437" spans="3:7">
      <c r="C437" s="15" t="s">
        <v>1219</v>
      </c>
      <c r="D437" s="13" t="s">
        <v>1268</v>
      </c>
      <c r="E437" s="13" t="s">
        <v>350</v>
      </c>
      <c r="F437" s="139">
        <f>652+11.95</f>
        <v>663.95</v>
      </c>
      <c r="G437" s="10"/>
    </row>
    <row r="438" spans="3:7">
      <c r="C438" s="15" t="s">
        <v>1222</v>
      </c>
      <c r="D438" s="13" t="s">
        <v>1223</v>
      </c>
      <c r="E438" s="13" t="s">
        <v>346</v>
      </c>
      <c r="F438" s="139">
        <v>50000</v>
      </c>
      <c r="G438" s="10"/>
    </row>
    <row r="439" spans="3:7">
      <c r="C439" s="15" t="s">
        <v>1228</v>
      </c>
      <c r="D439" s="13" t="s">
        <v>1229</v>
      </c>
      <c r="E439" s="13" t="s">
        <v>342</v>
      </c>
      <c r="F439" s="139">
        <v>43077</v>
      </c>
      <c r="G439" s="10"/>
    </row>
    <row r="440" spans="3:7">
      <c r="C440" s="15" t="s">
        <v>1279</v>
      </c>
      <c r="D440" s="13" t="s">
        <v>1280</v>
      </c>
      <c r="E440" s="13" t="s">
        <v>350</v>
      </c>
      <c r="F440" s="139">
        <v>8236</v>
      </c>
      <c r="G440" s="10"/>
    </row>
    <row r="441" spans="3:7">
      <c r="C441" s="15" t="s">
        <v>439</v>
      </c>
      <c r="D441" s="13" t="s">
        <v>440</v>
      </c>
      <c r="E441" s="13" t="s">
        <v>136</v>
      </c>
      <c r="F441" s="139">
        <v>924</v>
      </c>
      <c r="G441" s="10"/>
    </row>
    <row r="442" spans="3:7">
      <c r="C442" s="15" t="s">
        <v>441</v>
      </c>
      <c r="D442" s="13" t="s">
        <v>442</v>
      </c>
      <c r="E442" s="13" t="s">
        <v>136</v>
      </c>
      <c r="F442" s="141">
        <v>122621.62</v>
      </c>
      <c r="G442" s="10"/>
    </row>
    <row r="443" spans="3:7">
      <c r="C443" s="15" t="s">
        <v>443</v>
      </c>
      <c r="D443" s="13" t="s">
        <v>444</v>
      </c>
      <c r="E443" s="13" t="s">
        <v>136</v>
      </c>
      <c r="F443" s="141">
        <v>13483.2</v>
      </c>
      <c r="G443" s="10"/>
    </row>
    <row r="444" spans="3:7">
      <c r="C444" s="15" t="s">
        <v>445</v>
      </c>
      <c r="D444" s="13" t="s">
        <v>446</v>
      </c>
      <c r="E444" s="13" t="s">
        <v>136</v>
      </c>
      <c r="F444" s="139">
        <v>95730.72</v>
      </c>
      <c r="G444" s="10"/>
    </row>
    <row r="445" spans="3:7">
      <c r="C445" s="15" t="s">
        <v>447</v>
      </c>
      <c r="D445" s="13" t="s">
        <v>448</v>
      </c>
      <c r="E445" s="13" t="s">
        <v>136</v>
      </c>
      <c r="F445" s="141">
        <v>13483.2</v>
      </c>
      <c r="G445" s="10"/>
    </row>
    <row r="446" spans="3:7">
      <c r="C446" s="15" t="s">
        <v>449</v>
      </c>
      <c r="D446" s="13" t="s">
        <v>450</v>
      </c>
      <c r="E446" s="13" t="s">
        <v>136</v>
      </c>
      <c r="F446" s="139">
        <v>66067.680000000008</v>
      </c>
      <c r="G446" s="10"/>
    </row>
    <row r="447" spans="3:7">
      <c r="C447" s="15" t="s">
        <v>451</v>
      </c>
      <c r="D447" s="13" t="s">
        <v>452</v>
      </c>
      <c r="E447" s="13" t="s">
        <v>136</v>
      </c>
      <c r="F447" s="139">
        <v>77194</v>
      </c>
      <c r="G447" s="10"/>
    </row>
    <row r="448" spans="3:7">
      <c r="C448" s="15" t="s">
        <v>453</v>
      </c>
      <c r="D448" s="13" t="s">
        <v>454</v>
      </c>
      <c r="E448" s="13" t="s">
        <v>136</v>
      </c>
      <c r="F448" s="139">
        <v>37221</v>
      </c>
      <c r="G448" s="10"/>
    </row>
    <row r="449" spans="3:7">
      <c r="C449" s="15" t="s">
        <v>455</v>
      </c>
      <c r="D449" s="13" t="s">
        <v>456</v>
      </c>
      <c r="E449" s="13" t="s">
        <v>159</v>
      </c>
      <c r="F449" s="139">
        <v>19372.833333333332</v>
      </c>
      <c r="G449" s="10"/>
    </row>
    <row r="450" spans="3:7">
      <c r="C450" s="15" t="s">
        <v>457</v>
      </c>
      <c r="D450" s="13" t="s">
        <v>458</v>
      </c>
      <c r="E450" s="13" t="s">
        <v>136</v>
      </c>
      <c r="F450" s="139">
        <v>5823</v>
      </c>
      <c r="G450" s="10"/>
    </row>
    <row r="451" spans="3:7">
      <c r="C451" s="15" t="s">
        <v>459</v>
      </c>
      <c r="D451" s="13" t="s">
        <v>460</v>
      </c>
      <c r="E451" s="13" t="s">
        <v>461</v>
      </c>
      <c r="F451" s="139">
        <v>2500</v>
      </c>
      <c r="G451" s="10"/>
    </row>
    <row r="452" spans="3:7">
      <c r="C452" s="15" t="s">
        <v>462</v>
      </c>
      <c r="D452" s="13" t="s">
        <v>463</v>
      </c>
      <c r="E452" s="13" t="s">
        <v>350</v>
      </c>
      <c r="F452" s="139">
        <v>4787</v>
      </c>
      <c r="G452" s="10"/>
    </row>
    <row r="453" spans="3:7">
      <c r="C453" s="15" t="s">
        <v>464</v>
      </c>
      <c r="D453" s="13" t="s">
        <v>465</v>
      </c>
      <c r="E453" s="13" t="s">
        <v>350</v>
      </c>
      <c r="F453" s="139">
        <v>12674.21</v>
      </c>
      <c r="G453" s="10"/>
    </row>
    <row r="454" spans="3:7">
      <c r="C454" s="15" t="s">
        <v>466</v>
      </c>
      <c r="D454" s="13" t="s">
        <v>85</v>
      </c>
      <c r="E454" s="13" t="s">
        <v>355</v>
      </c>
      <c r="F454" s="139">
        <v>25</v>
      </c>
      <c r="G454" s="10"/>
    </row>
    <row r="455" spans="3:7">
      <c r="C455" s="15" t="s">
        <v>467</v>
      </c>
      <c r="D455" s="13" t="s">
        <v>352</v>
      </c>
      <c r="E455" s="13" t="s">
        <v>346</v>
      </c>
      <c r="F455" s="139">
        <v>65000</v>
      </c>
      <c r="G455" s="10"/>
    </row>
    <row r="456" spans="3:7">
      <c r="C456" s="15" t="s">
        <v>468</v>
      </c>
      <c r="D456" s="13" t="s">
        <v>469</v>
      </c>
      <c r="E456" s="13" t="s">
        <v>196</v>
      </c>
      <c r="F456" s="139">
        <v>57834</v>
      </c>
      <c r="G456" s="10"/>
    </row>
    <row r="457" spans="3:7">
      <c r="C457" s="15" t="s">
        <v>105</v>
      </c>
      <c r="D457" s="10" t="s">
        <v>470</v>
      </c>
      <c r="E457" s="13" t="s">
        <v>350</v>
      </c>
      <c r="F457" s="139">
        <v>1574.12</v>
      </c>
      <c r="G457" s="10"/>
    </row>
    <row r="458" spans="3:7">
      <c r="C458" s="15" t="s">
        <v>471</v>
      </c>
      <c r="D458" s="13" t="s">
        <v>349</v>
      </c>
      <c r="E458" s="13" t="s">
        <v>350</v>
      </c>
      <c r="F458" s="139">
        <v>500</v>
      </c>
      <c r="G458" s="10"/>
    </row>
    <row r="459" spans="3:7">
      <c r="C459" s="15" t="s">
        <v>472</v>
      </c>
      <c r="D459" s="13" t="s">
        <v>473</v>
      </c>
      <c r="E459" s="13" t="s">
        <v>136</v>
      </c>
      <c r="F459" s="139">
        <f>4449.46*1.19</f>
        <v>5294.8573999999999</v>
      </c>
      <c r="G459" s="10"/>
    </row>
    <row r="460" spans="3:7">
      <c r="C460" s="15" t="s">
        <v>474</v>
      </c>
      <c r="D460" s="13" t="s">
        <v>475</v>
      </c>
      <c r="E460" s="13" t="s">
        <v>136</v>
      </c>
      <c r="F460" s="139">
        <v>2629.22</v>
      </c>
      <c r="G460" s="10"/>
    </row>
    <row r="461" spans="3:7">
      <c r="C461" s="15" t="s">
        <v>476</v>
      </c>
      <c r="D461" s="13" t="s">
        <v>477</v>
      </c>
      <c r="E461" s="140" t="s">
        <v>478</v>
      </c>
      <c r="F461" s="141">
        <v>17662.990000000002</v>
      </c>
      <c r="G461" s="10"/>
    </row>
    <row r="462" spans="3:7">
      <c r="C462" s="15" t="s">
        <v>479</v>
      </c>
      <c r="D462" s="13" t="s">
        <v>480</v>
      </c>
      <c r="E462" s="13" t="s">
        <v>159</v>
      </c>
      <c r="F462" s="139">
        <v>5528.11</v>
      </c>
      <c r="G462" s="10"/>
    </row>
    <row r="463" spans="3:7">
      <c r="C463" s="15" t="s">
        <v>481</v>
      </c>
      <c r="D463" s="13" t="s">
        <v>482</v>
      </c>
      <c r="E463" s="13" t="s">
        <v>136</v>
      </c>
      <c r="F463" s="139">
        <v>80225.040000000008</v>
      </c>
      <c r="G463" s="10"/>
    </row>
    <row r="464" spans="3:7">
      <c r="C464" s="15" t="s">
        <v>483</v>
      </c>
      <c r="D464" s="13" t="s">
        <v>484</v>
      </c>
      <c r="E464" s="13" t="s">
        <v>350</v>
      </c>
      <c r="F464" s="139">
        <v>6606.77</v>
      </c>
      <c r="G464" s="10"/>
    </row>
    <row r="465" spans="3:7">
      <c r="C465" s="15" t="s">
        <v>485</v>
      </c>
      <c r="D465" s="13" t="s">
        <v>486</v>
      </c>
      <c r="E465" s="13" t="s">
        <v>136</v>
      </c>
      <c r="F465" s="139">
        <v>808.99</v>
      </c>
      <c r="G465" s="10"/>
    </row>
    <row r="466" spans="3:7">
      <c r="C466" s="15" t="s">
        <v>487</v>
      </c>
      <c r="D466" s="13" t="s">
        <v>488</v>
      </c>
      <c r="E466" s="13" t="s">
        <v>387</v>
      </c>
      <c r="F466" s="139">
        <v>20224.8</v>
      </c>
      <c r="G466" s="10"/>
    </row>
    <row r="467" spans="3:7">
      <c r="C467" s="15" t="s">
        <v>489</v>
      </c>
      <c r="D467" s="13" t="s">
        <v>490</v>
      </c>
      <c r="E467" s="140" t="s">
        <v>355</v>
      </c>
      <c r="F467" s="141">
        <v>6741.6</v>
      </c>
      <c r="G467" s="10"/>
    </row>
    <row r="468" spans="3:7">
      <c r="C468" s="15" t="s">
        <v>491</v>
      </c>
      <c r="D468" s="13" t="s">
        <v>492</v>
      </c>
      <c r="E468" s="13" t="s">
        <v>493</v>
      </c>
      <c r="F468" s="139">
        <v>2831.47</v>
      </c>
      <c r="G468" s="10"/>
    </row>
    <row r="469" spans="3:7">
      <c r="C469" s="15" t="s">
        <v>494</v>
      </c>
      <c r="D469" s="13" t="s">
        <v>495</v>
      </c>
      <c r="E469" s="13" t="s">
        <v>496</v>
      </c>
      <c r="F469" s="139">
        <v>13483.2</v>
      </c>
      <c r="G469" s="10"/>
    </row>
    <row r="470" spans="3:7">
      <c r="C470" s="15" t="s">
        <v>497</v>
      </c>
      <c r="D470" s="13" t="s">
        <v>498</v>
      </c>
      <c r="E470" s="140" t="s">
        <v>499</v>
      </c>
      <c r="F470" s="141">
        <v>265619.03999999998</v>
      </c>
      <c r="G470" s="10"/>
    </row>
    <row r="471" spans="3:7">
      <c r="C471" s="15" t="s">
        <v>500</v>
      </c>
      <c r="D471" s="13" t="s">
        <v>501</v>
      </c>
      <c r="E471" s="13" t="s">
        <v>136</v>
      </c>
      <c r="F471" s="141">
        <v>110</v>
      </c>
      <c r="G471" s="10"/>
    </row>
    <row r="472" spans="3:7">
      <c r="C472" s="15" t="s">
        <v>502</v>
      </c>
      <c r="D472" s="13" t="s">
        <v>503</v>
      </c>
      <c r="E472" s="13" t="s">
        <v>136</v>
      </c>
      <c r="F472" s="139">
        <v>67.42</v>
      </c>
      <c r="G472" s="10"/>
    </row>
    <row r="473" spans="3:7">
      <c r="C473" s="15" t="s">
        <v>504</v>
      </c>
      <c r="D473" s="13" t="s">
        <v>505</v>
      </c>
      <c r="E473" s="140" t="s">
        <v>136</v>
      </c>
      <c r="F473" s="141">
        <v>26.97</v>
      </c>
      <c r="G473" s="10"/>
    </row>
    <row r="474" spans="3:7">
      <c r="C474" s="15" t="s">
        <v>506</v>
      </c>
      <c r="D474" s="13" t="s">
        <v>507</v>
      </c>
      <c r="E474" s="13" t="s">
        <v>136</v>
      </c>
      <c r="F474" s="139">
        <v>12404.54</v>
      </c>
      <c r="G474" s="10"/>
    </row>
    <row r="475" spans="3:7">
      <c r="C475" s="15" t="s">
        <v>508</v>
      </c>
      <c r="D475" s="13" t="s">
        <v>509</v>
      </c>
      <c r="E475" s="13" t="s">
        <v>136</v>
      </c>
      <c r="F475" s="139">
        <v>67.42</v>
      </c>
      <c r="G475" s="10"/>
    </row>
    <row r="476" spans="3:7">
      <c r="C476" s="15" t="s">
        <v>510</v>
      </c>
      <c r="D476" s="13" t="s">
        <v>511</v>
      </c>
      <c r="E476" s="13" t="s">
        <v>196</v>
      </c>
      <c r="F476" s="139">
        <v>181798.39999999999</v>
      </c>
      <c r="G476" s="10"/>
    </row>
    <row r="477" spans="3:7">
      <c r="C477" s="15" t="s">
        <v>512</v>
      </c>
      <c r="D477" s="13" t="s">
        <v>513</v>
      </c>
      <c r="E477" s="13" t="s">
        <v>136</v>
      </c>
      <c r="F477" s="139">
        <v>535000</v>
      </c>
      <c r="G477" s="10"/>
    </row>
    <row r="478" spans="3:7">
      <c r="C478" s="15" t="s">
        <v>514</v>
      </c>
      <c r="D478" s="13" t="s">
        <v>515</v>
      </c>
      <c r="E478" s="13" t="s">
        <v>478</v>
      </c>
      <c r="F478" s="139">
        <v>62696.88</v>
      </c>
      <c r="G478" s="10"/>
    </row>
    <row r="479" spans="3:7">
      <c r="C479" s="15" t="s">
        <v>516</v>
      </c>
      <c r="D479" s="13" t="s">
        <v>517</v>
      </c>
      <c r="E479" s="140" t="s">
        <v>478</v>
      </c>
      <c r="F479" s="141">
        <v>21033.79</v>
      </c>
      <c r="G479" s="10"/>
    </row>
    <row r="480" spans="3:7">
      <c r="C480" s="15" t="s">
        <v>518</v>
      </c>
      <c r="D480" s="13" t="s">
        <v>519</v>
      </c>
      <c r="E480" s="13" t="s">
        <v>159</v>
      </c>
      <c r="F480" s="139">
        <v>25887.74</v>
      </c>
      <c r="G480" s="10"/>
    </row>
    <row r="481" spans="3:7">
      <c r="C481" s="15" t="s">
        <v>520</v>
      </c>
      <c r="D481" s="13" t="s">
        <v>452</v>
      </c>
      <c r="E481" s="13" t="s">
        <v>137</v>
      </c>
      <c r="F481" s="139">
        <v>90</v>
      </c>
      <c r="G481" s="10"/>
    </row>
    <row r="482" spans="3:7">
      <c r="C482" s="158" t="s">
        <v>521</v>
      </c>
      <c r="D482" s="13" t="s">
        <v>454</v>
      </c>
      <c r="E482" s="13" t="s">
        <v>136</v>
      </c>
      <c r="F482" s="139">
        <v>37221</v>
      </c>
      <c r="G482" s="10"/>
    </row>
    <row r="483" spans="3:7">
      <c r="C483" s="15" t="s">
        <v>522</v>
      </c>
      <c r="D483" s="13" t="s">
        <v>456</v>
      </c>
      <c r="E483" s="13" t="s">
        <v>159</v>
      </c>
      <c r="F483" s="139">
        <v>19372.833333333332</v>
      </c>
      <c r="G483" s="10"/>
    </row>
    <row r="484" spans="3:7">
      <c r="C484" s="15" t="s">
        <v>523</v>
      </c>
      <c r="D484" s="13" t="s">
        <v>458</v>
      </c>
      <c r="E484" s="13" t="s">
        <v>136</v>
      </c>
      <c r="F484" s="139">
        <v>5823</v>
      </c>
      <c r="G484" s="10"/>
    </row>
    <row r="485" spans="3:7">
      <c r="C485" s="15" t="s">
        <v>524</v>
      </c>
      <c r="D485" s="13" t="s">
        <v>525</v>
      </c>
      <c r="E485" s="13" t="s">
        <v>159</v>
      </c>
      <c r="F485" s="139">
        <v>9306.8333333333339</v>
      </c>
      <c r="G485" s="10"/>
    </row>
    <row r="486" spans="3:7">
      <c r="C486" s="15" t="s">
        <v>526</v>
      </c>
      <c r="D486" s="13" t="s">
        <v>527</v>
      </c>
      <c r="E486" s="13" t="s">
        <v>136</v>
      </c>
      <c r="F486" s="139">
        <v>2019</v>
      </c>
      <c r="G486" s="10"/>
    </row>
    <row r="487" spans="3:7">
      <c r="C487" s="15" t="s">
        <v>528</v>
      </c>
      <c r="D487" s="13" t="s">
        <v>529</v>
      </c>
      <c r="E487" s="13" t="s">
        <v>159</v>
      </c>
      <c r="F487" s="139">
        <v>6098</v>
      </c>
      <c r="G487" s="10"/>
    </row>
    <row r="488" spans="3:7">
      <c r="C488" s="15" t="s">
        <v>530</v>
      </c>
      <c r="D488" s="13" t="s">
        <v>531</v>
      </c>
      <c r="E488" s="13" t="s">
        <v>136</v>
      </c>
      <c r="F488" s="139">
        <v>9994</v>
      </c>
      <c r="G488" s="10"/>
    </row>
    <row r="489" spans="3:7">
      <c r="C489" s="15" t="s">
        <v>532</v>
      </c>
      <c r="D489" s="13" t="s">
        <v>533</v>
      </c>
      <c r="E489" s="13" t="s">
        <v>136</v>
      </c>
      <c r="F489" s="139">
        <v>11243</v>
      </c>
      <c r="G489" s="10"/>
    </row>
    <row r="490" spans="3:7">
      <c r="C490" s="15" t="s">
        <v>534</v>
      </c>
      <c r="D490" s="13" t="s">
        <v>535</v>
      </c>
      <c r="E490" s="13" t="s">
        <v>136</v>
      </c>
      <c r="F490" s="139">
        <v>20344</v>
      </c>
      <c r="G490" s="10"/>
    </row>
    <row r="491" spans="3:7">
      <c r="C491" s="15" t="s">
        <v>536</v>
      </c>
      <c r="D491" s="13" t="s">
        <v>537</v>
      </c>
      <c r="E491" s="13" t="s">
        <v>136</v>
      </c>
      <c r="F491" s="139">
        <v>5109</v>
      </c>
      <c r="G491" s="10"/>
    </row>
    <row r="492" spans="3:7">
      <c r="C492" s="15" t="s">
        <v>1206</v>
      </c>
      <c r="D492" s="13"/>
      <c r="E492" s="13"/>
      <c r="F492" s="139"/>
      <c r="G492" s="10"/>
    </row>
    <row r="493" spans="3:7">
      <c r="C493" s="15" t="s">
        <v>1207</v>
      </c>
      <c r="D493" s="13"/>
      <c r="E493" s="13"/>
      <c r="F493" s="139"/>
      <c r="G493" s="10"/>
    </row>
    <row r="494" spans="3:7">
      <c r="C494" s="15" t="s">
        <v>1208</v>
      </c>
      <c r="D494" s="13"/>
      <c r="E494" s="13"/>
      <c r="F494" s="139"/>
      <c r="G494" s="10"/>
    </row>
    <row r="495" spans="3:7">
      <c r="C495" s="15" t="s">
        <v>1209</v>
      </c>
      <c r="D495" s="13"/>
      <c r="E495" s="13"/>
      <c r="F495" s="139"/>
      <c r="G495" s="10"/>
    </row>
    <row r="496" spans="3:7">
      <c r="C496" s="15" t="s">
        <v>1210</v>
      </c>
      <c r="D496" s="13"/>
      <c r="E496" s="13"/>
      <c r="F496" s="139"/>
      <c r="G496" s="10"/>
    </row>
    <row r="497" spans="3:7">
      <c r="C497" s="15" t="s">
        <v>88</v>
      </c>
      <c r="D497" s="13" t="s">
        <v>1211</v>
      </c>
      <c r="E497" s="13" t="s">
        <v>136</v>
      </c>
      <c r="F497" s="139">
        <v>1560000</v>
      </c>
      <c r="G497" s="10"/>
    </row>
    <row r="498" spans="3:7">
      <c r="C498" s="158" t="s">
        <v>93</v>
      </c>
      <c r="D498" s="18" t="s">
        <v>1201</v>
      </c>
      <c r="E498" s="18" t="s">
        <v>136</v>
      </c>
      <c r="F498" s="154">
        <v>780000</v>
      </c>
      <c r="G498" s="10"/>
    </row>
    <row r="499" spans="3:7">
      <c r="C499" s="158" t="s">
        <v>92</v>
      </c>
      <c r="D499" s="18" t="s">
        <v>1202</v>
      </c>
      <c r="E499" s="18" t="s">
        <v>136</v>
      </c>
      <c r="F499" s="154">
        <v>257400</v>
      </c>
      <c r="G499" s="10"/>
    </row>
    <row r="500" spans="3:7">
      <c r="C500" s="158" t="s">
        <v>91</v>
      </c>
      <c r="D500" s="18" t="s">
        <v>1203</v>
      </c>
      <c r="E500" s="18" t="s">
        <v>136</v>
      </c>
      <c r="F500" s="154">
        <v>84000</v>
      </c>
      <c r="G500" s="10"/>
    </row>
    <row r="501" spans="3:7">
      <c r="C501" s="158" t="s">
        <v>90</v>
      </c>
      <c r="D501" s="18" t="s">
        <v>1204</v>
      </c>
      <c r="E501" s="18" t="s">
        <v>136</v>
      </c>
      <c r="F501" s="154">
        <v>70000</v>
      </c>
      <c r="G501" s="10"/>
    </row>
    <row r="502" spans="3:7">
      <c r="C502" s="158" t="s">
        <v>89</v>
      </c>
      <c r="D502" s="18" t="s">
        <v>1205</v>
      </c>
      <c r="E502" s="18" t="s">
        <v>136</v>
      </c>
      <c r="F502" s="154">
        <v>70000</v>
      </c>
      <c r="G502" s="10"/>
    </row>
    <row r="503" spans="3:7">
      <c r="C503" s="158" t="s">
        <v>1281</v>
      </c>
      <c r="D503" s="18" t="s">
        <v>1282</v>
      </c>
      <c r="E503" s="18" t="s">
        <v>196</v>
      </c>
      <c r="F503" s="154">
        <v>43900</v>
      </c>
      <c r="G503" s="10"/>
    </row>
    <row r="504" spans="3:7">
      <c r="C504" s="158" t="s">
        <v>1285</v>
      </c>
      <c r="D504" s="18" t="s">
        <v>1286</v>
      </c>
      <c r="E504" s="18" t="s">
        <v>1291</v>
      </c>
      <c r="F504" s="154">
        <v>6480</v>
      </c>
      <c r="G504" s="10"/>
    </row>
    <row r="505" spans="3:7">
      <c r="C505" s="158" t="s">
        <v>1292</v>
      </c>
      <c r="D505" s="18" t="s">
        <v>1318</v>
      </c>
      <c r="E505" s="18" t="s">
        <v>342</v>
      </c>
      <c r="F505" s="154">
        <v>1900</v>
      </c>
      <c r="G505" s="10"/>
    </row>
    <row r="506" spans="3:7">
      <c r="C506" s="158" t="s">
        <v>1293</v>
      </c>
      <c r="D506" s="18" t="s">
        <v>1294</v>
      </c>
      <c r="E506" s="18" t="s">
        <v>390</v>
      </c>
      <c r="F506" s="154">
        <v>143380</v>
      </c>
      <c r="G506" s="10"/>
    </row>
    <row r="507" spans="3:7">
      <c r="C507" s="158" t="s">
        <v>1295</v>
      </c>
      <c r="D507" s="18" t="s">
        <v>1304</v>
      </c>
      <c r="E507" s="18" t="s">
        <v>342</v>
      </c>
      <c r="F507" s="154">
        <v>30000</v>
      </c>
      <c r="G507" s="10"/>
    </row>
    <row r="508" spans="3:7">
      <c r="C508" s="158" t="s">
        <v>1296</v>
      </c>
      <c r="D508" s="18" t="s">
        <v>1297</v>
      </c>
      <c r="E508" s="18" t="s">
        <v>342</v>
      </c>
      <c r="F508" s="154">
        <v>100000</v>
      </c>
      <c r="G508" s="10"/>
    </row>
    <row r="509" spans="3:7">
      <c r="C509" s="158" t="s">
        <v>1300</v>
      </c>
      <c r="D509" s="18" t="s">
        <v>1298</v>
      </c>
      <c r="E509" s="18" t="s">
        <v>1299</v>
      </c>
      <c r="F509" s="154">
        <v>130000</v>
      </c>
      <c r="G509" s="10"/>
    </row>
    <row r="510" spans="3:7">
      <c r="C510" s="158" t="s">
        <v>1302</v>
      </c>
      <c r="D510" s="18" t="s">
        <v>1301</v>
      </c>
      <c r="E510" s="18" t="s">
        <v>342</v>
      </c>
      <c r="F510" s="154">
        <v>9700</v>
      </c>
      <c r="G510" s="10"/>
    </row>
    <row r="511" spans="3:7">
      <c r="C511" s="158" t="s">
        <v>1303</v>
      </c>
      <c r="D511" s="18" t="s">
        <v>1308</v>
      </c>
      <c r="E511" s="18" t="s">
        <v>1299</v>
      </c>
      <c r="F511" s="154">
        <v>189</v>
      </c>
      <c r="G511" s="10"/>
    </row>
    <row r="512" spans="3:7">
      <c r="C512" s="158" t="s">
        <v>1310</v>
      </c>
      <c r="D512" s="18" t="s">
        <v>1309</v>
      </c>
      <c r="E512" s="18" t="s">
        <v>342</v>
      </c>
      <c r="F512" s="154">
        <v>30</v>
      </c>
      <c r="G512" s="10"/>
    </row>
    <row r="513" spans="3:7">
      <c r="C513" s="158" t="s">
        <v>1311</v>
      </c>
      <c r="D513" s="18" t="s">
        <v>1312</v>
      </c>
      <c r="E513" s="18" t="s">
        <v>1313</v>
      </c>
      <c r="F513" s="154">
        <v>4500</v>
      </c>
      <c r="G513" s="10"/>
    </row>
    <row r="514" spans="3:7">
      <c r="C514" s="158" t="s">
        <v>1315</v>
      </c>
      <c r="D514" s="18" t="s">
        <v>1316</v>
      </c>
      <c r="E514" s="18" t="s">
        <v>1317</v>
      </c>
      <c r="F514" s="154">
        <v>72000</v>
      </c>
      <c r="G514" s="10"/>
    </row>
    <row r="515" spans="3:7">
      <c r="C515" s="158" t="s">
        <v>1314</v>
      </c>
      <c r="D515" s="18" t="s">
        <v>1320</v>
      </c>
      <c r="E515" s="18" t="s">
        <v>27</v>
      </c>
      <c r="F515" s="154">
        <v>3000</v>
      </c>
      <c r="G515" s="10"/>
    </row>
    <row r="516" spans="3:7">
      <c r="C516" s="158" t="s">
        <v>1323</v>
      </c>
      <c r="D516" s="18" t="s">
        <v>1322</v>
      </c>
      <c r="E516" s="18" t="s">
        <v>1321</v>
      </c>
      <c r="F516" s="154">
        <v>1950</v>
      </c>
      <c r="G516" s="10"/>
    </row>
    <row r="517" spans="3:7">
      <c r="C517" s="158" t="s">
        <v>1326</v>
      </c>
      <c r="D517" s="18" t="s">
        <v>1327</v>
      </c>
      <c r="E517" s="18" t="s">
        <v>342</v>
      </c>
      <c r="F517" s="154">
        <v>2000</v>
      </c>
      <c r="G517" s="10"/>
    </row>
    <row r="518" spans="3:7">
      <c r="C518" s="158" t="s">
        <v>1328</v>
      </c>
      <c r="D518" s="18" t="s">
        <v>1346</v>
      </c>
      <c r="E518" s="18" t="s">
        <v>342</v>
      </c>
      <c r="F518" s="154">
        <v>14280</v>
      </c>
      <c r="G518" s="10"/>
    </row>
    <row r="519" spans="3:7">
      <c r="C519" s="158" t="s">
        <v>1329</v>
      </c>
      <c r="D519" s="18" t="s">
        <v>1330</v>
      </c>
      <c r="E519" s="18" t="s">
        <v>1331</v>
      </c>
      <c r="F519" s="154">
        <v>3939</v>
      </c>
      <c r="G519" s="10"/>
    </row>
    <row r="520" spans="3:7">
      <c r="C520" s="158" t="s">
        <v>1332</v>
      </c>
      <c r="D520" s="18"/>
      <c r="E520" s="18"/>
      <c r="F520" s="154"/>
      <c r="G520" s="10"/>
    </row>
    <row r="521" spans="3:7">
      <c r="C521" s="158" t="s">
        <v>1334</v>
      </c>
      <c r="D521" s="18" t="s">
        <v>1335</v>
      </c>
      <c r="E521" s="18" t="s">
        <v>342</v>
      </c>
      <c r="F521" s="154">
        <v>34900</v>
      </c>
      <c r="G521" s="10"/>
    </row>
    <row r="522" spans="3:7">
      <c r="C522" s="158" t="s">
        <v>1337</v>
      </c>
      <c r="D522" s="18" t="s">
        <v>1338</v>
      </c>
      <c r="E522" s="18" t="s">
        <v>1339</v>
      </c>
      <c r="F522" s="154">
        <v>2000</v>
      </c>
      <c r="G522" s="10"/>
    </row>
    <row r="523" spans="3:7">
      <c r="C523" s="158" t="s">
        <v>1336</v>
      </c>
      <c r="D523" s="18" t="s">
        <v>1344</v>
      </c>
      <c r="E523" s="18" t="s">
        <v>1299</v>
      </c>
      <c r="F523" s="154">
        <v>2000</v>
      </c>
      <c r="G523" s="10"/>
    </row>
    <row r="524" spans="3:7">
      <c r="C524" s="158" t="s">
        <v>1340</v>
      </c>
      <c r="D524" s="18" t="s">
        <v>1345</v>
      </c>
      <c r="E524" s="18" t="s">
        <v>1299</v>
      </c>
      <c r="F524" s="154">
        <v>2000</v>
      </c>
      <c r="G524" s="10"/>
    </row>
    <row r="525" spans="3:7">
      <c r="C525" s="158" t="s">
        <v>1342</v>
      </c>
      <c r="D525" s="18" t="s">
        <v>1343</v>
      </c>
      <c r="E525" s="18" t="s">
        <v>197</v>
      </c>
      <c r="F525" s="154">
        <v>2000</v>
      </c>
      <c r="G525" s="10"/>
    </row>
    <row r="526" spans="3:7">
      <c r="C526" s="158" t="s">
        <v>1349</v>
      </c>
      <c r="D526" s="18" t="s">
        <v>1348</v>
      </c>
      <c r="E526" s="18" t="s">
        <v>342</v>
      </c>
      <c r="F526" s="154">
        <v>3500</v>
      </c>
      <c r="G526" s="10"/>
    </row>
    <row r="527" spans="3:7">
      <c r="C527" s="158" t="s">
        <v>1350</v>
      </c>
      <c r="D527" s="18" t="s">
        <v>1351</v>
      </c>
      <c r="E527" s="18" t="s">
        <v>1331</v>
      </c>
      <c r="F527" s="154">
        <v>7000</v>
      </c>
      <c r="G527" s="10"/>
    </row>
    <row r="528" spans="3:7">
      <c r="C528" s="158" t="s">
        <v>1352</v>
      </c>
      <c r="D528" s="18" t="s">
        <v>1353</v>
      </c>
      <c r="E528" s="18" t="s">
        <v>342</v>
      </c>
      <c r="F528" s="154">
        <v>3000</v>
      </c>
      <c r="G528" s="10"/>
    </row>
    <row r="529" spans="3:7">
      <c r="C529" s="158" t="s">
        <v>1354</v>
      </c>
      <c r="D529" s="159" t="s">
        <v>1355</v>
      </c>
      <c r="E529" s="18" t="s">
        <v>342</v>
      </c>
      <c r="F529" s="154">
        <v>250000</v>
      </c>
      <c r="G529" s="10"/>
    </row>
    <row r="530" spans="3:7">
      <c r="C530" s="158" t="s">
        <v>1356</v>
      </c>
      <c r="D530" s="18" t="s">
        <v>1357</v>
      </c>
      <c r="E530" s="18" t="s">
        <v>342</v>
      </c>
      <c r="F530" s="154">
        <v>350</v>
      </c>
      <c r="G530" s="10"/>
    </row>
    <row r="531" spans="3:7" ht="22.8">
      <c r="C531" s="158" t="s">
        <v>1360</v>
      </c>
      <c r="D531" s="160" t="s">
        <v>1359</v>
      </c>
      <c r="E531" s="18" t="s">
        <v>342</v>
      </c>
      <c r="F531" s="154">
        <v>1300000</v>
      </c>
      <c r="G531" s="10"/>
    </row>
    <row r="532" spans="3:7">
      <c r="C532" s="158" t="s">
        <v>1361</v>
      </c>
      <c r="D532" s="18" t="s">
        <v>1362</v>
      </c>
      <c r="E532" s="18" t="s">
        <v>342</v>
      </c>
      <c r="F532" s="154">
        <v>75119</v>
      </c>
      <c r="G532" s="10"/>
    </row>
    <row r="533" spans="3:7">
      <c r="C533" s="158" t="s">
        <v>1363</v>
      </c>
      <c r="D533" s="18" t="s">
        <v>1364</v>
      </c>
      <c r="E533" s="18" t="s">
        <v>1331</v>
      </c>
      <c r="F533" s="154">
        <v>17583.330000000002</v>
      </c>
      <c r="G533" s="10"/>
    </row>
    <row r="534" spans="3:7">
      <c r="C534" s="158" t="s">
        <v>1365</v>
      </c>
      <c r="D534" s="18" t="s">
        <v>1366</v>
      </c>
      <c r="E534" s="18" t="s">
        <v>342</v>
      </c>
      <c r="F534" s="154">
        <v>7000</v>
      </c>
      <c r="G534" s="10"/>
    </row>
    <row r="535" spans="3:7">
      <c r="C535" s="158" t="s">
        <v>1367</v>
      </c>
      <c r="D535" s="18" t="s">
        <v>1368</v>
      </c>
      <c r="E535" s="18" t="s">
        <v>342</v>
      </c>
      <c r="F535" s="154">
        <v>2500</v>
      </c>
      <c r="G535" s="10"/>
    </row>
    <row r="536" spans="3:7">
      <c r="C536" s="158" t="s">
        <v>1369</v>
      </c>
      <c r="D536" s="160" t="s">
        <v>1370</v>
      </c>
      <c r="E536" s="18" t="s">
        <v>342</v>
      </c>
      <c r="F536" s="154">
        <v>12019</v>
      </c>
      <c r="G536" s="10"/>
    </row>
    <row r="537" spans="3:7">
      <c r="C537" s="158" t="s">
        <v>1371</v>
      </c>
      <c r="D537" s="18" t="s">
        <v>1372</v>
      </c>
      <c r="E537" s="18" t="s">
        <v>1373</v>
      </c>
      <c r="F537" s="154">
        <v>26000</v>
      </c>
      <c r="G537" s="10"/>
    </row>
    <row r="538" spans="3:7">
      <c r="C538" s="158" t="s">
        <v>1374</v>
      </c>
      <c r="D538" s="160" t="s">
        <v>1375</v>
      </c>
      <c r="E538" s="18" t="s">
        <v>342</v>
      </c>
      <c r="F538" s="154">
        <v>1000</v>
      </c>
      <c r="G538" s="10"/>
    </row>
    <row r="539" spans="3:7">
      <c r="C539" s="158" t="s">
        <v>1377</v>
      </c>
      <c r="D539" s="18" t="s">
        <v>1376</v>
      </c>
      <c r="E539" s="18" t="s">
        <v>137</v>
      </c>
      <c r="F539" s="154">
        <v>12000</v>
      </c>
      <c r="G539" s="10"/>
    </row>
    <row r="540" spans="3:7">
      <c r="C540" s="158" t="s">
        <v>1378</v>
      </c>
      <c r="D540" s="160" t="s">
        <v>1379</v>
      </c>
      <c r="E540" s="18" t="s">
        <v>342</v>
      </c>
      <c r="F540" s="154">
        <v>2000</v>
      </c>
      <c r="G540" s="10"/>
    </row>
    <row r="541" spans="3:7">
      <c r="C541" s="158" t="s">
        <v>1380</v>
      </c>
      <c r="D541" s="160" t="s">
        <v>1381</v>
      </c>
      <c r="E541" s="18" t="s">
        <v>137</v>
      </c>
      <c r="F541" s="154">
        <v>23000</v>
      </c>
      <c r="G541" s="10"/>
    </row>
    <row r="542" spans="3:7">
      <c r="C542" s="158" t="s">
        <v>1382</v>
      </c>
      <c r="D542" s="160" t="s">
        <v>1383</v>
      </c>
      <c r="E542" s="18" t="s">
        <v>342</v>
      </c>
      <c r="F542" s="154">
        <v>500</v>
      </c>
      <c r="G542" s="10"/>
    </row>
    <row r="543" spans="3:7">
      <c r="C543" s="158" t="s">
        <v>1384</v>
      </c>
      <c r="D543" s="160" t="s">
        <v>1385</v>
      </c>
      <c r="E543" s="18" t="s">
        <v>342</v>
      </c>
      <c r="F543" s="154">
        <v>600</v>
      </c>
      <c r="G543" s="10"/>
    </row>
    <row r="544" spans="3:7">
      <c r="C544" s="158" t="s">
        <v>1386</v>
      </c>
      <c r="D544" s="18" t="s">
        <v>1387</v>
      </c>
      <c r="E544" s="18" t="s">
        <v>342</v>
      </c>
      <c r="F544" s="154">
        <v>41820000</v>
      </c>
      <c r="G544" s="10"/>
    </row>
    <row r="545" spans="3:7">
      <c r="C545" s="158" t="s">
        <v>1388</v>
      </c>
      <c r="D545" s="18" t="s">
        <v>1389</v>
      </c>
      <c r="E545" s="18" t="s">
        <v>1299</v>
      </c>
      <c r="F545" s="154">
        <v>1400000</v>
      </c>
      <c r="G545" s="10"/>
    </row>
    <row r="546" spans="3:7">
      <c r="C546" s="158" t="s">
        <v>1390</v>
      </c>
      <c r="D546" s="18" t="s">
        <v>1391</v>
      </c>
      <c r="E546" s="18" t="s">
        <v>342</v>
      </c>
      <c r="F546" s="154">
        <v>270130</v>
      </c>
      <c r="G546" s="10"/>
    </row>
    <row r="547" spans="3:7">
      <c r="C547" s="158" t="s">
        <v>1392</v>
      </c>
      <c r="D547" s="18" t="s">
        <v>1393</v>
      </c>
      <c r="E547" s="18" t="s">
        <v>342</v>
      </c>
      <c r="F547" s="154">
        <v>1500000</v>
      </c>
      <c r="G547" s="10"/>
    </row>
    <row r="548" spans="3:7">
      <c r="C548" s="158" t="s">
        <v>1394</v>
      </c>
      <c r="D548" s="18" t="s">
        <v>1395</v>
      </c>
      <c r="E548" s="18" t="s">
        <v>342</v>
      </c>
      <c r="F548" s="154">
        <v>349990</v>
      </c>
      <c r="G548" s="10"/>
    </row>
    <row r="549" spans="3:7">
      <c r="C549" s="158" t="s">
        <v>1396</v>
      </c>
      <c r="D549" s="18" t="s">
        <v>1397</v>
      </c>
      <c r="E549" s="18" t="s">
        <v>342</v>
      </c>
      <c r="F549" s="154">
        <v>380000</v>
      </c>
      <c r="G549" s="10"/>
    </row>
    <row r="550" spans="3:7">
      <c r="C550" s="158" t="s">
        <v>1398</v>
      </c>
      <c r="D550" s="18" t="s">
        <v>1399</v>
      </c>
      <c r="E550" s="18" t="s">
        <v>342</v>
      </c>
      <c r="F550" s="154">
        <v>2749000</v>
      </c>
      <c r="G550" s="10"/>
    </row>
    <row r="551" spans="3:7">
      <c r="C551" s="158" t="s">
        <v>1402</v>
      </c>
      <c r="D551" s="18" t="s">
        <v>1403</v>
      </c>
      <c r="E551" s="18" t="s">
        <v>342</v>
      </c>
      <c r="F551" s="154">
        <v>80000</v>
      </c>
      <c r="G551" s="10"/>
    </row>
    <row r="552" spans="3:7">
      <c r="C552" s="158" t="s">
        <v>1404</v>
      </c>
      <c r="D552" s="18" t="s">
        <v>1405</v>
      </c>
      <c r="E552" s="18" t="s">
        <v>1299</v>
      </c>
      <c r="F552" s="154">
        <v>13900</v>
      </c>
      <c r="G552" s="10"/>
    </row>
    <row r="553" spans="3:7">
      <c r="C553" s="158" t="s">
        <v>1406</v>
      </c>
      <c r="D553" s="18" t="s">
        <v>1407</v>
      </c>
      <c r="E553" s="18" t="s">
        <v>1299</v>
      </c>
      <c r="F553" s="154">
        <v>28000</v>
      </c>
      <c r="G553" s="10"/>
    </row>
    <row r="554" spans="3:7">
      <c r="C554" s="158" t="s">
        <v>1527</v>
      </c>
      <c r="D554" s="161" t="s">
        <v>1525</v>
      </c>
      <c r="E554" s="18" t="s">
        <v>342</v>
      </c>
      <c r="F554" s="154">
        <v>129900</v>
      </c>
      <c r="G554" s="10"/>
    </row>
    <row r="555" spans="3:7">
      <c r="C555" s="158" t="s">
        <v>1528</v>
      </c>
      <c r="D555" s="18" t="s">
        <v>1529</v>
      </c>
      <c r="E555" s="18" t="s">
        <v>27</v>
      </c>
      <c r="F555" s="154">
        <v>25000</v>
      </c>
      <c r="G555" s="10"/>
    </row>
    <row r="556" spans="3:7">
      <c r="C556" s="158" t="s">
        <v>1531</v>
      </c>
      <c r="D556" s="162" t="s">
        <v>1532</v>
      </c>
      <c r="E556" s="18" t="s">
        <v>1530</v>
      </c>
      <c r="F556" s="154">
        <v>38000</v>
      </c>
      <c r="G556" s="10"/>
    </row>
    <row r="557" spans="3:7">
      <c r="C557" s="158" t="s">
        <v>1533</v>
      </c>
      <c r="D557" s="18" t="s">
        <v>1534</v>
      </c>
      <c r="E557" s="18" t="s">
        <v>1299</v>
      </c>
      <c r="F557" s="154">
        <v>6000</v>
      </c>
      <c r="G557" s="10"/>
    </row>
    <row r="558" spans="3:7">
      <c r="C558" s="158" t="s">
        <v>1535</v>
      </c>
      <c r="D558" s="18" t="s">
        <v>1526</v>
      </c>
      <c r="E558" s="18" t="s">
        <v>342</v>
      </c>
      <c r="F558" s="154">
        <v>11000</v>
      </c>
      <c r="G558" s="10"/>
    </row>
    <row r="559" spans="3:7">
      <c r="C559" s="158" t="s">
        <v>1536</v>
      </c>
      <c r="D559" s="18" t="s">
        <v>1537</v>
      </c>
      <c r="E559" s="18" t="s">
        <v>1313</v>
      </c>
      <c r="F559" s="154">
        <v>44074</v>
      </c>
      <c r="G559" s="10"/>
    </row>
    <row r="560" spans="3:7">
      <c r="C560" s="158" t="s">
        <v>1538</v>
      </c>
      <c r="D560" s="18" t="s">
        <v>1539</v>
      </c>
      <c r="E560" s="18" t="s">
        <v>1542</v>
      </c>
      <c r="F560" s="154">
        <v>50000</v>
      </c>
      <c r="G560" s="10"/>
    </row>
    <row r="561" spans="3:7">
      <c r="C561" s="158" t="s">
        <v>1540</v>
      </c>
      <c r="D561" s="18" t="s">
        <v>1541</v>
      </c>
      <c r="E561" s="18" t="s">
        <v>1543</v>
      </c>
      <c r="F561" s="154">
        <v>40000</v>
      </c>
      <c r="G561" s="10"/>
    </row>
    <row r="562" spans="3:7">
      <c r="C562" s="158" t="s">
        <v>1577</v>
      </c>
      <c r="D562" s="19" t="s">
        <v>1578</v>
      </c>
      <c r="E562" s="19" t="s">
        <v>1579</v>
      </c>
      <c r="F562" s="163">
        <v>50000</v>
      </c>
      <c r="G562" s="19"/>
    </row>
    <row r="563" spans="3:7">
      <c r="C563" s="158" t="s">
        <v>1580</v>
      </c>
      <c r="D563" s="18" t="s">
        <v>1581</v>
      </c>
      <c r="E563" s="18" t="s">
        <v>2</v>
      </c>
      <c r="F563" s="154">
        <v>2500</v>
      </c>
      <c r="G563" s="10"/>
    </row>
    <row r="564" spans="3:7">
      <c r="C564" s="158" t="s">
        <v>1583</v>
      </c>
      <c r="D564" s="10" t="s">
        <v>1582</v>
      </c>
      <c r="E564" s="18" t="s">
        <v>2</v>
      </c>
      <c r="F564" s="154">
        <v>6000</v>
      </c>
      <c r="G564" s="10"/>
    </row>
    <row r="565" spans="3:7">
      <c r="C565" s="158" t="s">
        <v>1584</v>
      </c>
      <c r="D565" s="10" t="s">
        <v>1585</v>
      </c>
      <c r="E565" s="18" t="s">
        <v>1000</v>
      </c>
      <c r="F565" s="154">
        <v>500</v>
      </c>
      <c r="G565" s="10"/>
    </row>
    <row r="566" spans="3:7">
      <c r="C566" s="158" t="s">
        <v>1586</v>
      </c>
      <c r="D566" s="18" t="s">
        <v>1587</v>
      </c>
      <c r="E566" s="18" t="s">
        <v>1299</v>
      </c>
      <c r="F566" s="154">
        <v>4500</v>
      </c>
      <c r="G566" s="10"/>
    </row>
    <row r="567" spans="3:7">
      <c r="C567" s="158" t="s">
        <v>1588</v>
      </c>
      <c r="D567" s="18" t="s">
        <v>1772</v>
      </c>
      <c r="E567" s="18" t="s">
        <v>1291</v>
      </c>
      <c r="F567" s="154">
        <v>6700</v>
      </c>
      <c r="G567" s="10"/>
    </row>
    <row r="568" spans="3:7">
      <c r="C568" s="158" t="s">
        <v>1589</v>
      </c>
      <c r="D568" s="10" t="s">
        <v>1590</v>
      </c>
      <c r="E568" s="18" t="s">
        <v>1313</v>
      </c>
      <c r="F568" s="154">
        <v>61000</v>
      </c>
      <c r="G568" s="10"/>
    </row>
    <row r="569" spans="3:7">
      <c r="C569" s="158" t="s">
        <v>1591</v>
      </c>
      <c r="D569" s="10" t="s">
        <v>1592</v>
      </c>
      <c r="E569" s="18" t="s">
        <v>342</v>
      </c>
      <c r="F569" s="154">
        <v>58900</v>
      </c>
      <c r="G569" s="10"/>
    </row>
    <row r="570" spans="3:7">
      <c r="C570" s="158" t="s">
        <v>1593</v>
      </c>
      <c r="D570" s="10" t="s">
        <v>1594</v>
      </c>
      <c r="E570" s="18" t="s">
        <v>1299</v>
      </c>
      <c r="F570" s="154">
        <v>15000</v>
      </c>
      <c r="G570" s="10"/>
    </row>
    <row r="571" spans="3:7">
      <c r="C571" s="158" t="s">
        <v>1595</v>
      </c>
      <c r="D571" s="18" t="s">
        <v>1596</v>
      </c>
      <c r="E571" s="18" t="s">
        <v>1299</v>
      </c>
      <c r="F571" s="154">
        <v>1500</v>
      </c>
      <c r="G571" s="10"/>
    </row>
    <row r="572" spans="3:7">
      <c r="C572" s="158" t="s">
        <v>1599</v>
      </c>
      <c r="D572" s="10" t="s">
        <v>1600</v>
      </c>
      <c r="E572" s="18" t="s">
        <v>136</v>
      </c>
      <c r="F572" s="154">
        <v>190000</v>
      </c>
      <c r="G572" s="10"/>
    </row>
    <row r="573" spans="3:7">
      <c r="C573" s="158" t="s">
        <v>1601</v>
      </c>
      <c r="D573" s="10" t="s">
        <v>1602</v>
      </c>
      <c r="E573" s="18" t="s">
        <v>342</v>
      </c>
      <c r="F573" s="154">
        <v>37000</v>
      </c>
      <c r="G573" s="10"/>
    </row>
    <row r="574" spans="3:7">
      <c r="C574" s="158" t="s">
        <v>1603</v>
      </c>
      <c r="D574" s="10" t="s">
        <v>1604</v>
      </c>
      <c r="E574" s="18" t="s">
        <v>342</v>
      </c>
      <c r="F574" s="154">
        <v>450</v>
      </c>
      <c r="G574" s="10"/>
    </row>
    <row r="575" spans="3:7">
      <c r="C575" s="158" t="s">
        <v>1605</v>
      </c>
      <c r="D575" s="18" t="s">
        <v>1606</v>
      </c>
      <c r="E575" s="18" t="s">
        <v>1299</v>
      </c>
      <c r="F575" s="154">
        <v>3000000</v>
      </c>
      <c r="G575" s="10"/>
    </row>
    <row r="576" spans="3:7">
      <c r="C576" s="158" t="s">
        <v>1607</v>
      </c>
      <c r="D576" s="10" t="s">
        <v>1608</v>
      </c>
      <c r="E576" s="18" t="s">
        <v>342</v>
      </c>
      <c r="F576" s="154">
        <v>3692900</v>
      </c>
      <c r="G576" s="10"/>
    </row>
    <row r="577" spans="3:7">
      <c r="C577" s="158" t="s">
        <v>1609</v>
      </c>
      <c r="D577" s="10" t="s">
        <v>1610</v>
      </c>
      <c r="E577" s="18" t="s">
        <v>342</v>
      </c>
      <c r="F577" s="154">
        <v>50000</v>
      </c>
      <c r="G577" s="10"/>
    </row>
    <row r="578" spans="3:7">
      <c r="C578" s="158" t="s">
        <v>1611</v>
      </c>
      <c r="D578" s="10" t="s">
        <v>1612</v>
      </c>
      <c r="E578" s="18" t="s">
        <v>1613</v>
      </c>
      <c r="F578" s="154">
        <v>40000</v>
      </c>
      <c r="G578" s="10"/>
    </row>
    <row r="579" spans="3:7">
      <c r="C579" s="158" t="s">
        <v>1614</v>
      </c>
      <c r="D579" s="10" t="s">
        <v>1657</v>
      </c>
      <c r="E579" s="18" t="s">
        <v>342</v>
      </c>
      <c r="F579" s="154">
        <v>30000</v>
      </c>
      <c r="G579" s="10"/>
    </row>
    <row r="580" spans="3:7">
      <c r="C580" s="158" t="s">
        <v>1615</v>
      </c>
      <c r="D580" s="10" t="s">
        <v>1616</v>
      </c>
      <c r="E580" s="18" t="s">
        <v>342</v>
      </c>
      <c r="F580" s="154">
        <v>982900</v>
      </c>
      <c r="G580" s="10"/>
    </row>
    <row r="581" spans="3:7">
      <c r="C581" s="158" t="s">
        <v>1617</v>
      </c>
      <c r="D581" s="10" t="s">
        <v>1618</v>
      </c>
      <c r="E581" s="18" t="s">
        <v>342</v>
      </c>
      <c r="F581" s="154">
        <v>511900</v>
      </c>
      <c r="G581" s="10"/>
    </row>
    <row r="582" spans="3:7">
      <c r="C582" s="158" t="s">
        <v>1619</v>
      </c>
      <c r="D582" s="10" t="s">
        <v>1620</v>
      </c>
      <c r="E582" s="18" t="s">
        <v>342</v>
      </c>
      <c r="F582" s="154">
        <v>400000</v>
      </c>
      <c r="G582" s="10"/>
    </row>
    <row r="583" spans="3:7">
      <c r="C583" s="158" t="s">
        <v>1621</v>
      </c>
      <c r="D583" s="18" t="s">
        <v>1622</v>
      </c>
      <c r="E583" s="18" t="s">
        <v>342</v>
      </c>
      <c r="F583" s="154">
        <v>94000</v>
      </c>
      <c r="G583" s="10"/>
    </row>
    <row r="584" spans="3:7">
      <c r="C584" s="158" t="s">
        <v>1623</v>
      </c>
      <c r="D584" s="18" t="s">
        <v>1624</v>
      </c>
      <c r="E584" s="18" t="s">
        <v>342</v>
      </c>
      <c r="F584" s="154">
        <v>20000</v>
      </c>
      <c r="G584" s="10"/>
    </row>
    <row r="585" spans="3:7">
      <c r="C585" s="158" t="s">
        <v>1625</v>
      </c>
      <c r="D585" s="10" t="s">
        <v>1626</v>
      </c>
      <c r="E585" s="18" t="s">
        <v>197</v>
      </c>
      <c r="F585" s="154">
        <v>5000</v>
      </c>
      <c r="G585" s="10"/>
    </row>
    <row r="586" spans="3:7">
      <c r="C586" s="158" t="s">
        <v>1627</v>
      </c>
      <c r="D586" s="10" t="s">
        <v>1628</v>
      </c>
      <c r="E586" s="18" t="s">
        <v>342</v>
      </c>
      <c r="F586" s="154">
        <v>968660</v>
      </c>
      <c r="G586" s="10"/>
    </row>
    <row r="587" spans="3:7">
      <c r="C587" s="158" t="s">
        <v>1629</v>
      </c>
      <c r="D587" s="10" t="s">
        <v>1665</v>
      </c>
      <c r="E587" s="18" t="s">
        <v>342</v>
      </c>
      <c r="F587" s="154">
        <v>421260</v>
      </c>
      <c r="G587" s="10"/>
    </row>
    <row r="588" spans="3:7" ht="34.200000000000003">
      <c r="C588" s="158" t="s">
        <v>1630</v>
      </c>
      <c r="D588" s="10" t="s">
        <v>1664</v>
      </c>
      <c r="E588" s="18" t="s">
        <v>342</v>
      </c>
      <c r="F588" s="154">
        <v>4226880</v>
      </c>
      <c r="G588" s="10"/>
    </row>
    <row r="589" spans="3:7">
      <c r="C589" s="158" t="s">
        <v>1631</v>
      </c>
      <c r="D589" s="10" t="s">
        <v>1632</v>
      </c>
      <c r="E589" s="18" t="s">
        <v>197</v>
      </c>
      <c r="F589" s="154">
        <v>8000</v>
      </c>
      <c r="G589" s="10"/>
    </row>
    <row r="590" spans="3:7">
      <c r="C590" s="158" t="s">
        <v>1633</v>
      </c>
      <c r="D590" s="10" t="s">
        <v>2003</v>
      </c>
      <c r="E590" s="18" t="s">
        <v>342</v>
      </c>
      <c r="F590" s="154">
        <v>195000</v>
      </c>
      <c r="G590" s="10"/>
    </row>
    <row r="591" spans="3:7">
      <c r="C591" s="158" t="s">
        <v>1634</v>
      </c>
      <c r="D591" s="10" t="s">
        <v>1635</v>
      </c>
      <c r="E591" s="18" t="s">
        <v>342</v>
      </c>
      <c r="F591" s="154">
        <v>89250</v>
      </c>
      <c r="G591" s="10"/>
    </row>
    <row r="592" spans="3:7">
      <c r="C592" s="158" t="s">
        <v>1636</v>
      </c>
      <c r="D592" s="10" t="s">
        <v>1637</v>
      </c>
      <c r="E592" s="18" t="s">
        <v>196</v>
      </c>
      <c r="F592" s="154">
        <v>80000</v>
      </c>
      <c r="G592" s="10"/>
    </row>
    <row r="593" spans="3:7">
      <c r="C593" s="158" t="s">
        <v>1638</v>
      </c>
      <c r="D593" s="10" t="s">
        <v>1639</v>
      </c>
      <c r="E593" s="18" t="s">
        <v>159</v>
      </c>
      <c r="F593" s="154">
        <v>15000</v>
      </c>
      <c r="G593" s="10"/>
    </row>
    <row r="594" spans="3:7">
      <c r="C594" s="158" t="s">
        <v>1640</v>
      </c>
      <c r="D594" s="10" t="s">
        <v>1641</v>
      </c>
      <c r="E594" s="18" t="s">
        <v>1299</v>
      </c>
      <c r="F594" s="154">
        <v>25000</v>
      </c>
      <c r="G594" s="10"/>
    </row>
    <row r="595" spans="3:7">
      <c r="C595" s="158" t="s">
        <v>1642</v>
      </c>
      <c r="D595" s="10" t="s">
        <v>1643</v>
      </c>
      <c r="E595" s="18" t="s">
        <v>342</v>
      </c>
      <c r="F595" s="154">
        <v>34900</v>
      </c>
      <c r="G595" s="10"/>
    </row>
    <row r="596" spans="3:7">
      <c r="C596" s="158" t="s">
        <v>1644</v>
      </c>
      <c r="D596" s="18" t="s">
        <v>1645</v>
      </c>
      <c r="E596" s="18" t="s">
        <v>136</v>
      </c>
      <c r="F596" s="154">
        <v>240000</v>
      </c>
      <c r="G596" s="10"/>
    </row>
    <row r="597" spans="3:7">
      <c r="C597" s="158" t="s">
        <v>1646</v>
      </c>
      <c r="D597" s="10" t="s">
        <v>1647</v>
      </c>
      <c r="E597" s="18" t="s">
        <v>2</v>
      </c>
      <c r="F597" s="154">
        <v>42000</v>
      </c>
      <c r="G597" s="10"/>
    </row>
    <row r="598" spans="3:7">
      <c r="C598" s="158" t="s">
        <v>1648</v>
      </c>
      <c r="D598" s="10" t="s">
        <v>1649</v>
      </c>
      <c r="E598" s="18" t="s">
        <v>1650</v>
      </c>
      <c r="F598" s="154">
        <v>50000</v>
      </c>
      <c r="G598" s="10"/>
    </row>
    <row r="599" spans="3:7">
      <c r="C599" s="158" t="s">
        <v>1651</v>
      </c>
      <c r="D599" s="18" t="s">
        <v>1652</v>
      </c>
      <c r="E599" s="18" t="s">
        <v>1299</v>
      </c>
      <c r="F599" s="154">
        <v>700000</v>
      </c>
      <c r="G599" s="10"/>
    </row>
    <row r="600" spans="3:7">
      <c r="C600" s="158" t="s">
        <v>1653</v>
      </c>
      <c r="D600" s="18" t="s">
        <v>1654</v>
      </c>
      <c r="E600" s="18" t="s">
        <v>1299</v>
      </c>
      <c r="F600" s="154">
        <v>800000</v>
      </c>
      <c r="G600" s="10"/>
    </row>
    <row r="601" spans="3:7">
      <c r="C601" s="158" t="s">
        <v>1655</v>
      </c>
      <c r="D601" s="164" t="s">
        <v>1656</v>
      </c>
      <c r="E601" s="18" t="s">
        <v>1299</v>
      </c>
      <c r="F601" s="154">
        <v>580000</v>
      </c>
      <c r="G601" s="10"/>
    </row>
    <row r="602" spans="3:7">
      <c r="C602" s="158" t="s">
        <v>1658</v>
      </c>
      <c r="D602" s="10" t="s">
        <v>1659</v>
      </c>
      <c r="E602" s="18" t="s">
        <v>342</v>
      </c>
      <c r="F602" s="154">
        <v>60000</v>
      </c>
      <c r="G602" s="10"/>
    </row>
    <row r="603" spans="3:7">
      <c r="C603" s="158" t="s">
        <v>1660</v>
      </c>
      <c r="D603" s="18" t="s">
        <v>1661</v>
      </c>
      <c r="E603" s="18" t="s">
        <v>342</v>
      </c>
      <c r="F603" s="154">
        <v>58000</v>
      </c>
      <c r="G603" s="10"/>
    </row>
    <row r="604" spans="3:7">
      <c r="C604" s="158" t="s">
        <v>1662</v>
      </c>
      <c r="D604" s="10" t="s">
        <v>1663</v>
      </c>
      <c r="E604" s="18" t="s">
        <v>342</v>
      </c>
      <c r="F604" s="154">
        <v>25000</v>
      </c>
      <c r="G604" s="10"/>
    </row>
    <row r="605" spans="3:7">
      <c r="C605" s="158" t="s">
        <v>1666</v>
      </c>
      <c r="D605" s="10" t="s">
        <v>1667</v>
      </c>
      <c r="E605" s="18" t="s">
        <v>1668</v>
      </c>
      <c r="F605" s="154">
        <v>50000</v>
      </c>
      <c r="G605" s="10"/>
    </row>
    <row r="606" spans="3:7">
      <c r="C606" s="158" t="s">
        <v>1669</v>
      </c>
      <c r="D606" s="18" t="s">
        <v>1670</v>
      </c>
      <c r="E606" s="18" t="s">
        <v>1331</v>
      </c>
      <c r="F606" s="154">
        <v>70800</v>
      </c>
      <c r="G606" s="10"/>
    </row>
    <row r="607" spans="3:7">
      <c r="C607" s="158" t="s">
        <v>1671</v>
      </c>
      <c r="D607" s="165" t="s">
        <v>1672</v>
      </c>
      <c r="E607" s="18" t="s">
        <v>342</v>
      </c>
      <c r="F607" s="154">
        <v>190000</v>
      </c>
      <c r="G607" s="10"/>
    </row>
    <row r="608" spans="3:7">
      <c r="C608" s="158" t="s">
        <v>1673</v>
      </c>
      <c r="D608" s="165" t="s">
        <v>1674</v>
      </c>
      <c r="E608" s="18" t="s">
        <v>342</v>
      </c>
      <c r="F608" s="154">
        <v>280000</v>
      </c>
      <c r="G608" s="10"/>
    </row>
    <row r="609" spans="3:7">
      <c r="C609" s="158" t="s">
        <v>1676</v>
      </c>
      <c r="D609" s="165" t="s">
        <v>1677</v>
      </c>
      <c r="E609" s="18" t="s">
        <v>342</v>
      </c>
      <c r="F609" s="154">
        <v>500000</v>
      </c>
      <c r="G609" s="10"/>
    </row>
    <row r="610" spans="3:7">
      <c r="C610" s="158" t="s">
        <v>1678</v>
      </c>
      <c r="D610" s="18" t="s">
        <v>1679</v>
      </c>
      <c r="E610" s="18" t="s">
        <v>342</v>
      </c>
      <c r="F610" s="154">
        <v>100000</v>
      </c>
      <c r="G610" s="10"/>
    </row>
    <row r="611" spans="3:7">
      <c r="C611" s="158" t="s">
        <v>1680</v>
      </c>
      <c r="D611" s="10" t="s">
        <v>1681</v>
      </c>
      <c r="E611" s="18" t="s">
        <v>461</v>
      </c>
      <c r="F611" s="154">
        <v>12000</v>
      </c>
      <c r="G611" s="10"/>
    </row>
    <row r="612" spans="3:7">
      <c r="C612" s="158" t="s">
        <v>1682</v>
      </c>
      <c r="D612" s="10" t="s">
        <v>1683</v>
      </c>
      <c r="E612" s="18" t="s">
        <v>342</v>
      </c>
      <c r="F612" s="154">
        <v>1500</v>
      </c>
      <c r="G612" s="10"/>
    </row>
    <row r="613" spans="3:7">
      <c r="C613" s="158" t="s">
        <v>1775</v>
      </c>
      <c r="D613" s="10" t="s">
        <v>1776</v>
      </c>
      <c r="E613" s="18" t="s">
        <v>342</v>
      </c>
      <c r="F613" s="154">
        <v>90000</v>
      </c>
      <c r="G613" s="10"/>
    </row>
    <row r="614" spans="3:7">
      <c r="C614" s="158" t="s">
        <v>1777</v>
      </c>
      <c r="D614" s="18" t="s">
        <v>1778</v>
      </c>
      <c r="E614" s="18" t="s">
        <v>1299</v>
      </c>
      <c r="F614" s="154">
        <v>34900</v>
      </c>
      <c r="G614" s="10"/>
    </row>
    <row r="615" spans="3:7">
      <c r="C615" s="158" t="s">
        <v>1878</v>
      </c>
      <c r="D615" s="10" t="s">
        <v>1879</v>
      </c>
      <c r="E615" s="18" t="s">
        <v>196</v>
      </c>
      <c r="F615" s="154">
        <v>115900</v>
      </c>
      <c r="G615" s="10"/>
    </row>
    <row r="616" spans="3:7">
      <c r="C616" s="158" t="s">
        <v>1880</v>
      </c>
      <c r="D616" s="10" t="s">
        <v>1884</v>
      </c>
      <c r="E616" s="18" t="s">
        <v>1331</v>
      </c>
      <c r="F616" s="154"/>
      <c r="G616" s="10"/>
    </row>
  </sheetData>
  <mergeCells count="1">
    <mergeCell ref="C4:G4"/>
  </mergeCells>
  <conditionalFormatting sqref="C488:C498">
    <cfRule type="duplicateValues" dxfId="9" priority="1"/>
  </conditionalFormatting>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84C1-B105-4B11-809C-D100E268FB22}">
  <sheetPr codeName="Hoja27"/>
  <dimension ref="B3:I40"/>
  <sheetViews>
    <sheetView topLeftCell="A25" zoomScale="91" zoomScaleNormal="91" workbookViewId="0">
      <selection activeCell="I44" sqref="I44"/>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5</v>
      </c>
      <c r="E9" s="276" t="s">
        <v>12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5.25" customHeight="1">
      <c r="B13" s="17">
        <v>5.2</v>
      </c>
      <c r="C13" s="283" t="s">
        <v>1911</v>
      </c>
      <c r="D13" s="284"/>
      <c r="E13" s="284"/>
      <c r="F13" s="285"/>
      <c r="G13" s="286" t="s">
        <v>1530</v>
      </c>
      <c r="H13" s="286"/>
      <c r="I13" s="17">
        <v>46.129999999999995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0.08</v>
      </c>
      <c r="H19" s="85">
        <f>F19*G19</f>
        <v>840</v>
      </c>
      <c r="I19" s="287"/>
    </row>
    <row r="20" spans="2:9">
      <c r="B20" s="71"/>
      <c r="C20" s="288"/>
      <c r="D20" s="265"/>
      <c r="E20" s="71"/>
      <c r="F20" s="83"/>
      <c r="G20" s="126"/>
      <c r="H20" s="85"/>
      <c r="I20" s="287"/>
    </row>
    <row r="21" spans="2:9" ht="12">
      <c r="B21" s="89"/>
      <c r="C21" s="89"/>
      <c r="D21" s="89"/>
      <c r="E21" s="89"/>
      <c r="F21" s="89"/>
      <c r="G21" s="89"/>
      <c r="H21" s="89" t="s">
        <v>64</v>
      </c>
      <c r="I21" s="90">
        <f>SUM(H18:H20)</f>
        <v>1911.4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846</v>
      </c>
      <c r="C24" s="290" t="str">
        <f>VLOOKUP(B24,'INSUMOS '!C8:F503,2,FALSE)</f>
        <v>PEGACOR BLANCO</v>
      </c>
      <c r="D24" s="293"/>
      <c r="E24" s="97" t="str">
        <f>VLOOKUP(B24,'INSUMOS '!C8:F503,3,FALSE)</f>
        <v>kg</v>
      </c>
      <c r="F24" s="117">
        <f>VLOOKUP(B24,'INSUMOS '!C8:F503,4,FALSE)</f>
        <v>4000</v>
      </c>
      <c r="G24" s="71">
        <v>0.6</v>
      </c>
      <c r="H24" s="83">
        <f>+G24*F24</f>
        <v>2400</v>
      </c>
      <c r="I24" s="287"/>
    </row>
    <row r="25" spans="2:9">
      <c r="B25" s="71" t="s">
        <v>1281</v>
      </c>
      <c r="C25" s="290" t="str">
        <f>VLOOKUP(B25,'INSUMOS '!C9:F504,2,FALSE)</f>
        <v>CERAMICA 60X60</v>
      </c>
      <c r="D25" s="293"/>
      <c r="E25" s="97" t="str">
        <f>VLOOKUP(B25,'INSUMOS '!C9:F504,3,FALSE)</f>
        <v>M2</v>
      </c>
      <c r="F25" s="117">
        <f>VLOOKUP(B25,'INSUMOS '!C9:F504,4,FALSE)</f>
        <v>43900</v>
      </c>
      <c r="G25" s="71">
        <v>0.115</v>
      </c>
      <c r="H25" s="83">
        <f>+G25*F25</f>
        <v>5048.5</v>
      </c>
      <c r="I25" s="287"/>
    </row>
    <row r="26" spans="2:9">
      <c r="B26" s="71" t="s">
        <v>1285</v>
      </c>
      <c r="C26" s="290" t="str">
        <f>VLOOKUP(B26,'INSUMOS '!C10:F505,2,FALSE)</f>
        <v xml:space="preserve">BOQUILLA PARA CERAMICA </v>
      </c>
      <c r="D26" s="291"/>
      <c r="E26" s="97" t="str">
        <f>VLOOKUP(B26,'INSUMOS '!C10:F505,3,FALSE)</f>
        <v xml:space="preserve">KG </v>
      </c>
      <c r="F26" s="117">
        <f>VLOOKUP(B26,'INSUMOS '!C10:F505,4,FALSE)</f>
        <v>6480</v>
      </c>
      <c r="G26" s="71">
        <v>0.1</v>
      </c>
      <c r="H26" s="83">
        <f>+G26*F26</f>
        <v>648</v>
      </c>
      <c r="I26" s="287"/>
    </row>
    <row r="27" spans="2:9" ht="12">
      <c r="B27" s="89"/>
      <c r="C27" s="89"/>
      <c r="D27" s="89"/>
      <c r="E27" s="89"/>
      <c r="F27" s="89"/>
      <c r="G27" s="258" t="s">
        <v>64</v>
      </c>
      <c r="H27" s="258"/>
      <c r="I27" s="85">
        <f>SUM(H24:H26)</f>
        <v>8096.5</v>
      </c>
    </row>
    <row r="28" spans="2:9" ht="12">
      <c r="B28" s="89"/>
      <c r="C28" s="89"/>
      <c r="D28" s="89"/>
      <c r="E28" s="89"/>
      <c r="F28" s="89"/>
      <c r="G28" s="99" t="s">
        <v>72</v>
      </c>
      <c r="H28" s="100">
        <v>0.05</v>
      </c>
      <c r="I28" s="120">
        <f>I27*H28</f>
        <v>404.82500000000005</v>
      </c>
    </row>
    <row r="29" spans="2:9" ht="12">
      <c r="B29" s="89"/>
      <c r="C29" s="89"/>
      <c r="D29" s="89"/>
      <c r="E29" s="89"/>
      <c r="F29" s="89"/>
      <c r="G29" s="258" t="s">
        <v>73</v>
      </c>
      <c r="H29" s="258"/>
      <c r="I29" s="90">
        <f>SUM(I27:I28)</f>
        <v>8501.3250000000007</v>
      </c>
    </row>
    <row r="30" spans="2:9" ht="12">
      <c r="B30" s="78"/>
      <c r="C30" s="289" t="s">
        <v>74</v>
      </c>
      <c r="D30" s="289"/>
      <c r="E30" s="78"/>
      <c r="F30" s="78"/>
      <c r="G30" s="78"/>
      <c r="H30" s="78"/>
      <c r="I30" s="79"/>
    </row>
    <row r="31" spans="2:9" ht="12">
      <c r="B31" s="70" t="s">
        <v>42</v>
      </c>
      <c r="C31" s="70" t="s">
        <v>58</v>
      </c>
      <c r="D31" s="70" t="s">
        <v>342</v>
      </c>
      <c r="E31" s="70" t="s">
        <v>343</v>
      </c>
      <c r="F31" s="70" t="s">
        <v>344</v>
      </c>
      <c r="G31" s="70" t="s">
        <v>1278</v>
      </c>
      <c r="H31" s="74" t="s">
        <v>61</v>
      </c>
      <c r="I31" s="300"/>
    </row>
    <row r="32" spans="2:9" ht="12">
      <c r="B32" s="70" t="s">
        <v>1284</v>
      </c>
      <c r="C32" s="70" t="str">
        <f>VLOOKUP(B32,'MAQUINARIA Y EQUIPOS  '!C7:F95,2,FALSE)</f>
        <v xml:space="preserve">TRASNPORTE CERAMICA </v>
      </c>
      <c r="D32" s="75" t="str">
        <f>VLOOKUP(B32,'MAQUINARIA Y EQUIPOS  '!C7:F95,3,FALSE)</f>
        <v>M2</v>
      </c>
      <c r="E32" s="70">
        <v>1</v>
      </c>
      <c r="F32" s="70"/>
      <c r="G32" s="102">
        <f>VLOOKUP(B32,'MAQUINARIA Y EQUIPOS  '!C7:F95,4,FALSE)</f>
        <v>7000</v>
      </c>
      <c r="H32" s="103">
        <f>+G32*E32</f>
        <v>7000</v>
      </c>
      <c r="I32" s="301"/>
    </row>
    <row r="33" spans="2:9">
      <c r="B33" s="71"/>
      <c r="C33" s="71"/>
      <c r="D33" s="82"/>
      <c r="E33" s="71"/>
      <c r="F33" s="71"/>
      <c r="G33" s="86"/>
      <c r="H33" s="86"/>
      <c r="I33" s="301"/>
    </row>
    <row r="34" spans="2:9" ht="12">
      <c r="B34" s="89"/>
      <c r="C34" s="89"/>
      <c r="D34" s="89"/>
      <c r="E34" s="89"/>
      <c r="F34" s="89"/>
      <c r="G34" s="302" t="s">
        <v>64</v>
      </c>
      <c r="H34" s="302"/>
      <c r="I34" s="104">
        <f>+H32</f>
        <v>7000</v>
      </c>
    </row>
    <row r="35" spans="2:9" ht="12">
      <c r="B35" s="78"/>
      <c r="C35" s="289" t="s">
        <v>75</v>
      </c>
      <c r="D35" s="289"/>
      <c r="E35" s="78"/>
      <c r="F35" s="78"/>
      <c r="G35" s="78"/>
      <c r="H35" s="78"/>
      <c r="I35" s="79"/>
    </row>
    <row r="36" spans="2:9" ht="12">
      <c r="B36" s="105" t="s">
        <v>42</v>
      </c>
      <c r="C36" s="105" t="s">
        <v>76</v>
      </c>
      <c r="D36" s="105" t="s">
        <v>1225</v>
      </c>
      <c r="E36" s="105" t="s">
        <v>1</v>
      </c>
      <c r="F36" s="105" t="s">
        <v>77</v>
      </c>
      <c r="G36" s="105" t="s">
        <v>78</v>
      </c>
      <c r="H36" s="105" t="s">
        <v>79</v>
      </c>
      <c r="I36" s="294"/>
    </row>
    <row r="37" spans="2:9" ht="30" customHeight="1">
      <c r="B37" s="106" t="s">
        <v>359</v>
      </c>
      <c r="C37" s="106" t="str">
        <f>+VLOOKUP(B37,'MANO DE OBRA '!B24:G47,2,FALSE)</f>
        <v xml:space="preserve"> Cuadrilla de construccion 2 (1 oficial+ 2 ayudante)</v>
      </c>
      <c r="D37" s="106">
        <v>1</v>
      </c>
      <c r="E37" s="106" t="str">
        <f>+VLOOKUP(B37,'MANO DE OBRA '!B24:G47,4,FALSE)</f>
        <v>Hora</v>
      </c>
      <c r="F37" s="86">
        <f>+VLOOKUP(B37,'MANO DE OBRA '!B24:G47,3,FALSE)</f>
        <v>66187.5</v>
      </c>
      <c r="G37" s="121">
        <v>0.214</v>
      </c>
      <c r="H37" s="94">
        <f>F37*G37*D37</f>
        <v>14164.125</v>
      </c>
      <c r="I37" s="294"/>
    </row>
    <row r="38" spans="2:9">
      <c r="B38" s="106"/>
      <c r="C38" s="106"/>
      <c r="D38" s="106"/>
      <c r="E38" s="106"/>
      <c r="F38" s="86"/>
      <c r="G38" s="121"/>
      <c r="H38" s="94"/>
      <c r="I38" s="294"/>
    </row>
    <row r="39" spans="2:9" ht="12">
      <c r="B39" s="108"/>
      <c r="C39" s="109"/>
      <c r="D39" s="109"/>
      <c r="E39" s="109"/>
      <c r="F39" s="110"/>
      <c r="G39" s="110"/>
      <c r="H39" s="111" t="s">
        <v>64</v>
      </c>
      <c r="I39" s="112">
        <f>SUM(H37:H38)</f>
        <v>14164.125</v>
      </c>
    </row>
    <row r="40" spans="2:9" ht="12">
      <c r="B40" s="295" t="s">
        <v>83</v>
      </c>
      <c r="C40" s="296"/>
      <c r="D40" s="297" t="s">
        <v>77</v>
      </c>
      <c r="E40" s="298"/>
      <c r="F40" s="298"/>
      <c r="G40" s="298"/>
      <c r="H40" s="299"/>
      <c r="I40" s="113">
        <f>SUM(I21+I34+I29+I39)</f>
        <v>31576.85</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17:I20"/>
    <mergeCell ref="C18:D18"/>
    <mergeCell ref="C19:D19"/>
    <mergeCell ref="C20:D20"/>
    <mergeCell ref="C23:D23"/>
    <mergeCell ref="I23:I26"/>
    <mergeCell ref="C24:D24"/>
    <mergeCell ref="C25:D25"/>
    <mergeCell ref="C26:D26"/>
    <mergeCell ref="C22:D22"/>
    <mergeCell ref="C17:D17"/>
    <mergeCell ref="I36:I38"/>
    <mergeCell ref="B40:C40"/>
    <mergeCell ref="D40:H40"/>
    <mergeCell ref="G27:H27"/>
    <mergeCell ref="G29:H29"/>
    <mergeCell ref="C30:D30"/>
    <mergeCell ref="I31:I33"/>
    <mergeCell ref="G34:H34"/>
    <mergeCell ref="C35:D35"/>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198F-24E9-449B-B0F2-FB7CEE69610C}">
  <sheetPr codeName="Hoja28"/>
  <dimension ref="B3:I38"/>
  <sheetViews>
    <sheetView topLeftCell="A14" zoomScale="91" zoomScaleNormal="91" workbookViewId="0">
      <selection activeCell="L18" sqref="L18"/>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5</v>
      </c>
      <c r="E9" s="276" t="s">
        <v>12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9" customHeight="1">
      <c r="B13" s="17">
        <v>5.3</v>
      </c>
      <c r="C13" s="283" t="s">
        <v>1912</v>
      </c>
      <c r="D13" s="284"/>
      <c r="E13" s="284"/>
      <c r="F13" s="285"/>
      <c r="G13" s="286" t="s">
        <v>2</v>
      </c>
      <c r="H13" s="286"/>
      <c r="I13" s="17">
        <v>60.139800000000001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6.6000000000000003E-2</v>
      </c>
      <c r="H19" s="85">
        <f>F19*G19</f>
        <v>693</v>
      </c>
      <c r="I19" s="287"/>
    </row>
    <row r="20" spans="2:9">
      <c r="B20" s="71"/>
      <c r="C20" s="288"/>
      <c r="D20" s="265"/>
      <c r="E20" s="71"/>
      <c r="F20" s="83"/>
      <c r="G20" s="126"/>
      <c r="H20" s="85"/>
      <c r="I20" s="287"/>
    </row>
    <row r="21" spans="2:9" ht="12">
      <c r="B21" s="89"/>
      <c r="C21" s="89"/>
      <c r="D21" s="89"/>
      <c r="E21" s="89"/>
      <c r="F21" s="89"/>
      <c r="G21" s="89"/>
      <c r="H21" s="89" t="s">
        <v>64</v>
      </c>
      <c r="I21" s="90">
        <f>SUM(H18:H20)</f>
        <v>1764.4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1285</v>
      </c>
      <c r="C24" s="290" t="str">
        <f>VLOOKUP(B24,'INSUMOS '!C10:F505,2,FALSE)</f>
        <v xml:space="preserve">BOQUILLA PARA CERAMICA </v>
      </c>
      <c r="D24" s="291"/>
      <c r="E24" s="97" t="str">
        <f>VLOOKUP(B24,'INSUMOS '!C10:F505,3,FALSE)</f>
        <v xml:space="preserve">KG </v>
      </c>
      <c r="F24" s="117">
        <f>VLOOKUP(B24,'INSUMOS '!C10:F505,4,FALSE)</f>
        <v>6480</v>
      </c>
      <c r="G24" s="119">
        <v>0.2</v>
      </c>
      <c r="H24" s="83">
        <f>+G24*F24</f>
        <v>1296</v>
      </c>
      <c r="I24" s="287"/>
    </row>
    <row r="25" spans="2:9" ht="12">
      <c r="B25" s="89"/>
      <c r="C25" s="89"/>
      <c r="D25" s="89"/>
      <c r="E25" s="89"/>
      <c r="F25" s="89"/>
      <c r="G25" s="258" t="s">
        <v>64</v>
      </c>
      <c r="H25" s="258"/>
      <c r="I25" s="85">
        <f>SUM(H24:H24)</f>
        <v>1296</v>
      </c>
    </row>
    <row r="26" spans="2:9" ht="12">
      <c r="B26" s="89"/>
      <c r="C26" s="89"/>
      <c r="D26" s="89"/>
      <c r="E26" s="89"/>
      <c r="F26" s="89"/>
      <c r="G26" s="99" t="s">
        <v>72</v>
      </c>
      <c r="H26" s="100">
        <v>0.05</v>
      </c>
      <c r="I26" s="120">
        <f>I25*H26</f>
        <v>64.8</v>
      </c>
    </row>
    <row r="27" spans="2:9" ht="12">
      <c r="B27" s="89"/>
      <c r="C27" s="89"/>
      <c r="D27" s="89"/>
      <c r="E27" s="89"/>
      <c r="F27" s="89"/>
      <c r="G27" s="258" t="s">
        <v>73</v>
      </c>
      <c r="H27" s="258"/>
      <c r="I27" s="90">
        <f>SUM(I25:I26)</f>
        <v>1360.8</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c r="C30" s="70"/>
      <c r="D30" s="75"/>
      <c r="E30" s="70"/>
      <c r="F30" s="70"/>
      <c r="G30" s="102"/>
      <c r="H30" s="103"/>
      <c r="I30" s="301"/>
    </row>
    <row r="31" spans="2:9">
      <c r="B31" s="71"/>
      <c r="C31" s="71"/>
      <c r="D31" s="82"/>
      <c r="E31" s="71"/>
      <c r="F31" s="71"/>
      <c r="G31" s="86"/>
      <c r="H31" s="86"/>
      <c r="I31" s="301"/>
    </row>
    <row r="32" spans="2:9" ht="12">
      <c r="B32" s="89"/>
      <c r="C32" s="89"/>
      <c r="D32" s="89"/>
      <c r="E32" s="89"/>
      <c r="F32" s="89"/>
      <c r="G32" s="302" t="s">
        <v>64</v>
      </c>
      <c r="H32" s="302"/>
      <c r="I32" s="104">
        <f>+H30</f>
        <v>0</v>
      </c>
    </row>
    <row r="33" spans="2:9" ht="12">
      <c r="B33" s="78"/>
      <c r="C33" s="289" t="s">
        <v>75</v>
      </c>
      <c r="D33" s="289"/>
      <c r="E33" s="78"/>
      <c r="F33" s="78"/>
      <c r="G33" s="78"/>
      <c r="H33" s="78"/>
      <c r="I33" s="79"/>
    </row>
    <row r="34" spans="2:9" ht="12">
      <c r="B34" s="105" t="s">
        <v>42</v>
      </c>
      <c r="C34" s="105" t="s">
        <v>76</v>
      </c>
      <c r="D34" s="105" t="s">
        <v>1225</v>
      </c>
      <c r="E34" s="105" t="s">
        <v>1</v>
      </c>
      <c r="F34" s="105" t="s">
        <v>77</v>
      </c>
      <c r="G34" s="105" t="s">
        <v>78</v>
      </c>
      <c r="H34" s="105" t="s">
        <v>79</v>
      </c>
      <c r="I34" s="294"/>
    </row>
    <row r="35" spans="2:9" ht="30" customHeight="1">
      <c r="B35" s="106" t="s">
        <v>359</v>
      </c>
      <c r="C35" s="106" t="str">
        <f>+VLOOKUP(B35,'MANO DE OBRA '!B24:G47,2,FALSE)</f>
        <v xml:space="preserve"> Cuadrilla de construccion 2 (1 oficial+ 2 ayudante)</v>
      </c>
      <c r="D35" s="106">
        <v>1</v>
      </c>
      <c r="E35" s="106" t="str">
        <f>+VLOOKUP(B35,'MANO DE OBRA '!B24:G47,4,FALSE)</f>
        <v>Hora</v>
      </c>
      <c r="F35" s="86">
        <f>+VLOOKUP(B35,'MANO DE OBRA '!B24:G47,3,FALSE)</f>
        <v>66187.5</v>
      </c>
      <c r="G35" s="121">
        <v>0.17399999999999999</v>
      </c>
      <c r="H35" s="94">
        <f>F35*G35*D35</f>
        <v>11516.625</v>
      </c>
      <c r="I35" s="294"/>
    </row>
    <row r="36" spans="2:9">
      <c r="B36" s="106"/>
      <c r="C36" s="106"/>
      <c r="D36" s="106"/>
      <c r="E36" s="106"/>
      <c r="F36" s="86"/>
      <c r="G36" s="121"/>
      <c r="H36" s="94"/>
      <c r="I36" s="294"/>
    </row>
    <row r="37" spans="2:9" ht="12">
      <c r="B37" s="108"/>
      <c r="C37" s="109"/>
      <c r="D37" s="109"/>
      <c r="E37" s="109"/>
      <c r="F37" s="110"/>
      <c r="G37" s="110"/>
      <c r="H37" s="111" t="s">
        <v>64</v>
      </c>
      <c r="I37" s="112">
        <f>SUM(H35:H36)</f>
        <v>11516.625</v>
      </c>
    </row>
    <row r="38" spans="2:9" ht="12">
      <c r="B38" s="295" t="s">
        <v>83</v>
      </c>
      <c r="C38" s="296"/>
      <c r="D38" s="297" t="s">
        <v>77</v>
      </c>
      <c r="E38" s="298"/>
      <c r="F38" s="298"/>
      <c r="G38" s="298"/>
      <c r="H38" s="299"/>
      <c r="I38" s="113">
        <f>SUM(I21+I32+I27+I37)</f>
        <v>14641.825000000001</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3:D23"/>
    <mergeCell ref="I23:I24"/>
    <mergeCell ref="C24:D24"/>
    <mergeCell ref="G25:H25"/>
    <mergeCell ref="C17:D17"/>
    <mergeCell ref="I17:I20"/>
    <mergeCell ref="C18:D18"/>
    <mergeCell ref="C19:D19"/>
    <mergeCell ref="C20:D20"/>
    <mergeCell ref="C22:D22"/>
    <mergeCell ref="B38:C38"/>
    <mergeCell ref="D38:H38"/>
    <mergeCell ref="G27:H27"/>
    <mergeCell ref="C28:D28"/>
    <mergeCell ref="I29:I31"/>
    <mergeCell ref="G32:H32"/>
    <mergeCell ref="C33:D33"/>
    <mergeCell ref="I34:I36"/>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6697-322A-440A-82E2-AC8BCE30A20D}">
  <sheetPr codeName="Hoja81">
    <pageSetUpPr fitToPage="1"/>
  </sheetPr>
  <dimension ref="B3:I40"/>
  <sheetViews>
    <sheetView topLeftCell="A19" zoomScale="96" zoomScaleNormal="96" zoomScaleSheetLayoutView="118" workbookViewId="0">
      <selection activeCell="M25" sqref="M25"/>
    </sheetView>
  </sheetViews>
  <sheetFormatPr baseColWidth="10" defaultColWidth="11.3984375" defaultRowHeight="11.4"/>
  <cols>
    <col min="1" max="2" width="11.3984375" style="11"/>
    <col min="3" max="3" width="25.3984375" style="11" customWidth="1"/>
    <col min="4" max="4" width="24.3984375" style="11" customWidth="1"/>
    <col min="5" max="5" width="29.3984375" style="11" customWidth="1"/>
    <col min="6" max="6" width="22.3984375" style="11" customWidth="1"/>
    <col min="7" max="7" width="17.09765625" style="11" customWidth="1"/>
    <col min="8" max="8" width="20.69921875" style="11" customWidth="1"/>
    <col min="9" max="9" width="15.8984375" style="11" bestFit="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5</v>
      </c>
      <c r="E9" s="276" t="s">
        <v>12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5.5" customHeight="1">
      <c r="B13" s="17">
        <v>5.4</v>
      </c>
      <c r="C13" s="283" t="s">
        <v>1913</v>
      </c>
      <c r="D13" s="284"/>
      <c r="E13" s="284"/>
      <c r="F13" s="285"/>
      <c r="G13" s="286" t="s">
        <v>2</v>
      </c>
      <c r="H13" s="286"/>
      <c r="I13" s="17">
        <v>249.95600000000002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0.1</v>
      </c>
      <c r="H19" s="85">
        <f>F19*G19</f>
        <v>1050</v>
      </c>
      <c r="I19" s="287"/>
    </row>
    <row r="20" spans="2:9">
      <c r="B20" s="71" t="s">
        <v>1773</v>
      </c>
      <c r="C20" s="288" t="str">
        <f>VLOOKUP(B20,'MAQUINARIA Y EQUIPOS  '!C8:F96,2,FALSE)</f>
        <v xml:space="preserve">PULIDORA DE PISOS </v>
      </c>
      <c r="D20" s="265"/>
      <c r="E20" s="88" t="str">
        <f>VLOOKUP(B20,'MAQUINARIA Y EQUIPOS  '!C8:F96,3,FALSE)</f>
        <v xml:space="preserve">DIA </v>
      </c>
      <c r="F20" s="86">
        <f>VLOOKUP(B20,'MAQUINARIA Y EQUIPOS  '!C8:F96,4,FALSE)</f>
        <v>50000</v>
      </c>
      <c r="G20" s="92">
        <v>0.5</v>
      </c>
      <c r="H20" s="85">
        <f>F20*G20</f>
        <v>25000</v>
      </c>
      <c r="I20" s="287"/>
    </row>
    <row r="21" spans="2:9" ht="12">
      <c r="B21" s="89"/>
      <c r="C21" s="89"/>
      <c r="D21" s="89"/>
      <c r="E21" s="89"/>
      <c r="F21" s="89"/>
      <c r="G21" s="89"/>
      <c r="H21" s="89" t="s">
        <v>64</v>
      </c>
      <c r="I21" s="90">
        <f>SUM(H18:H20)</f>
        <v>27121.4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1775</v>
      </c>
      <c r="C24" s="290" t="str">
        <f>VLOOKUP(B24,'INSUMOS '!C4:F1048576,2,FALSE)</f>
        <v>Kit de Discos diamantados (Granos 50 a 3000</v>
      </c>
      <c r="D24" s="291"/>
      <c r="E24" s="97" t="str">
        <f>VLOOKUP(B24,'INSUMOS '!C4:F1048576,3,FALSE)</f>
        <v xml:space="preserve">UND </v>
      </c>
      <c r="F24" s="127">
        <f>VLOOKUP(B24,'INSUMOS '!C4:F1048576,4,FALSE)</f>
        <v>90000</v>
      </c>
      <c r="G24" s="97">
        <v>7.8E-2</v>
      </c>
      <c r="H24" s="128">
        <f>+G24*F24</f>
        <v>7020</v>
      </c>
      <c r="I24" s="287"/>
    </row>
    <row r="25" spans="2:9">
      <c r="B25" s="71" t="s">
        <v>1538</v>
      </c>
      <c r="C25" s="290" t="str">
        <f>VLOOKUP(B25,'INSUMOS '!C5:G568,2,FALSE)</f>
        <v xml:space="preserve">Cristalizador rosado cr-2 </v>
      </c>
      <c r="D25" s="291"/>
      <c r="E25" s="97" t="str">
        <f>VLOOKUP(B25,'INSUMOS '!C5:G568,3,FALSE)</f>
        <v>l itr</v>
      </c>
      <c r="F25" s="97">
        <f>VLOOKUP(C25,'INSUMOS '!D5:G568,3,FALSE)</f>
        <v>50000</v>
      </c>
      <c r="G25" s="97">
        <v>0.4</v>
      </c>
      <c r="H25" s="128">
        <f>+G25*F25</f>
        <v>20000</v>
      </c>
      <c r="I25" s="287"/>
    </row>
    <row r="26" spans="2:9">
      <c r="B26" s="71" t="s">
        <v>1540</v>
      </c>
      <c r="C26" s="290" t="str">
        <f>VLOOKUP(B26,'INSUMOS '!C6:G616,2,FALSE)</f>
        <v xml:space="preserve">limpiador marmol </v>
      </c>
      <c r="D26" s="291"/>
      <c r="E26" s="97" t="str">
        <f>VLOOKUP(B26,'INSUMOS '!C6:G616,3,FALSE)</f>
        <v>l itro</v>
      </c>
      <c r="F26" s="97">
        <f>VLOOKUP(C26,'INSUMOS '!D6:G569,3,FALSE)</f>
        <v>40000</v>
      </c>
      <c r="G26" s="97">
        <v>0.2</v>
      </c>
      <c r="H26" s="128">
        <f>+G26*F26</f>
        <v>8000</v>
      </c>
      <c r="I26" s="287"/>
    </row>
    <row r="27" spans="2:9" ht="12">
      <c r="B27" s="89"/>
      <c r="C27" s="89"/>
      <c r="D27" s="89"/>
      <c r="E27" s="89"/>
      <c r="F27" s="89"/>
      <c r="G27" s="258" t="s">
        <v>64</v>
      </c>
      <c r="H27" s="258"/>
      <c r="I27" s="85">
        <f>SUM(H24:H26)</f>
        <v>35020</v>
      </c>
    </row>
    <row r="28" spans="2:9" ht="12">
      <c r="B28" s="89"/>
      <c r="C28" s="89"/>
      <c r="D28" s="89"/>
      <c r="E28" s="89"/>
      <c r="F28" s="89"/>
      <c r="G28" s="99" t="s">
        <v>72</v>
      </c>
      <c r="H28" s="100">
        <v>0.05</v>
      </c>
      <c r="I28" s="120">
        <f>I27*H28</f>
        <v>1751</v>
      </c>
    </row>
    <row r="29" spans="2:9" ht="12">
      <c r="B29" s="89"/>
      <c r="C29" s="89"/>
      <c r="D29" s="89"/>
      <c r="E29" s="89"/>
      <c r="F29" s="89"/>
      <c r="G29" s="258" t="s">
        <v>73</v>
      </c>
      <c r="H29" s="258"/>
      <c r="I29" s="90">
        <f>SUM(I27:I28)</f>
        <v>36771</v>
      </c>
    </row>
    <row r="30" spans="2:9" ht="12">
      <c r="B30" s="78"/>
      <c r="C30" s="289" t="s">
        <v>74</v>
      </c>
      <c r="D30" s="289"/>
      <c r="E30" s="78"/>
      <c r="F30" s="78"/>
      <c r="G30" s="78"/>
      <c r="H30" s="78"/>
      <c r="I30" s="79"/>
    </row>
    <row r="31" spans="2:9" ht="12">
      <c r="B31" s="70" t="s">
        <v>42</v>
      </c>
      <c r="C31" s="70" t="s">
        <v>58</v>
      </c>
      <c r="D31" s="70" t="s">
        <v>342</v>
      </c>
      <c r="E31" s="70" t="s">
        <v>343</v>
      </c>
      <c r="F31" s="70" t="s">
        <v>344</v>
      </c>
      <c r="G31" s="70" t="s">
        <v>1278</v>
      </c>
      <c r="H31" s="74" t="s">
        <v>61</v>
      </c>
      <c r="I31" s="300"/>
    </row>
    <row r="32" spans="2:9" ht="12">
      <c r="B32" s="70"/>
      <c r="C32" s="70"/>
      <c r="D32" s="75"/>
      <c r="E32" s="70"/>
      <c r="F32" s="70"/>
      <c r="G32" s="102"/>
      <c r="H32" s="103"/>
      <c r="I32" s="301"/>
    </row>
    <row r="33" spans="2:9">
      <c r="B33" s="71"/>
      <c r="C33" s="71"/>
      <c r="D33" s="82"/>
      <c r="E33" s="71"/>
      <c r="F33" s="71"/>
      <c r="G33" s="86"/>
      <c r="H33" s="86"/>
      <c r="I33" s="301"/>
    </row>
    <row r="34" spans="2:9" ht="12">
      <c r="B34" s="89"/>
      <c r="C34" s="89"/>
      <c r="D34" s="89"/>
      <c r="E34" s="89"/>
      <c r="F34" s="89"/>
      <c r="G34" s="302" t="s">
        <v>64</v>
      </c>
      <c r="H34" s="302"/>
      <c r="I34" s="104">
        <f>+H32</f>
        <v>0</v>
      </c>
    </row>
    <row r="35" spans="2:9" ht="12">
      <c r="B35" s="78"/>
      <c r="C35" s="289" t="s">
        <v>75</v>
      </c>
      <c r="D35" s="289"/>
      <c r="E35" s="78"/>
      <c r="F35" s="78"/>
      <c r="G35" s="78"/>
      <c r="H35" s="78"/>
      <c r="I35" s="79"/>
    </row>
    <row r="36" spans="2:9" ht="12">
      <c r="B36" s="105" t="s">
        <v>42</v>
      </c>
      <c r="C36" s="105" t="s">
        <v>76</v>
      </c>
      <c r="D36" s="105" t="s">
        <v>1225</v>
      </c>
      <c r="E36" s="105" t="s">
        <v>1</v>
      </c>
      <c r="F36" s="105" t="s">
        <v>77</v>
      </c>
      <c r="G36" s="105" t="s">
        <v>78</v>
      </c>
      <c r="H36" s="105" t="s">
        <v>79</v>
      </c>
      <c r="I36" s="294"/>
    </row>
    <row r="37" spans="2:9" ht="30" customHeight="1">
      <c r="B37" s="106" t="s">
        <v>359</v>
      </c>
      <c r="C37" s="106" t="str">
        <f>+VLOOKUP(B37,'MANO DE OBRA '!B24:G47,2,FALSE)</f>
        <v xml:space="preserve"> Cuadrilla de construccion 2 (1 oficial+ 2 ayudante)</v>
      </c>
      <c r="D37" s="106">
        <v>2</v>
      </c>
      <c r="E37" s="106" t="str">
        <f>+VLOOKUP(B37,'MANO DE OBRA '!B24:G47,4,FALSE)</f>
        <v>Hora</v>
      </c>
      <c r="F37" s="86">
        <f>+VLOOKUP(B37,'MANO DE OBRA '!B24:G47,3,FALSE)</f>
        <v>66187.5</v>
      </c>
      <c r="G37" s="121">
        <v>0.5</v>
      </c>
      <c r="H37" s="94">
        <f>F37*G37*D37</f>
        <v>66187.5</v>
      </c>
      <c r="I37" s="294"/>
    </row>
    <row r="38" spans="2:9">
      <c r="B38" s="106"/>
      <c r="C38" s="106"/>
      <c r="D38" s="106"/>
      <c r="E38" s="106"/>
      <c r="F38" s="86"/>
      <c r="G38" s="121"/>
      <c r="H38" s="94"/>
      <c r="I38" s="294"/>
    </row>
    <row r="39" spans="2:9" ht="12">
      <c r="B39" s="108"/>
      <c r="C39" s="109"/>
      <c r="D39" s="109"/>
      <c r="E39" s="109"/>
      <c r="F39" s="110"/>
      <c r="G39" s="110"/>
      <c r="H39" s="111" t="s">
        <v>64</v>
      </c>
      <c r="I39" s="112">
        <f>SUM(H37:H38)</f>
        <v>66187.5</v>
      </c>
    </row>
    <row r="40" spans="2:9" ht="12">
      <c r="B40" s="295" t="s">
        <v>83</v>
      </c>
      <c r="C40" s="296"/>
      <c r="D40" s="297" t="s">
        <v>77</v>
      </c>
      <c r="E40" s="298"/>
      <c r="F40" s="298"/>
      <c r="G40" s="298"/>
      <c r="H40" s="299"/>
      <c r="I40" s="113">
        <f>SUM(I21+I34+I29+I39)</f>
        <v>130079.9</v>
      </c>
    </row>
  </sheetData>
  <mergeCells count="39">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30:D30"/>
    <mergeCell ref="C25:D25"/>
    <mergeCell ref="C24:D24"/>
    <mergeCell ref="C17:D17"/>
    <mergeCell ref="I17:I20"/>
    <mergeCell ref="C18:D18"/>
    <mergeCell ref="C19:D19"/>
    <mergeCell ref="C20:D20"/>
    <mergeCell ref="C22:D22"/>
    <mergeCell ref="C23:D23"/>
    <mergeCell ref="I23:I26"/>
    <mergeCell ref="C26:D26"/>
    <mergeCell ref="G27:H27"/>
    <mergeCell ref="G29:H29"/>
    <mergeCell ref="I31:I33"/>
    <mergeCell ref="G34:H34"/>
    <mergeCell ref="C35:D35"/>
    <mergeCell ref="I36:I38"/>
    <mergeCell ref="B40:C40"/>
    <mergeCell ref="D40:H40"/>
  </mergeCells>
  <pageMargins left="0.25" right="0.25" top="0.75" bottom="0.75" header="0.3" footer="0.3"/>
  <pageSetup paperSize="9" scale="55" orientation="portrait" horizontalDpi="360" verticalDpi="36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5947-1B93-42B7-AD8F-EBF44C675B05}">
  <sheetPr codeName="Hoja82"/>
  <dimension ref="B3:I39"/>
  <sheetViews>
    <sheetView topLeftCell="A5" zoomScale="91" zoomScaleNormal="91" workbookViewId="0">
      <selection activeCell="M22" sqref="M22"/>
    </sheetView>
  </sheetViews>
  <sheetFormatPr baseColWidth="10" defaultColWidth="11.3984375" defaultRowHeight="11.4"/>
  <cols>
    <col min="1" max="2" width="11.3984375" style="11"/>
    <col min="3" max="3" width="25.3984375" style="11" customWidth="1"/>
    <col min="4" max="4" width="11.3984375" style="11" bestFit="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5</v>
      </c>
      <c r="E9" s="276" t="s">
        <v>12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5.5</v>
      </c>
      <c r="C13" s="283" t="s">
        <v>1914</v>
      </c>
      <c r="D13" s="284"/>
      <c r="E13" s="284"/>
      <c r="F13" s="285"/>
      <c r="G13" s="286" t="s">
        <v>2</v>
      </c>
      <c r="H13" s="286"/>
      <c r="I13" s="17">
        <v>88.863140000000001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0.1</v>
      </c>
      <c r="H19" s="85">
        <f>F19*G19</f>
        <v>1050</v>
      </c>
      <c r="I19" s="287"/>
    </row>
    <row r="20" spans="2:9" ht="12">
      <c r="B20" s="89"/>
      <c r="C20" s="89"/>
      <c r="D20" s="89"/>
      <c r="E20" s="89"/>
      <c r="F20" s="89"/>
      <c r="G20" s="89"/>
      <c r="H20" s="89" t="s">
        <v>64</v>
      </c>
      <c r="I20" s="90">
        <f>SUM(H18:H19)</f>
        <v>2121.4</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1678</v>
      </c>
      <c r="C23" s="290" t="str">
        <f>VLOOKUP(B23,'INSUMOS '!C2:G1048574,2,FALSE)</f>
        <v>ARKODECK P90 0.09MX2.80</v>
      </c>
      <c r="D23" s="291"/>
      <c r="E23" s="97" t="str">
        <f>VLOOKUP(B23,'INSUMOS '!C2:G1048574,3,FALSE)</f>
        <v xml:space="preserve">UND </v>
      </c>
      <c r="F23" s="98">
        <f>VLOOKUP(B23,'INSUMOS '!C2:G1048574,4,FALSE)</f>
        <v>100000</v>
      </c>
      <c r="G23" s="71">
        <v>2.73</v>
      </c>
      <c r="H23" s="83">
        <f t="shared" ref="H23" si="0">+G23*F23</f>
        <v>273000</v>
      </c>
      <c r="I23" s="287"/>
    </row>
    <row r="24" spans="2:9">
      <c r="B24" s="71" t="s">
        <v>1680</v>
      </c>
      <c r="C24" s="290" t="str">
        <f>VLOOKUP(B24,'INSUMOS '!C3:G1048575,2,FALSE)</f>
        <v>Rastreles de soporte estructural</v>
      </c>
      <c r="D24" s="291"/>
      <c r="E24" s="97" t="str">
        <f>VLOOKUP(B24,'INSUMOS '!C3:G1048575,3,FALSE)</f>
        <v xml:space="preserve">M </v>
      </c>
      <c r="F24" s="98">
        <f>VLOOKUP(B24,'INSUMOS '!C3:G1048575,4,FALSE)</f>
        <v>12000</v>
      </c>
      <c r="G24" s="71">
        <v>3.2</v>
      </c>
      <c r="H24" s="83">
        <f t="shared" ref="H24" si="1">+G24*F24</f>
        <v>38400</v>
      </c>
      <c r="I24" s="287"/>
    </row>
    <row r="25" spans="2:9">
      <c r="B25" s="71" t="s">
        <v>1682</v>
      </c>
      <c r="C25" s="290" t="str">
        <f>VLOOKUP(B25,'INSUMOS '!C4:G1048576,2,FALSE)</f>
        <v>Clips de fijación oculta (Acero Inoxidable)</v>
      </c>
      <c r="D25" s="291"/>
      <c r="E25" s="97" t="str">
        <f>VLOOKUP(B25,'INSUMOS '!C4:G1048576,3,FALSE)</f>
        <v xml:space="preserve">UND </v>
      </c>
      <c r="F25" s="98">
        <f>VLOOKUP(B25,'INSUMOS '!C4:G1048576,4,FALSE)</f>
        <v>1500</v>
      </c>
      <c r="G25" s="71">
        <v>22</v>
      </c>
      <c r="H25" s="83">
        <f t="shared" ref="H25" si="2">+G25*F25</f>
        <v>33000</v>
      </c>
      <c r="I25" s="287"/>
    </row>
    <row r="26" spans="2:9" ht="12">
      <c r="B26" s="89"/>
      <c r="C26" s="89"/>
      <c r="D26" s="89"/>
      <c r="E26" s="89"/>
      <c r="F26" s="89"/>
      <c r="G26" s="258" t="s">
        <v>64</v>
      </c>
      <c r="H26" s="258"/>
      <c r="I26" s="85">
        <f>SUM(H23:H25)</f>
        <v>344400</v>
      </c>
    </row>
    <row r="27" spans="2:9" ht="12">
      <c r="B27" s="89"/>
      <c r="C27" s="89"/>
      <c r="D27" s="89"/>
      <c r="E27" s="89"/>
      <c r="F27" s="89"/>
      <c r="G27" s="99" t="s">
        <v>72</v>
      </c>
      <c r="H27" s="100">
        <v>0.05</v>
      </c>
      <c r="I27" s="120">
        <f>I26*H27</f>
        <v>17220</v>
      </c>
    </row>
    <row r="28" spans="2:9" ht="12">
      <c r="B28" s="89"/>
      <c r="C28" s="89"/>
      <c r="D28" s="89"/>
      <c r="E28" s="89"/>
      <c r="F28" s="89"/>
      <c r="G28" s="258" t="s">
        <v>73</v>
      </c>
      <c r="H28" s="258"/>
      <c r="I28" s="90">
        <f>SUM(I26:I27)</f>
        <v>361620</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2</v>
      </c>
      <c r="E36" s="106" t="str">
        <f>+VLOOKUP(B36,'MANO DE OBRA '!B24:G47,4,FALSE)</f>
        <v>Hora</v>
      </c>
      <c r="F36" s="86">
        <f>+VLOOKUP(B36,'MANO DE OBRA '!B24:G47,3,FALSE)</f>
        <v>66187.5</v>
      </c>
      <c r="G36" s="121">
        <v>0.1</v>
      </c>
      <c r="H36" s="94">
        <f>F36*G36*D36</f>
        <v>13237.5</v>
      </c>
      <c r="I36" s="294"/>
    </row>
    <row r="37" spans="2:9">
      <c r="B37" s="106"/>
      <c r="C37" s="106"/>
      <c r="D37" s="106"/>
      <c r="E37" s="106"/>
      <c r="F37" s="86"/>
      <c r="G37" s="121"/>
      <c r="H37" s="94"/>
      <c r="I37" s="294"/>
    </row>
    <row r="38" spans="2:9" ht="12">
      <c r="B38" s="108"/>
      <c r="C38" s="109"/>
      <c r="D38" s="109"/>
      <c r="E38" s="109"/>
      <c r="F38" s="110"/>
      <c r="G38" s="110"/>
      <c r="H38" s="111" t="s">
        <v>64</v>
      </c>
      <c r="I38" s="112">
        <f>SUM(H36:H37)</f>
        <v>13237.5</v>
      </c>
    </row>
    <row r="39" spans="2:9" ht="12">
      <c r="B39" s="295" t="s">
        <v>83</v>
      </c>
      <c r="C39" s="296"/>
      <c r="D39" s="297" t="s">
        <v>77</v>
      </c>
      <c r="E39" s="298"/>
      <c r="F39" s="298"/>
      <c r="G39" s="298"/>
      <c r="H39" s="299"/>
      <c r="I39" s="113">
        <f>SUM(I20+I33+I28+I38)</f>
        <v>376978.9</v>
      </c>
    </row>
  </sheetData>
  <mergeCells count="38">
    <mergeCell ref="B39:C39"/>
    <mergeCell ref="D39:H39"/>
    <mergeCell ref="G28:H28"/>
    <mergeCell ref="C29:D29"/>
    <mergeCell ref="I30:I32"/>
    <mergeCell ref="G33:H33"/>
    <mergeCell ref="C34:D34"/>
    <mergeCell ref="I35:I37"/>
    <mergeCell ref="G26:H26"/>
    <mergeCell ref="C17:D17"/>
    <mergeCell ref="I17:I19"/>
    <mergeCell ref="C18:D18"/>
    <mergeCell ref="C19:D19"/>
    <mergeCell ref="C21:D21"/>
    <mergeCell ref="C22:D22"/>
    <mergeCell ref="I22:I25"/>
    <mergeCell ref="C23:D23"/>
    <mergeCell ref="C24:D24"/>
    <mergeCell ref="C25:D25"/>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2712-56CA-4806-B0D1-560F0B7B6616}">
  <sheetPr codeName="Hoja83"/>
  <dimension ref="B3:I41"/>
  <sheetViews>
    <sheetView topLeftCell="A3" zoomScale="89" zoomScaleNormal="89" workbookViewId="0">
      <selection activeCell="N28" sqref="N2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5</v>
      </c>
      <c r="E9" s="276" t="s">
        <v>12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6.25" customHeight="1">
      <c r="B13" s="17" t="s">
        <v>1787</v>
      </c>
      <c r="C13" s="283" t="s">
        <v>1915</v>
      </c>
      <c r="D13" s="284"/>
      <c r="E13" s="284"/>
      <c r="F13" s="285"/>
      <c r="G13" s="286" t="s">
        <v>2</v>
      </c>
      <c r="H13" s="286"/>
      <c r="I13" s="114">
        <v>4.26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
        <v>199</v>
      </c>
      <c r="D18" s="265"/>
      <c r="E18" s="71" t="s">
        <v>197</v>
      </c>
      <c r="F18" s="83">
        <v>10714</v>
      </c>
      <c r="G18" s="84">
        <v>0.2</v>
      </c>
      <c r="H18" s="85">
        <f>F18*G18</f>
        <v>2142.8000000000002</v>
      </c>
      <c r="I18" s="287"/>
    </row>
    <row r="19" spans="2:9">
      <c r="B19" s="71" t="s">
        <v>1287</v>
      </c>
      <c r="C19" s="288" t="s">
        <v>1288</v>
      </c>
      <c r="D19" s="265"/>
      <c r="E19" s="71" t="s">
        <v>276</v>
      </c>
      <c r="F19" s="83">
        <v>5000</v>
      </c>
      <c r="G19" s="122">
        <v>0.3</v>
      </c>
      <c r="H19" s="85">
        <f>F19*G19</f>
        <v>1500</v>
      </c>
      <c r="I19" s="287"/>
    </row>
    <row r="20" spans="2:9">
      <c r="B20" s="71" t="s">
        <v>1267</v>
      </c>
      <c r="C20" s="288" t="s">
        <v>1266</v>
      </c>
      <c r="D20" s="265"/>
      <c r="E20" s="71" t="s">
        <v>276</v>
      </c>
      <c r="F20" s="83">
        <v>10500</v>
      </c>
      <c r="G20" s="122">
        <v>0.02</v>
      </c>
      <c r="H20" s="85">
        <f>F20*G20</f>
        <v>210</v>
      </c>
      <c r="I20" s="287"/>
    </row>
    <row r="21" spans="2:9" ht="12">
      <c r="B21" s="89"/>
      <c r="C21" s="89"/>
      <c r="D21" s="89"/>
      <c r="E21" s="89"/>
      <c r="F21" s="89"/>
      <c r="G21" s="89"/>
      <c r="H21" s="89" t="s">
        <v>64</v>
      </c>
      <c r="I21" s="90">
        <f>SUM(H18:H20)</f>
        <v>3852.8</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ht="12">
      <c r="B24" s="70" t="s">
        <v>633</v>
      </c>
      <c r="C24" s="283" t="s">
        <v>634</v>
      </c>
      <c r="D24" s="285"/>
      <c r="E24" s="70" t="s">
        <v>350</v>
      </c>
      <c r="F24" s="80">
        <v>3000</v>
      </c>
      <c r="G24" s="70">
        <v>5</v>
      </c>
      <c r="H24" s="123">
        <f>+G24*F24</f>
        <v>15000</v>
      </c>
      <c r="I24" s="287"/>
    </row>
    <row r="25" spans="2:9" ht="12">
      <c r="B25" s="70" t="s">
        <v>147</v>
      </c>
      <c r="C25" s="283" t="s">
        <v>2327</v>
      </c>
      <c r="D25" s="285"/>
      <c r="E25" s="70" t="s">
        <v>1291</v>
      </c>
      <c r="F25" s="80">
        <v>6480</v>
      </c>
      <c r="G25" s="70">
        <v>0.35</v>
      </c>
      <c r="H25" s="123">
        <f>+G25*F25</f>
        <v>2268</v>
      </c>
      <c r="I25" s="287"/>
    </row>
    <row r="26" spans="2:9" ht="12">
      <c r="B26" s="70" t="s">
        <v>1880</v>
      </c>
      <c r="C26" s="283" t="s">
        <v>2328</v>
      </c>
      <c r="D26" s="285"/>
      <c r="E26" s="70" t="s">
        <v>342</v>
      </c>
      <c r="F26" s="80">
        <v>500</v>
      </c>
      <c r="G26" s="70">
        <v>8</v>
      </c>
      <c r="H26" s="123">
        <f>+G26*F26</f>
        <v>4000</v>
      </c>
      <c r="I26" s="287"/>
    </row>
    <row r="27" spans="2:9" ht="12">
      <c r="B27" s="70" t="s">
        <v>1881</v>
      </c>
      <c r="C27" s="283" t="s">
        <v>2329</v>
      </c>
      <c r="D27" s="285"/>
      <c r="E27" s="70" t="s">
        <v>196</v>
      </c>
      <c r="F27" s="80">
        <v>73700</v>
      </c>
      <c r="G27" s="70">
        <v>1</v>
      </c>
      <c r="H27" s="123">
        <f>+G27*F27</f>
        <v>73700</v>
      </c>
      <c r="I27" s="287"/>
    </row>
    <row r="28" spans="2:9" ht="12">
      <c r="B28" s="89"/>
      <c r="C28" s="89"/>
      <c r="D28" s="89"/>
      <c r="E28" s="89"/>
      <c r="F28" s="89"/>
      <c r="G28" s="258" t="s">
        <v>64</v>
      </c>
      <c r="H28" s="258"/>
      <c r="I28" s="85">
        <f>SUM(H24:H27)</f>
        <v>94968</v>
      </c>
    </row>
    <row r="29" spans="2:9" ht="12">
      <c r="B29" s="89"/>
      <c r="C29" s="89"/>
      <c r="D29" s="89"/>
      <c r="E29" s="89"/>
      <c r="F29" s="89"/>
      <c r="G29" s="99" t="s">
        <v>72</v>
      </c>
      <c r="H29" s="100">
        <v>0.05</v>
      </c>
      <c r="I29" s="120">
        <f>I28*H29</f>
        <v>4748.4000000000005</v>
      </c>
    </row>
    <row r="30" spans="2:9" ht="12">
      <c r="B30" s="89"/>
      <c r="C30" s="89"/>
      <c r="D30" s="89"/>
      <c r="E30" s="89"/>
      <c r="F30" s="89"/>
      <c r="G30" s="258" t="s">
        <v>73</v>
      </c>
      <c r="H30" s="258"/>
      <c r="I30" s="90">
        <f>SUM(I28:I29)</f>
        <v>99716.4</v>
      </c>
    </row>
    <row r="31" spans="2:9" ht="12">
      <c r="B31" s="78"/>
      <c r="C31" s="289" t="s">
        <v>74</v>
      </c>
      <c r="D31" s="289"/>
      <c r="E31" s="78"/>
      <c r="F31" s="78"/>
      <c r="G31" s="78"/>
      <c r="H31" s="78"/>
      <c r="I31" s="79"/>
    </row>
    <row r="32" spans="2:9" ht="12">
      <c r="B32" s="70" t="s">
        <v>42</v>
      </c>
      <c r="C32" s="70" t="s">
        <v>58</v>
      </c>
      <c r="D32" s="70" t="s">
        <v>342</v>
      </c>
      <c r="E32" s="70" t="s">
        <v>1675</v>
      </c>
      <c r="F32" s="70" t="s">
        <v>1333</v>
      </c>
      <c r="G32" s="70" t="s">
        <v>1278</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371</v>
      </c>
      <c r="C38" s="106" t="s">
        <v>1248</v>
      </c>
      <c r="D38" s="106">
        <v>1</v>
      </c>
      <c r="E38" s="106" t="s">
        <v>1236</v>
      </c>
      <c r="F38" s="86">
        <v>55703.125</v>
      </c>
      <c r="G38" s="121">
        <v>0.4</v>
      </c>
      <c r="H38" s="94">
        <f>F38*G38*D38</f>
        <v>22281.25</v>
      </c>
      <c r="I38" s="294"/>
    </row>
    <row r="39" spans="2:9">
      <c r="B39" s="106"/>
      <c r="C39" s="106"/>
      <c r="D39" s="106"/>
      <c r="E39" s="106"/>
      <c r="F39" s="86"/>
      <c r="G39" s="121"/>
      <c r="H39" s="94"/>
      <c r="I39" s="294"/>
    </row>
    <row r="40" spans="2:9" ht="12">
      <c r="B40" s="108"/>
      <c r="C40" s="109"/>
      <c r="D40" s="109"/>
      <c r="E40" s="109"/>
      <c r="F40" s="110"/>
      <c r="G40" s="110"/>
      <c r="H40" s="111" t="s">
        <v>64</v>
      </c>
      <c r="I40" s="112">
        <f>SUM(H38:H39)</f>
        <v>22281.25</v>
      </c>
    </row>
    <row r="41" spans="2:9" ht="12">
      <c r="B41" s="295" t="s">
        <v>83</v>
      </c>
      <c r="C41" s="296"/>
      <c r="D41" s="297" t="s">
        <v>77</v>
      </c>
      <c r="E41" s="298"/>
      <c r="F41" s="298"/>
      <c r="G41" s="298"/>
      <c r="H41" s="299"/>
      <c r="I41" s="113">
        <f>SUM(I21+I35+I30+I40)</f>
        <v>125850.45</v>
      </c>
    </row>
  </sheetData>
  <mergeCells count="40">
    <mergeCell ref="I37:I39"/>
    <mergeCell ref="B41:C41"/>
    <mergeCell ref="D41:H41"/>
    <mergeCell ref="G28:H28"/>
    <mergeCell ref="G30:H30"/>
    <mergeCell ref="C31:D31"/>
    <mergeCell ref="I32:I34"/>
    <mergeCell ref="G35:H35"/>
    <mergeCell ref="C36:D36"/>
    <mergeCell ref="I17:I20"/>
    <mergeCell ref="C18:D18"/>
    <mergeCell ref="C19:D19"/>
    <mergeCell ref="C20:D20"/>
    <mergeCell ref="C23:D23"/>
    <mergeCell ref="I23:I27"/>
    <mergeCell ref="C24:D24"/>
    <mergeCell ref="C25:D25"/>
    <mergeCell ref="C26:D26"/>
    <mergeCell ref="C27:D27"/>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5D5BC-FCE5-48E2-B2F6-01BCD8A6FBF0}">
  <sheetPr codeName="Hoja29"/>
  <dimension ref="B3:I39"/>
  <sheetViews>
    <sheetView topLeftCell="A14" zoomScale="91" zoomScaleNormal="91" workbookViewId="0">
      <selection activeCell="L20" sqref="L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6</v>
      </c>
      <c r="E9" s="276" t="s">
        <v>10</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7.5" customHeight="1">
      <c r="B13" s="17">
        <v>6.1</v>
      </c>
      <c r="C13" s="283" t="s">
        <v>1916</v>
      </c>
      <c r="D13" s="284"/>
      <c r="E13" s="284"/>
      <c r="F13" s="285"/>
      <c r="G13" s="286" t="s">
        <v>2</v>
      </c>
      <c r="H13" s="286"/>
      <c r="I13" s="17">
        <v>306.45700000000016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0.06</v>
      </c>
      <c r="H19" s="85">
        <f>F19*G19</f>
        <v>630</v>
      </c>
      <c r="I19" s="287"/>
    </row>
    <row r="20" spans="2:9">
      <c r="B20" s="71"/>
      <c r="C20" s="288"/>
      <c r="D20" s="265"/>
      <c r="E20" s="71"/>
      <c r="F20" s="83"/>
      <c r="G20" s="126"/>
      <c r="H20" s="85">
        <f>F20*G20</f>
        <v>0</v>
      </c>
      <c r="I20" s="287"/>
    </row>
    <row r="21" spans="2:9" ht="12">
      <c r="B21" s="89"/>
      <c r="C21" s="89"/>
      <c r="D21" s="89"/>
      <c r="E21" s="89"/>
      <c r="F21" s="89"/>
      <c r="G21" s="89"/>
      <c r="H21" s="89" t="s">
        <v>64</v>
      </c>
      <c r="I21" s="90">
        <f>SUM(H18:H20)</f>
        <v>1701.4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1292</v>
      </c>
      <c r="C24" s="290" t="str">
        <f>VLOOKUP(B24,'INSUMOS '!C4:F530,2,FALSE)</f>
        <v>LIJA DE AGUA #180</v>
      </c>
      <c r="D24" s="291"/>
      <c r="E24" s="97" t="str">
        <f>VLOOKUP(B24,'INSUMOS '!C4:F530,3,FALSE)</f>
        <v xml:space="preserve">UND </v>
      </c>
      <c r="F24" s="117">
        <f>VLOOKUP(B24,'INSUMOS '!C4:F530,4,FALSE)</f>
        <v>1900</v>
      </c>
      <c r="G24" s="119">
        <v>0.16</v>
      </c>
      <c r="H24" s="83">
        <f>+G24*F24</f>
        <v>304</v>
      </c>
      <c r="I24" s="287"/>
    </row>
    <row r="25" spans="2:9">
      <c r="B25" s="71" t="s">
        <v>819</v>
      </c>
      <c r="C25" s="290" t="str">
        <f>VLOOKUP(B25,'INSUMOS '!C10:F505,2,FALSE)</f>
        <v xml:space="preserve">ESTUCO PLASTICO PARA EXTERIOR E INTERIOR </v>
      </c>
      <c r="D25" s="291"/>
      <c r="E25" s="97" t="str">
        <f>VLOOKUP(B25,'INSUMOS '!C10:F505,3,FALSE)</f>
        <v>KG</v>
      </c>
      <c r="F25" s="117">
        <f>VLOOKUP(B25,'INSUMOS '!C10:F505,4,FALSE)</f>
        <v>4363.33</v>
      </c>
      <c r="G25" s="119">
        <v>2.2000000000000002</v>
      </c>
      <c r="H25" s="83">
        <f>+G25*F25</f>
        <v>9599.3260000000009</v>
      </c>
      <c r="I25" s="287"/>
    </row>
    <row r="26" spans="2:9" ht="12">
      <c r="B26" s="89"/>
      <c r="C26" s="89"/>
      <c r="D26" s="89"/>
      <c r="E26" s="89"/>
      <c r="F26" s="89"/>
      <c r="G26" s="258" t="s">
        <v>64</v>
      </c>
      <c r="H26" s="258"/>
      <c r="I26" s="85">
        <f>SUM(H24:H25)</f>
        <v>9903.3260000000009</v>
      </c>
    </row>
    <row r="27" spans="2:9" ht="12">
      <c r="B27" s="89"/>
      <c r="C27" s="89"/>
      <c r="D27" s="89"/>
      <c r="E27" s="89"/>
      <c r="F27" s="89"/>
      <c r="G27" s="99" t="s">
        <v>72</v>
      </c>
      <c r="H27" s="100">
        <v>0.05</v>
      </c>
      <c r="I27" s="120">
        <f>I26*H27</f>
        <v>495.16630000000009</v>
      </c>
    </row>
    <row r="28" spans="2:9" ht="12">
      <c r="B28" s="89"/>
      <c r="C28" s="89"/>
      <c r="D28" s="89"/>
      <c r="E28" s="89"/>
      <c r="F28" s="89"/>
      <c r="G28" s="258" t="s">
        <v>73</v>
      </c>
      <c r="H28" s="258"/>
      <c r="I28" s="90">
        <f>SUM(I26:I27)</f>
        <v>10398.492300000002</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0.28000000000000003</v>
      </c>
      <c r="H36" s="94">
        <f>F36*G36*D36</f>
        <v>18532.5</v>
      </c>
      <c r="I36" s="294"/>
    </row>
    <row r="37" spans="2:9">
      <c r="B37" s="106"/>
      <c r="C37" s="106"/>
      <c r="D37" s="106"/>
      <c r="E37" s="106"/>
      <c r="F37" s="86"/>
      <c r="G37" s="121"/>
      <c r="H37" s="94"/>
      <c r="I37" s="294"/>
    </row>
    <row r="38" spans="2:9" ht="12">
      <c r="B38" s="108"/>
      <c r="C38" s="109"/>
      <c r="D38" s="109"/>
      <c r="E38" s="109"/>
      <c r="F38" s="110"/>
      <c r="G38" s="110"/>
      <c r="H38" s="111" t="s">
        <v>64</v>
      </c>
      <c r="I38" s="112">
        <f>SUM(H36:H37)</f>
        <v>18532.5</v>
      </c>
    </row>
    <row r="39" spans="2:9" ht="12">
      <c r="B39" s="295" t="s">
        <v>83</v>
      </c>
      <c r="C39" s="296"/>
      <c r="D39" s="297" t="s">
        <v>77</v>
      </c>
      <c r="E39" s="298"/>
      <c r="F39" s="298"/>
      <c r="G39" s="298"/>
      <c r="H39" s="299"/>
      <c r="I39" s="113">
        <f>SUM(I21+I33+I28+I38)</f>
        <v>30632.3923</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29:D29"/>
    <mergeCell ref="C24:D24"/>
    <mergeCell ref="C17:D17"/>
    <mergeCell ref="I17:I20"/>
    <mergeCell ref="C18:D18"/>
    <mergeCell ref="C19:D19"/>
    <mergeCell ref="C20:D20"/>
    <mergeCell ref="C22:D22"/>
    <mergeCell ref="C23:D23"/>
    <mergeCell ref="I23:I25"/>
    <mergeCell ref="C25:D25"/>
    <mergeCell ref="G26:H26"/>
    <mergeCell ref="G28:H28"/>
    <mergeCell ref="I30:I32"/>
    <mergeCell ref="G33:H33"/>
    <mergeCell ref="C34:D34"/>
    <mergeCell ref="I35:I37"/>
    <mergeCell ref="B39:C39"/>
    <mergeCell ref="D39:H3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CD6F2-3E21-4425-99B0-444E14C918C2}">
  <sheetPr codeName="Hoja30"/>
  <dimension ref="B3:I39"/>
  <sheetViews>
    <sheetView topLeftCell="A13" zoomScale="91" zoomScaleNormal="91" workbookViewId="0">
      <selection activeCell="M19" sqref="M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6</v>
      </c>
      <c r="E9" s="276" t="s">
        <v>10</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9.25" customHeight="1">
      <c r="B13" s="17">
        <v>6.2</v>
      </c>
      <c r="C13" s="283" t="s">
        <v>1917</v>
      </c>
      <c r="D13" s="284"/>
      <c r="E13" s="284"/>
      <c r="F13" s="285"/>
      <c r="G13" s="286" t="s">
        <v>2</v>
      </c>
      <c r="H13" s="286"/>
      <c r="I13" s="17">
        <v>62.423999999999985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0.06</v>
      </c>
      <c r="H19" s="85">
        <f t="shared" ref="H19:H20" si="0">F19*G19</f>
        <v>630</v>
      </c>
      <c r="I19" s="287"/>
    </row>
    <row r="20" spans="2:9">
      <c r="B20" s="71" t="s">
        <v>347</v>
      </c>
      <c r="C20" s="288" t="str">
        <f>VLOOKUP(B20,'MAQUINARIA Y EQUIPOS  '!C8:F96,2,FALSE)</f>
        <v>Andamio (2cuerpo)</v>
      </c>
      <c r="D20" s="265"/>
      <c r="E20" s="88" t="str">
        <f>VLOOKUP(B20,'MAQUINARIA Y EQUIPOS  '!C8:F96,3,FALSE)</f>
        <v>DIA</v>
      </c>
      <c r="F20" s="86">
        <f>VLOOKUP(B20,'MAQUINARIA Y EQUIPOS  '!C8:F96,4,FALSE)</f>
        <v>10000</v>
      </c>
      <c r="G20" s="119">
        <v>0.37</v>
      </c>
      <c r="H20" s="85">
        <f t="shared" si="0"/>
        <v>3700</v>
      </c>
      <c r="I20" s="287"/>
    </row>
    <row r="21" spans="2:9" ht="12">
      <c r="B21" s="89"/>
      <c r="C21" s="89"/>
      <c r="D21" s="89"/>
      <c r="E21" s="89"/>
      <c r="F21" s="89"/>
      <c r="G21" s="89"/>
      <c r="H21" s="89" t="s">
        <v>64</v>
      </c>
      <c r="I21" s="90">
        <f>SUM(H18:H20)</f>
        <v>5401.4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1292</v>
      </c>
      <c r="C24" s="290" t="str">
        <f>VLOOKUP(B24,'INSUMOS '!C4:F530,2,FALSE)</f>
        <v>LIJA DE AGUA #180</v>
      </c>
      <c r="D24" s="291"/>
      <c r="E24" s="97" t="str">
        <f>VLOOKUP(B24,'INSUMOS '!C4:F530,3,FALSE)</f>
        <v xml:space="preserve">UND </v>
      </c>
      <c r="F24" s="117">
        <f>VLOOKUP(B24,'INSUMOS '!C4:F530,4,FALSE)</f>
        <v>1900</v>
      </c>
      <c r="G24" s="119">
        <v>0.2</v>
      </c>
      <c r="H24" s="83">
        <f>+G24*F24</f>
        <v>380</v>
      </c>
      <c r="I24" s="287"/>
    </row>
    <row r="25" spans="2:9">
      <c r="B25" s="71" t="s">
        <v>976</v>
      </c>
      <c r="C25" s="290" t="str">
        <f>VLOOKUP(B25,'INSUMOS '!C10:F505,2,FALSE)</f>
        <v>ESTUCO PLASTICO ACRILICO PARA INTERIOR Y EXTERIOR</v>
      </c>
      <c r="D25" s="291"/>
      <c r="E25" s="97" t="str">
        <f>VLOOKUP(B25,'INSUMOS '!C10:F505,3,FALSE)</f>
        <v>KG</v>
      </c>
      <c r="F25" s="117">
        <f>VLOOKUP(B25,'INSUMOS '!C10:F505,4,FALSE)</f>
        <v>4030</v>
      </c>
      <c r="G25" s="119">
        <v>2.6</v>
      </c>
      <c r="H25" s="83">
        <f>+G25*F25</f>
        <v>10478</v>
      </c>
      <c r="I25" s="287"/>
    </row>
    <row r="26" spans="2:9" ht="12">
      <c r="B26" s="89"/>
      <c r="C26" s="89"/>
      <c r="D26" s="89"/>
      <c r="E26" s="89"/>
      <c r="F26" s="89"/>
      <c r="G26" s="258" t="s">
        <v>64</v>
      </c>
      <c r="H26" s="258"/>
      <c r="I26" s="85">
        <f>SUM(H24:H25)</f>
        <v>10858</v>
      </c>
    </row>
    <row r="27" spans="2:9" ht="12">
      <c r="B27" s="89"/>
      <c r="C27" s="89"/>
      <c r="D27" s="89"/>
      <c r="E27" s="89"/>
      <c r="F27" s="89"/>
      <c r="G27" s="99" t="s">
        <v>72</v>
      </c>
      <c r="H27" s="100">
        <v>0.05</v>
      </c>
      <c r="I27" s="120">
        <f>I26*H27</f>
        <v>542.9</v>
      </c>
    </row>
    <row r="28" spans="2:9" ht="12">
      <c r="B28" s="89"/>
      <c r="C28" s="89"/>
      <c r="D28" s="89"/>
      <c r="E28" s="89"/>
      <c r="F28" s="89"/>
      <c r="G28" s="258" t="s">
        <v>73</v>
      </c>
      <c r="H28" s="258"/>
      <c r="I28" s="90">
        <f>SUM(I26:I27)</f>
        <v>11400.9</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0.377</v>
      </c>
      <c r="H36" s="94">
        <f>F36*G36*D36</f>
        <v>24952.6875</v>
      </c>
      <c r="I36" s="294"/>
    </row>
    <row r="37" spans="2:9">
      <c r="B37" s="106"/>
      <c r="C37" s="106"/>
      <c r="D37" s="106"/>
      <c r="E37" s="106"/>
      <c r="F37" s="86"/>
      <c r="G37" s="121"/>
      <c r="H37" s="94"/>
      <c r="I37" s="294"/>
    </row>
    <row r="38" spans="2:9" ht="12">
      <c r="B38" s="108"/>
      <c r="C38" s="109"/>
      <c r="D38" s="109"/>
      <c r="E38" s="109"/>
      <c r="F38" s="110"/>
      <c r="G38" s="110"/>
      <c r="H38" s="111" t="s">
        <v>64</v>
      </c>
      <c r="I38" s="112">
        <f>SUM(H36:H37)</f>
        <v>24952.6875</v>
      </c>
    </row>
    <row r="39" spans="2:9" ht="12">
      <c r="B39" s="295" t="s">
        <v>83</v>
      </c>
      <c r="C39" s="296"/>
      <c r="D39" s="297" t="s">
        <v>77</v>
      </c>
      <c r="E39" s="298"/>
      <c r="F39" s="298"/>
      <c r="G39" s="298"/>
      <c r="H39" s="299"/>
      <c r="I39" s="113">
        <f>SUM(I21+I33+I28+I38)</f>
        <v>41754.987500000003</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17:D17"/>
    <mergeCell ref="I17:I20"/>
    <mergeCell ref="C18:D18"/>
    <mergeCell ref="C19:D19"/>
    <mergeCell ref="C22:D22"/>
    <mergeCell ref="C20:D20"/>
    <mergeCell ref="B39:C39"/>
    <mergeCell ref="D39:H39"/>
    <mergeCell ref="C23:D23"/>
    <mergeCell ref="I23:I25"/>
    <mergeCell ref="C24:D24"/>
    <mergeCell ref="C25:D25"/>
    <mergeCell ref="G26:H26"/>
    <mergeCell ref="G28:H28"/>
    <mergeCell ref="C29:D29"/>
    <mergeCell ref="I30:I32"/>
    <mergeCell ref="G33:H33"/>
    <mergeCell ref="C34:D34"/>
    <mergeCell ref="I35:I37"/>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BCC4-874B-4CCF-9C8A-B61C05836378}">
  <sheetPr codeName="Hoja31">
    <pageSetUpPr fitToPage="1"/>
  </sheetPr>
  <dimension ref="B3:I39"/>
  <sheetViews>
    <sheetView topLeftCell="A10" zoomScale="91" zoomScaleNormal="91" zoomScaleSheetLayoutView="96" workbookViewId="0">
      <selection activeCell="K20" sqref="K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6</v>
      </c>
      <c r="E9" s="276" t="s">
        <v>10</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7" customHeight="1">
      <c r="B13" s="17">
        <v>6.3</v>
      </c>
      <c r="C13" s="283" t="s">
        <v>1918</v>
      </c>
      <c r="D13" s="284"/>
      <c r="E13" s="284"/>
      <c r="F13" s="285"/>
      <c r="G13" s="286" t="s">
        <v>2</v>
      </c>
      <c r="H13" s="286"/>
      <c r="I13" s="17">
        <v>306.45700000000016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0.06</v>
      </c>
      <c r="H19" s="85">
        <f t="shared" ref="H19:H20" si="0">F19*G19</f>
        <v>630</v>
      </c>
      <c r="I19" s="287"/>
    </row>
    <row r="20" spans="2:9">
      <c r="B20" s="71" t="s">
        <v>347</v>
      </c>
      <c r="C20" s="288" t="str">
        <f>VLOOKUP(B20,'MAQUINARIA Y EQUIPOS  '!C8:F96,2,FALSE)</f>
        <v>Andamio (2cuerpo)</v>
      </c>
      <c r="D20" s="265"/>
      <c r="E20" s="88" t="str">
        <f>VLOOKUP(B20,'MAQUINARIA Y EQUIPOS  '!C8:F96,3,FALSE)</f>
        <v>DIA</v>
      </c>
      <c r="F20" s="86">
        <f>VLOOKUP(B20,'MAQUINARIA Y EQUIPOS  '!C8:F96,4,FALSE)</f>
        <v>10000</v>
      </c>
      <c r="G20" s="119">
        <v>0.1</v>
      </c>
      <c r="H20" s="85">
        <f t="shared" si="0"/>
        <v>1000</v>
      </c>
      <c r="I20" s="287"/>
    </row>
    <row r="21" spans="2:9" ht="12">
      <c r="B21" s="89"/>
      <c r="C21" s="89"/>
      <c r="D21" s="89"/>
      <c r="E21" s="89"/>
      <c r="F21" s="89"/>
      <c r="G21" s="89"/>
      <c r="H21" s="89" t="s">
        <v>64</v>
      </c>
      <c r="I21" s="90">
        <f>SUM(H18:H20)</f>
        <v>2701.4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852</v>
      </c>
      <c r="C24" s="290" t="str">
        <f>VLOOKUP(B24,'INSUMOS '!C4:F530,2,FALSE)</f>
        <v>PINTURA TIPO 1</v>
      </c>
      <c r="D24" s="291"/>
      <c r="E24" s="97" t="str">
        <f>VLOOKUP(B24,'INSUMOS '!C4:F530,3,FALSE)</f>
        <v>Gl</v>
      </c>
      <c r="F24" s="117">
        <f>VLOOKUP(B24,'INSUMOS '!C4:F530,4,FALSE)</f>
        <v>146900</v>
      </c>
      <c r="G24" s="92">
        <v>8.4000000000000005E-2</v>
      </c>
      <c r="H24" s="83">
        <f>+G24*F24</f>
        <v>12339.6</v>
      </c>
      <c r="I24" s="287"/>
    </row>
    <row r="25" spans="2:9">
      <c r="B25" s="71"/>
      <c r="C25" s="290"/>
      <c r="D25" s="291"/>
      <c r="E25" s="97"/>
      <c r="F25" s="117"/>
      <c r="G25" s="119"/>
      <c r="H25" s="83"/>
      <c r="I25" s="287"/>
    </row>
    <row r="26" spans="2:9" ht="12">
      <c r="B26" s="89"/>
      <c r="C26" s="89"/>
      <c r="D26" s="89"/>
      <c r="E26" s="89"/>
      <c r="F26" s="89"/>
      <c r="G26" s="258" t="s">
        <v>64</v>
      </c>
      <c r="H26" s="258"/>
      <c r="I26" s="85">
        <f>SUM(H24:H25)</f>
        <v>12339.6</v>
      </c>
    </row>
    <row r="27" spans="2:9" ht="12">
      <c r="B27" s="89"/>
      <c r="C27" s="89"/>
      <c r="D27" s="89"/>
      <c r="E27" s="89"/>
      <c r="F27" s="89"/>
      <c r="G27" s="99" t="s">
        <v>72</v>
      </c>
      <c r="H27" s="100">
        <v>0.05</v>
      </c>
      <c r="I27" s="120">
        <f>I26*H27</f>
        <v>616.98</v>
      </c>
    </row>
    <row r="28" spans="2:9" ht="12">
      <c r="B28" s="89"/>
      <c r="C28" s="89"/>
      <c r="D28" s="89"/>
      <c r="E28" s="89"/>
      <c r="F28" s="89"/>
      <c r="G28" s="258" t="s">
        <v>73</v>
      </c>
      <c r="H28" s="258"/>
      <c r="I28" s="90">
        <f>SUM(I26:I27)</f>
        <v>12956.58</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0.26</v>
      </c>
      <c r="H36" s="94">
        <f>F36*G36*D36</f>
        <v>17208.75</v>
      </c>
      <c r="I36" s="294"/>
    </row>
    <row r="37" spans="2:9">
      <c r="B37" s="106"/>
      <c r="C37" s="106"/>
      <c r="D37" s="106"/>
      <c r="E37" s="106"/>
      <c r="F37" s="86"/>
      <c r="G37" s="121"/>
      <c r="H37" s="94"/>
      <c r="I37" s="294"/>
    </row>
    <row r="38" spans="2:9" ht="12">
      <c r="B38" s="108"/>
      <c r="C38" s="109"/>
      <c r="D38" s="109"/>
      <c r="E38" s="109"/>
      <c r="F38" s="110"/>
      <c r="G38" s="110"/>
      <c r="H38" s="111" t="s">
        <v>64</v>
      </c>
      <c r="I38" s="112">
        <f>SUM(H36:H37)</f>
        <v>17208.75</v>
      </c>
    </row>
    <row r="39" spans="2:9" ht="12">
      <c r="B39" s="295" t="s">
        <v>83</v>
      </c>
      <c r="C39" s="296"/>
      <c r="D39" s="297" t="s">
        <v>77</v>
      </c>
      <c r="E39" s="298"/>
      <c r="F39" s="298"/>
      <c r="G39" s="298"/>
      <c r="H39" s="299"/>
      <c r="I39" s="113">
        <f>SUM(I21+I33+I28+I38)</f>
        <v>32866.729999999996</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25" right="0.25" top="0.75" bottom="0.75" header="0.3" footer="0.3"/>
  <pageSetup paperSize="9" scale="54" orientation="portrait" horizontalDpi="360" verticalDpi="36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95F8A-9944-48A6-800D-D2A7287DAA37}">
  <sheetPr codeName="Hoja32"/>
  <dimension ref="B3:I39"/>
  <sheetViews>
    <sheetView topLeftCell="A8" zoomScale="91" zoomScaleNormal="91" workbookViewId="0">
      <selection activeCell="L14" sqref="L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6</v>
      </c>
      <c r="E9" s="276" t="s">
        <v>10</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3.75" customHeight="1">
      <c r="B13" s="17">
        <v>6.4</v>
      </c>
      <c r="C13" s="283" t="s">
        <v>1919</v>
      </c>
      <c r="D13" s="284"/>
      <c r="E13" s="284"/>
      <c r="F13" s="285"/>
      <c r="G13" s="286" t="s">
        <v>2</v>
      </c>
      <c r="H13" s="286"/>
      <c r="I13" s="234">
        <v>62.423999999999999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170" t="s">
        <v>1267</v>
      </c>
      <c r="C19" s="307" t="str">
        <f>VLOOKUP(B19,'MAQUINARIA Y EQUIPOS  '!C7:F95,2,FALSE)</f>
        <v xml:space="preserve">Pluma grua </v>
      </c>
      <c r="D19" s="308"/>
      <c r="E19" s="171" t="str">
        <f>VLOOKUP(B19,'MAQUINARIA Y EQUIPOS  '!C7:F95,3,FALSE)</f>
        <v>HH</v>
      </c>
      <c r="F19" s="86">
        <f>VLOOKUP(B19,'MAQUINARIA Y EQUIPOS  '!C7:F95,4,FALSE)</f>
        <v>10500</v>
      </c>
      <c r="G19" s="92">
        <v>0.03</v>
      </c>
      <c r="H19" s="93">
        <f>F19/100</f>
        <v>105</v>
      </c>
      <c r="I19" s="287"/>
    </row>
    <row r="20" spans="2:9">
      <c r="B20" s="170" t="s">
        <v>347</v>
      </c>
      <c r="C20" s="307" t="str">
        <f>VLOOKUP(B20,'MAQUINARIA Y EQUIPOS  '!C8:F96,2,FALSE)</f>
        <v>Andamio (2cuerpo)</v>
      </c>
      <c r="D20" s="308"/>
      <c r="E20" s="171" t="str">
        <f>VLOOKUP(B20,'MAQUINARIA Y EQUIPOS  '!C8:F96,3,FALSE)</f>
        <v>DIA</v>
      </c>
      <c r="F20" s="86">
        <f>VLOOKUP(B20,'MAQUINARIA Y EQUIPOS  '!C8:F96,4,FALSE)</f>
        <v>10000</v>
      </c>
      <c r="G20" s="119">
        <v>0.25</v>
      </c>
      <c r="H20" s="93">
        <f>F20*G20</f>
        <v>2500</v>
      </c>
      <c r="I20" s="287"/>
    </row>
    <row r="21" spans="2:9" ht="12">
      <c r="B21" s="89"/>
      <c r="C21" s="89"/>
      <c r="D21" s="89"/>
      <c r="E21" s="89"/>
      <c r="F21" s="89"/>
      <c r="G21" s="89"/>
      <c r="H21" s="89" t="s">
        <v>64</v>
      </c>
      <c r="I21" s="90">
        <f>SUM(H18:H20)</f>
        <v>3676.4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1293</v>
      </c>
      <c r="C24" s="290" t="str">
        <f>VLOOKUP(B24,'INSUMOS '!C4:F530,2,FALSE)</f>
        <v>PINTURA PARA EXTERIORES  KORAZA</v>
      </c>
      <c r="D24" s="291"/>
      <c r="E24" s="97" t="str">
        <f>VLOOKUP(B24,'INSUMOS '!C4:F530,3,FALSE)</f>
        <v>GL</v>
      </c>
      <c r="F24" s="117">
        <f>VLOOKUP(B24,'INSUMOS '!C4:F530,4,FALSE)</f>
        <v>143380</v>
      </c>
      <c r="G24" s="92">
        <v>0.05</v>
      </c>
      <c r="H24" s="83">
        <f>+G24*F24</f>
        <v>7169</v>
      </c>
      <c r="I24" s="287"/>
    </row>
    <row r="25" spans="2:9">
      <c r="B25" s="71"/>
      <c r="C25" s="290"/>
      <c r="D25" s="291"/>
      <c r="E25" s="97"/>
      <c r="F25" s="117"/>
      <c r="G25" s="119"/>
      <c r="H25" s="83"/>
      <c r="I25" s="287"/>
    </row>
    <row r="26" spans="2:9" ht="12">
      <c r="B26" s="89"/>
      <c r="C26" s="89"/>
      <c r="D26" s="89"/>
      <c r="E26" s="89"/>
      <c r="F26" s="89"/>
      <c r="G26" s="258" t="s">
        <v>64</v>
      </c>
      <c r="H26" s="258"/>
      <c r="I26" s="85">
        <f>SUM(H24:H25)</f>
        <v>7169</v>
      </c>
    </row>
    <row r="27" spans="2:9" ht="12">
      <c r="B27" s="89"/>
      <c r="C27" s="89"/>
      <c r="D27" s="89"/>
      <c r="E27" s="89"/>
      <c r="F27" s="89"/>
      <c r="G27" s="99" t="s">
        <v>72</v>
      </c>
      <c r="H27" s="100">
        <v>0.05</v>
      </c>
      <c r="I27" s="120">
        <f>I26*H27</f>
        <v>358.45000000000005</v>
      </c>
    </row>
    <row r="28" spans="2:9" ht="12">
      <c r="B28" s="89"/>
      <c r="C28" s="89"/>
      <c r="D28" s="89"/>
      <c r="E28" s="89"/>
      <c r="F28" s="89"/>
      <c r="G28" s="258" t="s">
        <v>73</v>
      </c>
      <c r="H28" s="258"/>
      <c r="I28" s="90">
        <f>SUM(I26:I27)</f>
        <v>7527.45</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0.26200000000000001</v>
      </c>
      <c r="H36" s="94">
        <f>F36*G36*D36</f>
        <v>17341.125</v>
      </c>
      <c r="I36" s="294"/>
    </row>
    <row r="37" spans="2:9">
      <c r="B37" s="106"/>
      <c r="C37" s="106"/>
      <c r="D37" s="106"/>
      <c r="E37" s="106"/>
      <c r="F37" s="86"/>
      <c r="G37" s="121"/>
      <c r="H37" s="94"/>
      <c r="I37" s="294"/>
    </row>
    <row r="38" spans="2:9" ht="12">
      <c r="B38" s="108"/>
      <c r="C38" s="109"/>
      <c r="D38" s="109"/>
      <c r="E38" s="109"/>
      <c r="F38" s="110"/>
      <c r="G38" s="110"/>
      <c r="H38" s="111" t="s">
        <v>64</v>
      </c>
      <c r="I38" s="112">
        <f>SUM(H36:H37)</f>
        <v>17341.125</v>
      </c>
    </row>
    <row r="39" spans="2:9" ht="12">
      <c r="B39" s="295" t="s">
        <v>83</v>
      </c>
      <c r="C39" s="296"/>
      <c r="D39" s="297" t="s">
        <v>77</v>
      </c>
      <c r="E39" s="298"/>
      <c r="F39" s="298"/>
      <c r="G39" s="298"/>
      <c r="H39" s="299"/>
      <c r="I39" s="113">
        <f>SUM(I21+I33+I28+I38)</f>
        <v>28544.974999999999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F9B2-8C96-4ABD-817D-6060498F9DD5}">
  <sheetPr codeName="Hoja33">
    <pageSetUpPr fitToPage="1"/>
  </sheetPr>
  <dimension ref="B3:I41"/>
  <sheetViews>
    <sheetView topLeftCell="A17" zoomScale="91" zoomScaleNormal="91" zoomScaleSheetLayoutView="106" workbookViewId="0">
      <selection activeCell="P34" sqref="P3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6</v>
      </c>
      <c r="E9" s="276" t="s">
        <v>10</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0.75" customHeight="1">
      <c r="B13" s="17">
        <v>6.5</v>
      </c>
      <c r="C13" s="283" t="s">
        <v>1920</v>
      </c>
      <c r="D13" s="284"/>
      <c r="E13" s="284"/>
      <c r="F13" s="285"/>
      <c r="G13" s="286" t="s">
        <v>2</v>
      </c>
      <c r="H13" s="286"/>
      <c r="I13" s="17">
        <v>55.631999999999998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85">
        <f>F19*G19</f>
        <v>315</v>
      </c>
      <c r="I19" s="287"/>
    </row>
    <row r="20" spans="2:9">
      <c r="B20" s="71" t="s">
        <v>1779</v>
      </c>
      <c r="C20" s="288" t="s">
        <v>1780</v>
      </c>
      <c r="D20" s="265"/>
      <c r="E20" s="88" t="s">
        <v>328</v>
      </c>
      <c r="F20" s="86">
        <v>30000</v>
      </c>
      <c r="G20" s="92">
        <v>0.05</v>
      </c>
      <c r="H20" s="85">
        <f>+G20*F20</f>
        <v>1500</v>
      </c>
      <c r="I20" s="287"/>
    </row>
    <row r="21" spans="2:9">
      <c r="B21" s="71" t="s">
        <v>333</v>
      </c>
      <c r="C21" s="288" t="str">
        <f>VLOOKUP(B21,'MAQUINARIA Y EQUIPOS  '!C7:F95,2,FALSE)</f>
        <v xml:space="preserve">TRONZADORA </v>
      </c>
      <c r="D21" s="265"/>
      <c r="E21" s="88" t="str">
        <f>VLOOKUP(B21,'MAQUINARIA Y EQUIPOS  '!C7:F95,3,FALSE)</f>
        <v xml:space="preserve">DIA </v>
      </c>
      <c r="F21" s="86">
        <f>VLOOKUP(B21,'MAQUINARIA Y EQUIPOS  '!C7:F95,4,FALSE)</f>
        <v>60000</v>
      </c>
      <c r="G21" s="119">
        <v>8.3000000000000004E-2</v>
      </c>
      <c r="H21" s="85">
        <f t="shared" ref="H21" si="0">F21*G21</f>
        <v>4980</v>
      </c>
      <c r="I21" s="287"/>
    </row>
    <row r="22" spans="2:9" ht="12">
      <c r="B22" s="89"/>
      <c r="C22" s="89"/>
      <c r="D22" s="89"/>
      <c r="E22" s="89"/>
      <c r="F22" s="89"/>
      <c r="G22" s="89"/>
      <c r="H22" s="89" t="s">
        <v>64</v>
      </c>
      <c r="I22" s="90">
        <f>SUM(H18:H21)</f>
        <v>7866.4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1295</v>
      </c>
      <c r="C25" s="290" t="str">
        <f>VLOOKUP(B25,'INSUMOS '!C4:F530,2,FALSE)</f>
        <v>PANEL PVC DECORATIVO  16X240X2.2</v>
      </c>
      <c r="D25" s="291"/>
      <c r="E25" s="97" t="str">
        <f>VLOOKUP(B25,'INSUMOS '!C4:F530,3,FALSE)</f>
        <v xml:space="preserve">UND </v>
      </c>
      <c r="F25" s="117">
        <f>VLOOKUP(B25,'INSUMOS '!C4:F530,4,FALSE)</f>
        <v>30000</v>
      </c>
      <c r="G25" s="92">
        <v>2.6</v>
      </c>
      <c r="H25" s="83">
        <f>+G25*F25</f>
        <v>78000</v>
      </c>
      <c r="I25" s="287"/>
    </row>
    <row r="26" spans="2:9">
      <c r="B26" s="71" t="s">
        <v>1601</v>
      </c>
      <c r="C26" s="290" t="str">
        <f>VLOOKUP(B26,'INSUMOS '!C1:G948,2,FALSE)</f>
        <v>Adhesivo de poliuretano/silicona</v>
      </c>
      <c r="D26" s="291"/>
      <c r="E26" s="97" t="str">
        <f>VLOOKUP(B26,'INSUMOS '!C1:G948,3,FALSE)</f>
        <v xml:space="preserve">UND </v>
      </c>
      <c r="F26" s="98">
        <f>VLOOKUP(B26,'INSUMOS '!C1:G948,4,FALSE)</f>
        <v>37000</v>
      </c>
      <c r="G26" s="71">
        <v>0.45</v>
      </c>
      <c r="H26" s="83">
        <f>+G26*F26</f>
        <v>16650</v>
      </c>
      <c r="I26" s="287"/>
    </row>
    <row r="27" spans="2:9" ht="12">
      <c r="B27" s="71" t="s">
        <v>1777</v>
      </c>
      <c r="C27" s="290" t="str">
        <f>VLOOKUP(B27,'INSUMOS '!C2:G949,2,FALSE)</f>
        <v xml:space="preserve">Pegante para juntas </v>
      </c>
      <c r="D27" s="291"/>
      <c r="E27" s="97" t="str">
        <f>VLOOKUP(B27,'INSUMOS '!C2:G949,3,FALSE)</f>
        <v xml:space="preserve">und </v>
      </c>
      <c r="F27" s="98">
        <f>VLOOKUP(B27,'INSUMOS '!C2:G949,4,FALSE)</f>
        <v>34900</v>
      </c>
      <c r="G27" s="71">
        <v>0.15</v>
      </c>
      <c r="H27" s="83">
        <f>+G27*F27</f>
        <v>5235</v>
      </c>
      <c r="I27" s="77"/>
    </row>
    <row r="28" spans="2:9" ht="12">
      <c r="B28" s="71" t="s">
        <v>1603</v>
      </c>
      <c r="C28" s="290" t="str">
        <f>VLOOKUP(B28,'INSUMOS '!C2:G949,2,FALSE)</f>
        <v>Grapas/Clips de acero inoxidable</v>
      </c>
      <c r="D28" s="291"/>
      <c r="E28" s="97" t="str">
        <f>VLOOKUP(B28,'INSUMOS '!C2:G949,3,FALSE)</f>
        <v xml:space="preserve">UND </v>
      </c>
      <c r="F28" s="98">
        <f>VLOOKUP(B28,'INSUMOS '!C2:G949,4,FALSE)</f>
        <v>450</v>
      </c>
      <c r="G28" s="71">
        <v>11</v>
      </c>
      <c r="H28" s="83">
        <f>+G28*F28</f>
        <v>4950</v>
      </c>
      <c r="I28" s="85">
        <f>SUM(H25:H28)</f>
        <v>104835</v>
      </c>
    </row>
    <row r="29" spans="2:9" ht="12">
      <c r="B29" s="89"/>
      <c r="C29" s="89"/>
      <c r="D29" s="89"/>
      <c r="E29" s="89"/>
      <c r="F29" s="89"/>
      <c r="G29" s="99" t="s">
        <v>72</v>
      </c>
      <c r="H29" s="100">
        <v>0.05</v>
      </c>
      <c r="I29" s="120">
        <f>I28*H29</f>
        <v>5241.75</v>
      </c>
    </row>
    <row r="30" spans="2:9" ht="12">
      <c r="B30" s="89"/>
      <c r="C30" s="89"/>
      <c r="D30" s="89"/>
      <c r="E30" s="89"/>
      <c r="F30" s="89"/>
      <c r="G30" s="258" t="s">
        <v>73</v>
      </c>
      <c r="H30" s="258"/>
      <c r="I30" s="90">
        <f>SUM(I28:I29)</f>
        <v>110076.75</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1278</v>
      </c>
      <c r="H32" s="74" t="s">
        <v>61</v>
      </c>
      <c r="I32" s="300"/>
    </row>
    <row r="33" spans="2:9" ht="12">
      <c r="B33" s="70"/>
      <c r="C33" s="70"/>
      <c r="D33" s="75"/>
      <c r="E33" s="70"/>
      <c r="F33" s="70"/>
      <c r="G33" s="102"/>
      <c r="H33" s="103"/>
      <c r="I33" s="301"/>
    </row>
    <row r="34" spans="2:9">
      <c r="B34" s="71"/>
      <c r="C34" s="71"/>
      <c r="D34" s="82"/>
      <c r="E34" s="71"/>
      <c r="F34" s="71"/>
      <c r="G34" s="86"/>
      <c r="H34" s="86"/>
      <c r="I34" s="301"/>
    </row>
    <row r="35" spans="2:9" ht="12">
      <c r="B35" s="89"/>
      <c r="C35" s="89"/>
      <c r="D35" s="89"/>
      <c r="E35" s="89"/>
      <c r="F35" s="89"/>
      <c r="G35" s="302" t="s">
        <v>64</v>
      </c>
      <c r="H35" s="302"/>
      <c r="I35" s="104">
        <f>+H33</f>
        <v>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359</v>
      </c>
      <c r="C38" s="106" t="str">
        <f>+VLOOKUP(B38,'MANO DE OBRA '!B24:G47,2,FALSE)</f>
        <v xml:space="preserve"> Cuadrilla de construccion 2 (1 oficial+ 2 ayudante)</v>
      </c>
      <c r="D38" s="106">
        <v>1</v>
      </c>
      <c r="E38" s="106" t="str">
        <f>+VLOOKUP(B38,'MANO DE OBRA '!B24:G47,4,FALSE)</f>
        <v>Hora</v>
      </c>
      <c r="F38" s="86">
        <f>+VLOOKUP(B38,'MANO DE OBRA '!B24:G47,3,FALSE)</f>
        <v>66187.5</v>
      </c>
      <c r="G38" s="121">
        <v>0.48499999999999999</v>
      </c>
      <c r="H38" s="94">
        <f>F38*G38*D38</f>
        <v>32100.9375</v>
      </c>
      <c r="I38" s="294"/>
    </row>
    <row r="39" spans="2:9">
      <c r="B39" s="106"/>
      <c r="C39" s="106"/>
      <c r="D39" s="106"/>
      <c r="E39" s="106"/>
      <c r="F39" s="86"/>
      <c r="G39" s="121"/>
      <c r="H39" s="94"/>
      <c r="I39" s="294"/>
    </row>
    <row r="40" spans="2:9" ht="12">
      <c r="B40" s="108"/>
      <c r="C40" s="109"/>
      <c r="D40" s="109"/>
      <c r="E40" s="109"/>
      <c r="F40" s="110"/>
      <c r="G40" s="110"/>
      <c r="H40" s="111" t="s">
        <v>64</v>
      </c>
      <c r="I40" s="112">
        <f>SUM(H38:H39)</f>
        <v>32100.9375</v>
      </c>
    </row>
    <row r="41" spans="2:9" ht="12">
      <c r="B41" s="295" t="s">
        <v>83</v>
      </c>
      <c r="C41" s="296"/>
      <c r="D41" s="297" t="s">
        <v>77</v>
      </c>
      <c r="E41" s="298"/>
      <c r="F41" s="298"/>
      <c r="G41" s="298"/>
      <c r="H41" s="299"/>
      <c r="I41" s="113">
        <f>SUM(I22+I35+I30+I40)</f>
        <v>150044.08749999999</v>
      </c>
    </row>
  </sheetData>
  <mergeCells count="40">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41:C41"/>
    <mergeCell ref="D41:H41"/>
    <mergeCell ref="C24:D24"/>
    <mergeCell ref="I24:I26"/>
    <mergeCell ref="C25:D25"/>
    <mergeCell ref="C26:D26"/>
    <mergeCell ref="G30:H30"/>
    <mergeCell ref="C31:D31"/>
    <mergeCell ref="I32:I34"/>
    <mergeCell ref="G35:H35"/>
    <mergeCell ref="C36:D36"/>
    <mergeCell ref="I37:I39"/>
    <mergeCell ref="C28:D28"/>
    <mergeCell ref="C27:D27"/>
    <mergeCell ref="I17:I21"/>
    <mergeCell ref="C18:D18"/>
    <mergeCell ref="C19:D19"/>
    <mergeCell ref="C21:D21"/>
    <mergeCell ref="C23:D23"/>
    <mergeCell ref="C17:D17"/>
    <mergeCell ref="C20:D20"/>
  </mergeCells>
  <pageMargins left="0.25" right="0.25" top="0.75" bottom="0.75" header="0.3" footer="0.3"/>
  <pageSetup paperSize="9" scale="54" orientation="portrait" horizontalDpi="360" verticalDpi="360" r:id="rId1"/>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5BF1-20B9-4712-AA94-37E64087BF45}">
  <sheetPr codeName="Hoja20"/>
  <dimension ref="B3:N42"/>
  <sheetViews>
    <sheetView workbookViewId="0">
      <selection activeCell="K15" sqref="K15"/>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4.69921875" style="11" customWidth="1"/>
    <col min="7" max="7" width="17.09765625" style="11" customWidth="1"/>
    <col min="8" max="8" width="20.69921875" style="11" customWidth="1"/>
    <col min="9" max="9" width="13.09765625" style="11" customWidth="1"/>
    <col min="10" max="16384" width="11.3984375" style="11"/>
  </cols>
  <sheetData>
    <row r="3" spans="2:9">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5.5" customHeight="1">
      <c r="B13" s="17" t="e">
        <f>+#REF!</f>
        <v>#REF!</v>
      </c>
      <c r="C13" s="283" t="s">
        <v>1885</v>
      </c>
      <c r="D13" s="284"/>
      <c r="E13" s="284"/>
      <c r="F13" s="285"/>
      <c r="G13" s="286" t="s">
        <v>2</v>
      </c>
      <c r="H13" s="286"/>
      <c r="I13" s="13">
        <v>62.838999999999992</v>
      </c>
    </row>
    <row r="14" spans="2:9" ht="12">
      <c r="B14" s="70"/>
      <c r="C14" s="286"/>
      <c r="D14" s="286"/>
      <c r="E14" s="286"/>
      <c r="F14" s="286" t="s">
        <v>55</v>
      </c>
      <c r="G14" s="286"/>
      <c r="H14" s="286"/>
      <c r="I14" s="76" t="s">
        <v>63</v>
      </c>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347</v>
      </c>
      <c r="C19" s="288" t="str">
        <f>VLOOKUP(B19,'MAQUINARIA Y EQUIPOS  '!C7:F95,2,FALSE)</f>
        <v>Andamio (2cuerpo)</v>
      </c>
      <c r="D19" s="265"/>
      <c r="E19" s="71" t="str">
        <f>VLOOKUP(B19,'MAQUINARIA Y EQUIPOS  '!C7:F95,3,FALSE)</f>
        <v>DIA</v>
      </c>
      <c r="F19" s="86">
        <f>VLOOKUP(B19,'MAQUINARIA Y EQUIPOS  '!C7:F95,4,FALSE)</f>
        <v>10000</v>
      </c>
      <c r="G19" s="87">
        <v>0.02</v>
      </c>
      <c r="H19" s="85">
        <f>+F19*G19</f>
        <v>200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0.08</v>
      </c>
      <c r="H20" s="85">
        <f>+F20*G20</f>
        <v>840</v>
      </c>
      <c r="I20" s="287"/>
    </row>
    <row r="21" spans="2:9">
      <c r="B21" s="71" t="s">
        <v>329</v>
      </c>
      <c r="C21" s="258" t="str">
        <f>VLOOKUP(B21,'MAQUINARIA Y EQUIPOS  '!C7:F95,2,FALSE)</f>
        <v>HIDROLAVADORA</v>
      </c>
      <c r="D21" s="258"/>
      <c r="E21" s="88" t="str">
        <f>VLOOKUP(B21,'MAQUINARIA Y EQUIPOS  '!C7:F95,3,FALSE)</f>
        <v>DIA</v>
      </c>
      <c r="F21" s="86">
        <f>VLOOKUP(B21,'MAQUINARIA Y EQUIPOS  '!C7:F95,4,FALSE)</f>
        <v>130000</v>
      </c>
      <c r="G21" s="71">
        <v>0.02</v>
      </c>
      <c r="H21" s="93">
        <f>F21*G21</f>
        <v>2600</v>
      </c>
      <c r="I21" s="287"/>
    </row>
    <row r="22" spans="2:9" ht="12">
      <c r="B22" s="89"/>
      <c r="C22" s="89"/>
      <c r="D22" s="89"/>
      <c r="E22" s="89"/>
      <c r="F22" s="89"/>
      <c r="G22" s="89"/>
      <c r="H22" s="89" t="s">
        <v>64</v>
      </c>
      <c r="I22" s="90">
        <f>SUM(H18:H21)</f>
        <v>4711.3999999999996</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1577</v>
      </c>
      <c r="C25" s="290" t="str">
        <f>VLOOKUP(B25,'INSUMOS '!C3:G950,2,FALSE)</f>
        <v xml:space="preserve">Jabon industrial desengrasante </v>
      </c>
      <c r="D25" s="291"/>
      <c r="E25" s="97" t="str">
        <f>VLOOKUP(B25,'INSUMOS '!C3:G950,3,FALSE)</f>
        <v xml:space="preserve">galon </v>
      </c>
      <c r="F25" s="98">
        <f>VLOOKUP(B25,'INSUMOS '!C3:G950,4,FALSE)</f>
        <v>50000</v>
      </c>
      <c r="G25" s="71">
        <v>0.02</v>
      </c>
      <c r="H25" s="83">
        <f>+G25*F25</f>
        <v>1000</v>
      </c>
      <c r="I25" s="287"/>
    </row>
    <row r="26" spans="2:9">
      <c r="B26" s="71" t="s">
        <v>183</v>
      </c>
      <c r="C26" s="290" t="str">
        <f>VLOOKUP(B26,'INSUMOS '!C4:G951,2,FALSE)</f>
        <v>AGUA</v>
      </c>
      <c r="D26" s="291"/>
      <c r="E26" s="97" t="str">
        <f>VLOOKUP(B26,'INSUMOS '!C4:G951,3,FALSE)</f>
        <v>L</v>
      </c>
      <c r="F26" s="98">
        <f>VLOOKUP(B26,'INSUMOS '!C4:G951,4,FALSE)</f>
        <v>473</v>
      </c>
      <c r="G26" s="71">
        <v>0.12</v>
      </c>
      <c r="H26" s="83">
        <f>+G26*F26</f>
        <v>56.76</v>
      </c>
      <c r="I26" s="287"/>
    </row>
    <row r="27" spans="2:9">
      <c r="B27" s="71"/>
      <c r="C27" s="292"/>
      <c r="D27" s="293"/>
      <c r="E27" s="91"/>
      <c r="F27" s="94"/>
      <c r="G27" s="92"/>
      <c r="H27" s="83"/>
      <c r="I27" s="287"/>
    </row>
    <row r="28" spans="2:9">
      <c r="B28" s="71"/>
      <c r="C28" s="292"/>
      <c r="D28" s="293"/>
      <c r="E28" s="91"/>
      <c r="F28" s="94"/>
      <c r="G28" s="92"/>
      <c r="H28" s="83"/>
      <c r="I28" s="287"/>
    </row>
    <row r="29" spans="2:9" ht="12">
      <c r="B29" s="89"/>
      <c r="C29" s="89"/>
      <c r="D29" s="89"/>
      <c r="E29" s="89"/>
      <c r="F29" s="89"/>
      <c r="G29" s="258" t="s">
        <v>64</v>
      </c>
      <c r="H29" s="258"/>
      <c r="I29" s="85">
        <f>SUM(H25:H28)</f>
        <v>1056.76</v>
      </c>
    </row>
    <row r="30" spans="2:9" ht="12">
      <c r="B30" s="89"/>
      <c r="C30" s="89"/>
      <c r="D30" s="89"/>
      <c r="E30" s="89"/>
      <c r="F30" s="89"/>
      <c r="G30" s="99" t="s">
        <v>72</v>
      </c>
      <c r="H30" s="100">
        <v>0.05</v>
      </c>
      <c r="I30" s="101">
        <f>I29*H30</f>
        <v>52.838000000000001</v>
      </c>
    </row>
    <row r="31" spans="2:9" ht="12">
      <c r="B31" s="89"/>
      <c r="C31" s="89"/>
      <c r="D31" s="89"/>
      <c r="E31" s="89"/>
      <c r="F31" s="89"/>
      <c r="G31" s="258" t="s">
        <v>73</v>
      </c>
      <c r="H31" s="258"/>
      <c r="I31" s="90">
        <f>SUM(I29:I30)</f>
        <v>1109.598</v>
      </c>
    </row>
    <row r="32" spans="2:9" ht="12">
      <c r="B32" s="78"/>
      <c r="C32" s="289" t="s">
        <v>74</v>
      </c>
      <c r="D32" s="289"/>
      <c r="E32" s="78"/>
      <c r="F32" s="78"/>
      <c r="G32" s="78"/>
      <c r="H32" s="78"/>
      <c r="I32" s="79"/>
    </row>
    <row r="33" spans="2:14" ht="12">
      <c r="B33" s="70" t="s">
        <v>42</v>
      </c>
      <c r="C33" s="70" t="s">
        <v>58</v>
      </c>
      <c r="D33" s="70" t="s">
        <v>342</v>
      </c>
      <c r="E33" s="70" t="s">
        <v>343</v>
      </c>
      <c r="F33" s="70" t="s">
        <v>344</v>
      </c>
      <c r="G33" s="70" t="s">
        <v>345</v>
      </c>
      <c r="H33" s="74" t="s">
        <v>61</v>
      </c>
      <c r="I33" s="300"/>
    </row>
    <row r="34" spans="2:14" ht="12">
      <c r="B34" s="70"/>
      <c r="C34" s="70"/>
      <c r="D34" s="75"/>
      <c r="E34" s="70"/>
      <c r="F34" s="70"/>
      <c r="G34" s="102"/>
      <c r="H34" s="103"/>
      <c r="I34" s="301"/>
    </row>
    <row r="35" spans="2:14">
      <c r="B35" s="71"/>
      <c r="C35" s="71"/>
      <c r="D35" s="82"/>
      <c r="E35" s="71"/>
      <c r="F35" s="71"/>
      <c r="G35" s="86"/>
      <c r="H35" s="86"/>
      <c r="I35" s="301"/>
      <c r="M35" s="11" t="s">
        <v>339</v>
      </c>
    </row>
    <row r="36" spans="2:14" ht="12">
      <c r="B36" s="89"/>
      <c r="C36" s="89"/>
      <c r="D36" s="89"/>
      <c r="E36" s="89"/>
      <c r="F36" s="89"/>
      <c r="G36" s="302" t="s">
        <v>64</v>
      </c>
      <c r="H36" s="302"/>
      <c r="I36" s="104">
        <f>+H34</f>
        <v>0</v>
      </c>
      <c r="M36" s="11" t="s">
        <v>340</v>
      </c>
      <c r="N36" s="11">
        <v>11000</v>
      </c>
    </row>
    <row r="37" spans="2:14" ht="12">
      <c r="B37" s="78"/>
      <c r="C37" s="289" t="s">
        <v>75</v>
      </c>
      <c r="D37" s="289"/>
      <c r="E37" s="78"/>
      <c r="F37" s="78"/>
      <c r="G37" s="78"/>
      <c r="H37" s="78"/>
      <c r="I37" s="79"/>
    </row>
    <row r="38" spans="2:14" ht="12">
      <c r="B38" s="105" t="s">
        <v>42</v>
      </c>
      <c r="C38" s="105" t="s">
        <v>76</v>
      </c>
      <c r="D38" s="105" t="s">
        <v>1220</v>
      </c>
      <c r="E38" s="105" t="s">
        <v>1</v>
      </c>
      <c r="F38" s="105" t="s">
        <v>77</v>
      </c>
      <c r="G38" s="105" t="s">
        <v>78</v>
      </c>
      <c r="H38" s="105" t="s">
        <v>79</v>
      </c>
      <c r="I38" s="294"/>
    </row>
    <row r="39" spans="2:14" ht="22.8">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07">
        <v>0.25</v>
      </c>
      <c r="H39" s="94">
        <f>F39*G39*D39</f>
        <v>16546.875</v>
      </c>
      <c r="I39" s="294"/>
    </row>
    <row r="40" spans="2:14">
      <c r="B40" s="106"/>
      <c r="C40" s="106"/>
      <c r="D40" s="106"/>
      <c r="E40" s="106"/>
      <c r="F40" s="86"/>
      <c r="G40" s="107"/>
      <c r="H40" s="94"/>
      <c r="I40" s="294"/>
    </row>
    <row r="41" spans="2:14" ht="12">
      <c r="B41" s="108"/>
      <c r="C41" s="109"/>
      <c r="D41" s="109"/>
      <c r="E41" s="109"/>
      <c r="F41" s="110"/>
      <c r="G41" s="110"/>
      <c r="H41" s="111" t="s">
        <v>64</v>
      </c>
      <c r="I41" s="112">
        <f>SUM(H39:H40)</f>
        <v>16546.875</v>
      </c>
    </row>
    <row r="42" spans="2:14" ht="12">
      <c r="B42" s="295" t="s">
        <v>83</v>
      </c>
      <c r="C42" s="296"/>
      <c r="D42" s="297" t="s">
        <v>77</v>
      </c>
      <c r="E42" s="298"/>
      <c r="F42" s="298"/>
      <c r="G42" s="298"/>
      <c r="H42" s="299"/>
      <c r="I42" s="113">
        <f>SUM(I22+I36+I31+I41)</f>
        <v>22367.873</v>
      </c>
    </row>
  </sheetData>
  <mergeCells count="41">
    <mergeCell ref="I38:I40"/>
    <mergeCell ref="B42:C42"/>
    <mergeCell ref="D42:H42"/>
    <mergeCell ref="G29:H29"/>
    <mergeCell ref="G31:H31"/>
    <mergeCell ref="C32:D32"/>
    <mergeCell ref="I33:I35"/>
    <mergeCell ref="G36:H36"/>
    <mergeCell ref="C37:D37"/>
    <mergeCell ref="C23:D23"/>
    <mergeCell ref="C24:D24"/>
    <mergeCell ref="I24:I28"/>
    <mergeCell ref="C25:D25"/>
    <mergeCell ref="C26:D26"/>
    <mergeCell ref="C27:D27"/>
    <mergeCell ref="C28:D28"/>
    <mergeCell ref="C17:D17"/>
    <mergeCell ref="I17:I21"/>
    <mergeCell ref="C18:D18"/>
    <mergeCell ref="C19:D19"/>
    <mergeCell ref="C20:D20"/>
    <mergeCell ref="C21:D21"/>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A06E4-73F1-4391-B5B5-C57384AF488C}">
  <sheetPr codeName="Hoja84">
    <pageSetUpPr fitToPage="1"/>
  </sheetPr>
  <dimension ref="B3:I43"/>
  <sheetViews>
    <sheetView topLeftCell="A29" zoomScale="91" zoomScaleNormal="91" zoomScaleSheetLayoutView="98" workbookViewId="0">
      <selection activeCell="L26" sqref="L26"/>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6</v>
      </c>
      <c r="E9" s="276" t="s">
        <v>10</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7" customHeight="1">
      <c r="B13" s="17">
        <v>6.6</v>
      </c>
      <c r="C13" s="283" t="s">
        <v>1921</v>
      </c>
      <c r="D13" s="284"/>
      <c r="E13" s="284"/>
      <c r="F13" s="285"/>
      <c r="G13" s="286" t="s">
        <v>2</v>
      </c>
      <c r="H13" s="286"/>
      <c r="I13" s="17">
        <v>8.2359999999999989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85">
        <f>F19*G19</f>
        <v>315</v>
      </c>
      <c r="I19" s="287"/>
    </row>
    <row r="20" spans="2:9">
      <c r="B20" s="71" t="s">
        <v>347</v>
      </c>
      <c r="C20" s="288" t="str">
        <f>VLOOKUP(B20,'MAQUINARIA Y EQUIPOS  '!C7:F95,2,FALSE)</f>
        <v>Andamio (2cuerpo)</v>
      </c>
      <c r="D20" s="265"/>
      <c r="E20" s="88" t="str">
        <f>VLOOKUP(B20,'MAQUINARIA Y EQUIPOS  '!C7:F95,3,FALSE)</f>
        <v>DIA</v>
      </c>
      <c r="F20" s="86">
        <f>VLOOKUP(B20,'MAQUINARIA Y EQUIPOS  '!C7:F95,4,FALSE)</f>
        <v>10000</v>
      </c>
      <c r="G20" s="119">
        <v>0.1</v>
      </c>
      <c r="H20" s="85">
        <f t="shared" ref="H20" si="0">F20*G20</f>
        <v>1000</v>
      </c>
      <c r="I20" s="287"/>
    </row>
    <row r="21" spans="2:9">
      <c r="B21" s="71" t="s">
        <v>1779</v>
      </c>
      <c r="C21" s="288" t="s">
        <v>1780</v>
      </c>
      <c r="D21" s="265"/>
      <c r="E21" s="88" t="s">
        <v>328</v>
      </c>
      <c r="F21" s="86">
        <v>30000</v>
      </c>
      <c r="G21" s="92">
        <v>0.05</v>
      </c>
      <c r="H21" s="85">
        <f>+G21*F21</f>
        <v>1500</v>
      </c>
      <c r="I21" s="287"/>
    </row>
    <row r="22" spans="2:9">
      <c r="B22" s="71" t="s">
        <v>333</v>
      </c>
      <c r="C22" s="288" t="str">
        <f>VLOOKUP(B22,'MAQUINARIA Y EQUIPOS  '!C8:F96,2,FALSE)</f>
        <v xml:space="preserve">TRONZADORA </v>
      </c>
      <c r="D22" s="265"/>
      <c r="E22" s="88" t="str">
        <f>VLOOKUP(B22,'MAQUINARIA Y EQUIPOS  '!C8:F96,3,FALSE)</f>
        <v xml:space="preserve">DIA </v>
      </c>
      <c r="F22" s="86">
        <f>VLOOKUP(B22,'MAQUINARIA Y EQUIPOS  '!C8:F96,4,FALSE)</f>
        <v>60000</v>
      </c>
      <c r="G22" s="119">
        <v>8.3000000000000004E-2</v>
      </c>
      <c r="H22" s="85">
        <f t="shared" ref="H22" si="1">F22*G22</f>
        <v>4980</v>
      </c>
      <c r="I22" s="287"/>
    </row>
    <row r="23" spans="2:9" ht="12">
      <c r="B23" s="89"/>
      <c r="C23" s="89"/>
      <c r="D23" s="89"/>
      <c r="E23" s="89"/>
      <c r="F23" s="89"/>
      <c r="G23" s="89"/>
      <c r="H23" s="89" t="s">
        <v>64</v>
      </c>
      <c r="I23" s="90">
        <f>SUM(H18:H22)</f>
        <v>8866.4</v>
      </c>
    </row>
    <row r="24" spans="2:9" ht="12">
      <c r="B24" s="78"/>
      <c r="C24" s="289" t="s">
        <v>65</v>
      </c>
      <c r="D24" s="289"/>
      <c r="E24" s="78"/>
      <c r="F24" s="78"/>
      <c r="G24" s="78"/>
      <c r="H24" s="78"/>
      <c r="I24" s="79"/>
    </row>
    <row r="25" spans="2:9" ht="12">
      <c r="B25" s="70" t="s">
        <v>42</v>
      </c>
      <c r="C25" s="286" t="s">
        <v>58</v>
      </c>
      <c r="D25" s="286"/>
      <c r="E25" s="70" t="s">
        <v>1</v>
      </c>
      <c r="F25" s="80" t="s">
        <v>66</v>
      </c>
      <c r="G25" s="70" t="s">
        <v>67</v>
      </c>
      <c r="H25" s="70" t="s">
        <v>61</v>
      </c>
      <c r="I25" s="287"/>
    </row>
    <row r="26" spans="2:9">
      <c r="B26" s="71" t="s">
        <v>1599</v>
      </c>
      <c r="C26" s="290" t="str">
        <f>VLOOKUP(B26,'INSUMOS '!C2:G949,2,FALSE)</f>
        <v>Panel de listones WPC madera</v>
      </c>
      <c r="D26" s="291"/>
      <c r="E26" s="97" t="str">
        <f>VLOOKUP(B26,'INSUMOS '!C2:G949,3,FALSE)</f>
        <v>UND</v>
      </c>
      <c r="F26" s="98">
        <f>VLOOKUP(B26,'INSUMOS '!C2:G949,4,FALSE)</f>
        <v>190000</v>
      </c>
      <c r="G26" s="71">
        <v>0.72</v>
      </c>
      <c r="H26" s="83">
        <f>+G26*F26</f>
        <v>136800</v>
      </c>
      <c r="I26" s="287"/>
    </row>
    <row r="27" spans="2:9">
      <c r="B27" s="71" t="s">
        <v>1777</v>
      </c>
      <c r="C27" s="290" t="str">
        <f>VLOOKUP(B27,'INSUMOS '!C2:G949,2,FALSE)</f>
        <v xml:space="preserve">Pegante para juntas </v>
      </c>
      <c r="D27" s="291"/>
      <c r="E27" s="97" t="str">
        <f>VLOOKUP(B27,'INSUMOS '!C2:G949,3,FALSE)</f>
        <v xml:space="preserve">und </v>
      </c>
      <c r="F27" s="98">
        <f>VLOOKUP(B27,'INSUMOS '!C2:G949,4,FALSE)</f>
        <v>34900</v>
      </c>
      <c r="G27" s="71">
        <v>0.15</v>
      </c>
      <c r="H27" s="83">
        <f>+G27*F27</f>
        <v>5235</v>
      </c>
      <c r="I27" s="287"/>
    </row>
    <row r="28" spans="2:9">
      <c r="B28" s="71" t="s">
        <v>1601</v>
      </c>
      <c r="C28" s="290" t="str">
        <f>VLOOKUP(B28,'INSUMOS '!C2:G949,2,FALSE)</f>
        <v>Adhesivo de poliuretano/silicona</v>
      </c>
      <c r="D28" s="291"/>
      <c r="E28" s="97" t="str">
        <f>VLOOKUP(B28,'INSUMOS '!C2:G949,3,FALSE)</f>
        <v xml:space="preserve">UND </v>
      </c>
      <c r="F28" s="98">
        <f>VLOOKUP(B28,'INSUMOS '!C2:G949,4,FALSE)</f>
        <v>37000</v>
      </c>
      <c r="G28" s="71">
        <v>0.25</v>
      </c>
      <c r="H28" s="83">
        <f>+G28*F28</f>
        <v>9250</v>
      </c>
      <c r="I28" s="287"/>
    </row>
    <row r="29" spans="2:9">
      <c r="B29" s="71" t="s">
        <v>1603</v>
      </c>
      <c r="C29" s="290" t="str">
        <f>VLOOKUP(B29,'INSUMOS '!C3:G950,2,FALSE)</f>
        <v>Grapas/Clips de acero inoxidable</v>
      </c>
      <c r="D29" s="291"/>
      <c r="E29" s="97" t="str">
        <f>VLOOKUP(B29,'INSUMOS '!C3:G950,3,FALSE)</f>
        <v xml:space="preserve">UND </v>
      </c>
      <c r="F29" s="98">
        <f>VLOOKUP(B29,'INSUMOS '!C3:G950,4,FALSE)</f>
        <v>450</v>
      </c>
      <c r="G29" s="71">
        <v>8</v>
      </c>
      <c r="H29" s="83">
        <f>+G29*F29</f>
        <v>3600</v>
      </c>
      <c r="I29" s="287"/>
    </row>
    <row r="30" spans="2:9" ht="12">
      <c r="B30" s="89"/>
      <c r="C30" s="89"/>
      <c r="D30" s="89"/>
      <c r="E30" s="89"/>
      <c r="F30" s="89"/>
      <c r="G30" s="258" t="s">
        <v>64</v>
      </c>
      <c r="H30" s="258"/>
      <c r="I30" s="85">
        <f>SUM(H26:H29)</f>
        <v>154885</v>
      </c>
    </row>
    <row r="31" spans="2:9" ht="12">
      <c r="B31" s="89"/>
      <c r="C31" s="89"/>
      <c r="D31" s="89"/>
      <c r="E31" s="89"/>
      <c r="F31" s="89"/>
      <c r="G31" s="99" t="s">
        <v>72</v>
      </c>
      <c r="H31" s="100">
        <v>0.05</v>
      </c>
      <c r="I31" s="120">
        <f>I30*H31</f>
        <v>7744.25</v>
      </c>
    </row>
    <row r="32" spans="2:9" ht="12">
      <c r="B32" s="89"/>
      <c r="C32" s="89"/>
      <c r="D32" s="89"/>
      <c r="E32" s="89"/>
      <c r="F32" s="89"/>
      <c r="G32" s="258" t="s">
        <v>73</v>
      </c>
      <c r="H32" s="258"/>
      <c r="I32" s="90">
        <f>SUM(I30:I31)</f>
        <v>162629.25</v>
      </c>
    </row>
    <row r="33" spans="2:9" ht="12">
      <c r="B33" s="78"/>
      <c r="C33" s="289" t="s">
        <v>74</v>
      </c>
      <c r="D33" s="289"/>
      <c r="E33" s="78"/>
      <c r="F33" s="78"/>
      <c r="G33" s="78"/>
      <c r="H33" s="78"/>
      <c r="I33" s="79"/>
    </row>
    <row r="34" spans="2:9" ht="12">
      <c r="B34" s="70" t="s">
        <v>42</v>
      </c>
      <c r="C34" s="70" t="s">
        <v>58</v>
      </c>
      <c r="D34" s="70" t="s">
        <v>342</v>
      </c>
      <c r="E34" s="70" t="s">
        <v>343</v>
      </c>
      <c r="F34" s="70" t="s">
        <v>344</v>
      </c>
      <c r="G34" s="70" t="s">
        <v>1278</v>
      </c>
      <c r="H34" s="74" t="s">
        <v>61</v>
      </c>
      <c r="I34" s="300"/>
    </row>
    <row r="35" spans="2:9" ht="12">
      <c r="B35" s="70"/>
      <c r="C35" s="70"/>
      <c r="D35" s="75"/>
      <c r="E35" s="70"/>
      <c r="F35" s="70"/>
      <c r="G35" s="102"/>
      <c r="H35" s="103"/>
      <c r="I35" s="301"/>
    </row>
    <row r="36" spans="2:9">
      <c r="B36" s="71"/>
      <c r="C36" s="71"/>
      <c r="D36" s="82"/>
      <c r="E36" s="71"/>
      <c r="F36" s="71"/>
      <c r="G36" s="86"/>
      <c r="H36" s="86"/>
      <c r="I36" s="301"/>
    </row>
    <row r="37" spans="2:9" ht="12">
      <c r="B37" s="89"/>
      <c r="C37" s="89"/>
      <c r="D37" s="89"/>
      <c r="E37" s="89"/>
      <c r="F37" s="89"/>
      <c r="G37" s="302" t="s">
        <v>64</v>
      </c>
      <c r="H37" s="302"/>
      <c r="I37" s="104">
        <f>+H35</f>
        <v>0</v>
      </c>
    </row>
    <row r="38" spans="2:9" ht="12">
      <c r="B38" s="78"/>
      <c r="C38" s="289" t="s">
        <v>75</v>
      </c>
      <c r="D38" s="289"/>
      <c r="E38" s="78"/>
      <c r="F38" s="78"/>
      <c r="G38" s="78"/>
      <c r="H38" s="78"/>
      <c r="I38" s="79"/>
    </row>
    <row r="39" spans="2:9" ht="12">
      <c r="B39" s="105" t="s">
        <v>42</v>
      </c>
      <c r="C39" s="105" t="s">
        <v>76</v>
      </c>
      <c r="D39" s="105" t="s">
        <v>1225</v>
      </c>
      <c r="E39" s="105" t="s">
        <v>1</v>
      </c>
      <c r="F39" s="105" t="s">
        <v>77</v>
      </c>
      <c r="G39" s="105" t="s">
        <v>78</v>
      </c>
      <c r="H39" s="105" t="s">
        <v>79</v>
      </c>
      <c r="I39" s="294"/>
    </row>
    <row r="40" spans="2:9" ht="30" customHeight="1">
      <c r="B40" s="106" t="s">
        <v>371</v>
      </c>
      <c r="C40" s="106" t="str">
        <f>+VLOOKUP(B40,'MANO DE OBRA '!B24:G47,2,FALSE)</f>
        <v>Cuadrilla CC Acabados (1 oficial + 1 ayudante)</v>
      </c>
      <c r="D40" s="106">
        <v>1</v>
      </c>
      <c r="E40" s="106" t="str">
        <f>+VLOOKUP(B40,'MANO DE OBRA '!B24:G47,4,FALSE)</f>
        <v>Hora</v>
      </c>
      <c r="F40" s="86">
        <f>+VLOOKUP(B40,'MANO DE OBRA '!B24:G47,3,FALSE)</f>
        <v>55703.125</v>
      </c>
      <c r="G40" s="121">
        <v>0.4</v>
      </c>
      <c r="H40" s="94">
        <f>F40*G40*D40</f>
        <v>22281.25</v>
      </c>
      <c r="I40" s="294"/>
    </row>
    <row r="41" spans="2:9">
      <c r="B41" s="106"/>
      <c r="C41" s="106"/>
      <c r="D41" s="106"/>
      <c r="E41" s="106"/>
      <c r="F41" s="86"/>
      <c r="G41" s="121"/>
      <c r="H41" s="94"/>
      <c r="I41" s="294"/>
    </row>
    <row r="42" spans="2:9" ht="12">
      <c r="B42" s="108"/>
      <c r="C42" s="109"/>
      <c r="D42" s="109"/>
      <c r="E42" s="109"/>
      <c r="F42" s="110"/>
      <c r="G42" s="110"/>
      <c r="H42" s="111" t="s">
        <v>64</v>
      </c>
      <c r="I42" s="112">
        <f>SUM(H40:H41)</f>
        <v>22281.25</v>
      </c>
    </row>
    <row r="43" spans="2:9" ht="12">
      <c r="B43" s="295" t="s">
        <v>83</v>
      </c>
      <c r="C43" s="296"/>
      <c r="D43" s="297" t="s">
        <v>77</v>
      </c>
      <c r="E43" s="298"/>
      <c r="F43" s="298"/>
      <c r="G43" s="298"/>
      <c r="H43" s="299"/>
      <c r="I43" s="113">
        <f>SUM(I23+I37+I32+I42)</f>
        <v>193776.9</v>
      </c>
    </row>
  </sheetData>
  <mergeCells count="42">
    <mergeCell ref="I17:I22"/>
    <mergeCell ref="C18:D18"/>
    <mergeCell ref="C19:D19"/>
    <mergeCell ref="C22:D22"/>
    <mergeCell ref="C24:D24"/>
    <mergeCell ref="C20:D20"/>
    <mergeCell ref="C17:D17"/>
    <mergeCell ref="C21:D21"/>
    <mergeCell ref="B43:C43"/>
    <mergeCell ref="D43:H43"/>
    <mergeCell ref="C25:D25"/>
    <mergeCell ref="I25:I29"/>
    <mergeCell ref="C26:D26"/>
    <mergeCell ref="C29:D29"/>
    <mergeCell ref="G30:H30"/>
    <mergeCell ref="G32:H32"/>
    <mergeCell ref="C28:D28"/>
    <mergeCell ref="C33:D33"/>
    <mergeCell ref="I34:I36"/>
    <mergeCell ref="G37:H37"/>
    <mergeCell ref="C38:D38"/>
    <mergeCell ref="I39:I41"/>
    <mergeCell ref="C27:D2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25" right="0.25" top="0.75" bottom="0.75" header="0.3" footer="0.3"/>
  <pageSetup paperSize="9" scale="78" orientation="landscape" horizontalDpi="360" verticalDpi="360" r:id="rId1"/>
  <colBreaks count="1" manualBreakCount="1">
    <brk id="10"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7A5BD-1532-4D6E-A038-4A44DE1FF61C}">
  <sheetPr codeName="Hoja34"/>
  <dimension ref="B3:I39"/>
  <sheetViews>
    <sheetView topLeftCell="A13" zoomScale="91" zoomScaleNormal="91" workbookViewId="0">
      <selection activeCell="J42" sqref="J4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9.25" customHeight="1">
      <c r="B13" s="17">
        <v>7.1</v>
      </c>
      <c r="C13" s="283" t="s">
        <v>1922</v>
      </c>
      <c r="D13" s="284"/>
      <c r="E13" s="284"/>
      <c r="F13" s="285"/>
      <c r="G13" s="286" t="s">
        <v>2</v>
      </c>
      <c r="H13" s="286"/>
      <c r="I13" s="114">
        <v>50.6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1553</v>
      </c>
      <c r="D24" s="291"/>
      <c r="E24" s="97" t="s">
        <v>170</v>
      </c>
      <c r="F24" s="117">
        <v>2553705.1</v>
      </c>
      <c r="G24" s="92">
        <v>1</v>
      </c>
      <c r="H24" s="83">
        <f>+G24*F24</f>
        <v>2553705.1</v>
      </c>
      <c r="I24" s="287"/>
    </row>
    <row r="25" spans="2:9">
      <c r="B25" s="71"/>
      <c r="C25" s="290"/>
      <c r="D25" s="291"/>
      <c r="E25" s="97"/>
      <c r="F25" s="117"/>
      <c r="G25" s="119"/>
      <c r="H25" s="83"/>
      <c r="I25" s="287"/>
    </row>
    <row r="26" spans="2:9" ht="12">
      <c r="B26" s="89"/>
      <c r="C26" s="89"/>
      <c r="D26" s="89"/>
      <c r="E26" s="89"/>
      <c r="F26" s="89"/>
      <c r="G26" s="258" t="s">
        <v>64</v>
      </c>
      <c r="H26" s="258"/>
      <c r="I26" s="85">
        <f>SUM(H24:H25)</f>
        <v>2553705.1</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2553705.1</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2584004</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47EC-BB90-48A5-A129-69E177BB76B3}">
  <sheetPr codeName="Hoja35"/>
  <dimension ref="B3:I39"/>
  <sheetViews>
    <sheetView topLeftCell="A18" zoomScale="91" zoomScaleNormal="91" workbookViewId="0">
      <selection activeCell="J35" sqref="J3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3.25" customHeight="1">
      <c r="B13" s="17">
        <v>7.2</v>
      </c>
      <c r="C13" s="283" t="s">
        <v>1923</v>
      </c>
      <c r="D13" s="284"/>
      <c r="E13" s="284"/>
      <c r="F13" s="285"/>
      <c r="G13" s="286" t="s">
        <v>2</v>
      </c>
      <c r="H13" s="286"/>
      <c r="I13" s="114">
        <v>76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124" t="s">
        <v>1267</v>
      </c>
      <c r="C19" s="309" t="str">
        <f>VLOOKUP(B19,'MAQUINARIA Y EQUIPOS  '!C7:F95,2,FALSE)</f>
        <v xml:space="preserve">Pluma grua </v>
      </c>
      <c r="D19" s="310"/>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1554</v>
      </c>
      <c r="D24" s="291"/>
      <c r="E24" s="97" t="s">
        <v>170</v>
      </c>
      <c r="F24" s="117">
        <v>2251200.1</v>
      </c>
      <c r="G24" s="92">
        <v>1</v>
      </c>
      <c r="H24" s="83">
        <f>+G24*F24</f>
        <v>2251200.1</v>
      </c>
      <c r="I24" s="287"/>
    </row>
    <row r="25" spans="2:9">
      <c r="B25" s="71"/>
      <c r="C25" s="290"/>
      <c r="D25" s="291"/>
      <c r="E25" s="97"/>
      <c r="F25" s="117"/>
      <c r="G25" s="119"/>
      <c r="H25" s="83"/>
      <c r="I25" s="287"/>
    </row>
    <row r="26" spans="2:9" ht="12">
      <c r="B26" s="89"/>
      <c r="C26" s="89"/>
      <c r="D26" s="89"/>
      <c r="E26" s="89"/>
      <c r="F26" s="89"/>
      <c r="G26" s="258" t="s">
        <v>64</v>
      </c>
      <c r="H26" s="258"/>
      <c r="I26" s="85">
        <f>SUM(H24:H25)</f>
        <v>2251200.1</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2251200.1</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2281499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4E27-EC0C-4089-8C76-91C86270049B}">
  <sheetPr codeName="Hoja36"/>
  <dimension ref="B3:I39"/>
  <sheetViews>
    <sheetView topLeftCell="A14" zoomScale="91" zoomScaleNormal="91" workbookViewId="0">
      <selection activeCell="L31" sqref="L3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69" customHeight="1">
      <c r="B13" s="17">
        <v>7.3</v>
      </c>
      <c r="C13" s="283" t="s">
        <v>1924</v>
      </c>
      <c r="D13" s="284"/>
      <c r="E13" s="284"/>
      <c r="F13" s="285"/>
      <c r="G13" s="286" t="s">
        <v>2</v>
      </c>
      <c r="H13" s="286"/>
      <c r="I13" s="114">
        <v>1.8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1555</v>
      </c>
      <c r="D24" s="291"/>
      <c r="E24" s="97" t="s">
        <v>1299</v>
      </c>
      <c r="F24" s="117">
        <v>2835000.1</v>
      </c>
      <c r="G24" s="92">
        <v>1</v>
      </c>
      <c r="H24" s="83">
        <f>+G24*F24</f>
        <v>2835000.1</v>
      </c>
      <c r="I24" s="287"/>
    </row>
    <row r="25" spans="2:9">
      <c r="B25" s="71"/>
      <c r="C25" s="290"/>
      <c r="D25" s="291"/>
      <c r="E25" s="97"/>
      <c r="F25" s="117"/>
      <c r="G25" s="119"/>
      <c r="H25" s="83"/>
      <c r="I25" s="287"/>
    </row>
    <row r="26" spans="2:9" ht="12">
      <c r="B26" s="89"/>
      <c r="C26" s="89"/>
      <c r="D26" s="89"/>
      <c r="E26" s="89"/>
      <c r="F26" s="89"/>
      <c r="G26" s="258" t="s">
        <v>64</v>
      </c>
      <c r="H26" s="258"/>
      <c r="I26" s="85">
        <f>SUM(H24:H25)</f>
        <v>2835000.1</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2835000.1</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2865299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EE6CB-09B2-4A68-A95D-B6A3A67448D7}">
  <sheetPr codeName="Hoja37"/>
  <dimension ref="B3:I39"/>
  <sheetViews>
    <sheetView topLeftCell="A16" zoomScale="91" zoomScaleNormal="91" workbookViewId="0">
      <selection activeCell="K33" sqref="K3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8.5" customHeight="1">
      <c r="B13" s="17">
        <v>7.4</v>
      </c>
      <c r="C13" s="283" t="s">
        <v>1925</v>
      </c>
      <c r="D13" s="284"/>
      <c r="E13" s="284"/>
      <c r="F13" s="285"/>
      <c r="G13" s="286" t="s">
        <v>2</v>
      </c>
      <c r="H13" s="286"/>
      <c r="I13" s="114">
        <v>1.8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1556</v>
      </c>
      <c r="D24" s="291"/>
      <c r="E24" s="97" t="s">
        <v>1299</v>
      </c>
      <c r="F24" s="117">
        <v>5303340.0999999996</v>
      </c>
      <c r="G24" s="92">
        <v>1</v>
      </c>
      <c r="H24" s="83">
        <f>+G24*F24</f>
        <v>5303340.0999999996</v>
      </c>
      <c r="I24" s="287"/>
    </row>
    <row r="25" spans="2:9">
      <c r="B25" s="71"/>
      <c r="C25" s="290"/>
      <c r="D25" s="291"/>
      <c r="E25" s="97"/>
      <c r="F25" s="117"/>
      <c r="G25" s="119"/>
      <c r="H25" s="83"/>
      <c r="I25" s="287"/>
    </row>
    <row r="26" spans="2:9" ht="12">
      <c r="B26" s="89"/>
      <c r="C26" s="89"/>
      <c r="D26" s="89"/>
      <c r="E26" s="89"/>
      <c r="F26" s="89"/>
      <c r="G26" s="258" t="s">
        <v>64</v>
      </c>
      <c r="H26" s="258"/>
      <c r="I26" s="85">
        <f>SUM(H24:H25)</f>
        <v>5303340.0999999996</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5303340.0999999996</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5333639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A631-E5CC-459C-AE7D-59387CD7B9A3}">
  <sheetPr codeName="Hoja38"/>
  <dimension ref="B3:I39"/>
  <sheetViews>
    <sheetView topLeftCell="A13" zoomScale="91" zoomScaleNormal="91" workbookViewId="0">
      <selection activeCell="M29" sqref="M2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5.5" customHeight="1">
      <c r="B13" s="17">
        <v>7.5</v>
      </c>
      <c r="C13" s="283" t="s">
        <v>1926</v>
      </c>
      <c r="D13" s="284"/>
      <c r="E13" s="284"/>
      <c r="F13" s="285"/>
      <c r="G13" s="286" t="s">
        <v>2</v>
      </c>
      <c r="H13" s="286"/>
      <c r="I13" s="114">
        <v>2.2999999999999998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1557</v>
      </c>
      <c r="D24" s="291"/>
      <c r="E24" s="97" t="s">
        <v>1299</v>
      </c>
      <c r="F24" s="117">
        <v>4347000.0999999996</v>
      </c>
      <c r="G24" s="92">
        <v>1</v>
      </c>
      <c r="H24" s="83">
        <f>+G24*F24</f>
        <v>4347000.0999999996</v>
      </c>
      <c r="I24" s="287"/>
    </row>
    <row r="25" spans="2:9">
      <c r="B25" s="71"/>
      <c r="C25" s="290"/>
      <c r="D25" s="291"/>
      <c r="E25" s="97"/>
      <c r="F25" s="117"/>
      <c r="G25" s="119"/>
      <c r="H25" s="83"/>
      <c r="I25" s="287"/>
    </row>
    <row r="26" spans="2:9" ht="12">
      <c r="B26" s="89"/>
      <c r="C26" s="89"/>
      <c r="D26" s="89"/>
      <c r="E26" s="89"/>
      <c r="F26" s="89"/>
      <c r="G26" s="258" t="s">
        <v>64</v>
      </c>
      <c r="H26" s="258"/>
      <c r="I26" s="85">
        <f>SUM(H24:H25)</f>
        <v>4347000.0999999996</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4347000.0999999996</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4377299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749E-2771-44B4-B3AF-0722B6F2A6D3}">
  <sheetPr codeName="Hoja39"/>
  <dimension ref="B3:I39"/>
  <sheetViews>
    <sheetView topLeftCell="A17" zoomScale="91" zoomScaleNormal="91" workbookViewId="0">
      <selection activeCell="H27" sqref="H2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6.5" customHeight="1">
      <c r="B13" s="17">
        <v>7.6</v>
      </c>
      <c r="C13" s="283" t="s">
        <v>1927</v>
      </c>
      <c r="D13" s="284"/>
      <c r="E13" s="284"/>
      <c r="F13" s="285"/>
      <c r="G13" s="286" t="s">
        <v>2</v>
      </c>
      <c r="H13" s="286"/>
      <c r="I13" s="114">
        <v>2.76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1558</v>
      </c>
      <c r="D24" s="291"/>
      <c r="E24" s="97" t="s">
        <v>1299</v>
      </c>
      <c r="F24" s="117">
        <v>2079000.1</v>
      </c>
      <c r="G24" s="92">
        <v>1</v>
      </c>
      <c r="H24" s="83">
        <f>+G24*F24</f>
        <v>2079000.1</v>
      </c>
      <c r="I24" s="287"/>
    </row>
    <row r="25" spans="2:9">
      <c r="B25" s="71"/>
      <c r="C25" s="290"/>
      <c r="D25" s="291"/>
      <c r="E25" s="97"/>
      <c r="F25" s="117"/>
      <c r="G25" s="119"/>
      <c r="H25" s="83"/>
      <c r="I25" s="287"/>
    </row>
    <row r="26" spans="2:9" ht="12">
      <c r="B26" s="89"/>
      <c r="C26" s="89"/>
      <c r="D26" s="89"/>
      <c r="E26" s="89"/>
      <c r="F26" s="89"/>
      <c r="G26" s="258" t="s">
        <v>64</v>
      </c>
      <c r="H26" s="258"/>
      <c r="I26" s="85">
        <f>SUM(H24:H25)</f>
        <v>2079000.1</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2079000.1</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2109299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260B-2B07-474A-A09B-750EBABC258B}">
  <sheetPr codeName="Hoja40"/>
  <dimension ref="B3:K39"/>
  <sheetViews>
    <sheetView topLeftCell="A22" zoomScale="91" zoomScaleNormal="91" workbookViewId="0">
      <selection activeCell="M16" sqref="M16"/>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9.5" customHeight="1">
      <c r="B13" s="17">
        <v>7.7</v>
      </c>
      <c r="C13" s="283" t="s">
        <v>1928</v>
      </c>
      <c r="D13" s="284"/>
      <c r="E13" s="284"/>
      <c r="F13" s="285"/>
      <c r="G13" s="286" t="s">
        <v>2279</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1559</v>
      </c>
      <c r="D24" s="291"/>
      <c r="E24" s="97" t="s">
        <v>1299</v>
      </c>
      <c r="F24" s="117">
        <v>18642960.100000001</v>
      </c>
      <c r="G24" s="92">
        <v>1</v>
      </c>
      <c r="H24" s="83">
        <f>+G24*F24</f>
        <v>18642960.100000001</v>
      </c>
      <c r="I24" s="287"/>
    </row>
    <row r="25" spans="2:11">
      <c r="B25" s="71"/>
      <c r="C25" s="290"/>
      <c r="D25" s="291"/>
      <c r="E25" s="97"/>
      <c r="F25" s="117"/>
      <c r="G25" s="119"/>
      <c r="H25" s="83"/>
      <c r="I25" s="287"/>
    </row>
    <row r="26" spans="2:11" ht="12">
      <c r="B26" s="89"/>
      <c r="C26" s="89"/>
      <c r="D26" s="89"/>
      <c r="E26" s="89"/>
      <c r="F26" s="89"/>
      <c r="G26" s="258" t="s">
        <v>64</v>
      </c>
      <c r="H26" s="258"/>
      <c r="I26" s="85">
        <f>SUM(H24:H25)</f>
        <v>18642960.100000001</v>
      </c>
    </row>
    <row r="27" spans="2:11" ht="12">
      <c r="B27" s="89"/>
      <c r="C27" s="89"/>
      <c r="D27" s="89"/>
      <c r="E27" s="89"/>
      <c r="F27" s="89"/>
      <c r="G27" s="99" t="s">
        <v>72</v>
      </c>
      <c r="H27" s="100"/>
      <c r="I27" s="120">
        <f>I26*H27</f>
        <v>0</v>
      </c>
      <c r="K27" s="11">
        <v>7</v>
      </c>
    </row>
    <row r="28" spans="2:11" ht="12">
      <c r="B28" s="89"/>
      <c r="C28" s="89"/>
      <c r="D28" s="89"/>
      <c r="E28" s="89"/>
      <c r="F28" s="89"/>
      <c r="G28" s="258" t="s">
        <v>73</v>
      </c>
      <c r="H28" s="258"/>
      <c r="I28" s="90">
        <f>SUM(I26:I27)</f>
        <v>18642960.100000001</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18673259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0DBC-79CF-4369-831F-F686E1FC453F}">
  <sheetPr codeName="Hoja41"/>
  <dimension ref="B3:K39"/>
  <sheetViews>
    <sheetView topLeftCell="A14" zoomScale="91" zoomScaleNormal="91" workbookViewId="0">
      <selection activeCell="J29" sqref="J2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63" customHeight="1">
      <c r="B13" s="17">
        <v>7.8</v>
      </c>
      <c r="C13" s="283" t="s">
        <v>1929</v>
      </c>
      <c r="D13" s="284"/>
      <c r="E13" s="284"/>
      <c r="F13" s="285"/>
      <c r="G13" s="286" t="s">
        <v>2</v>
      </c>
      <c r="H13" s="286"/>
      <c r="I13" s="114">
        <v>2.74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1560</v>
      </c>
      <c r="D24" s="291"/>
      <c r="E24" s="97" t="s">
        <v>1299</v>
      </c>
      <c r="F24" s="117">
        <v>5178600.0999999996</v>
      </c>
      <c r="G24" s="92">
        <v>1</v>
      </c>
      <c r="H24" s="83">
        <f>+G24*F24</f>
        <v>5178600.0999999996</v>
      </c>
      <c r="I24" s="287"/>
    </row>
    <row r="25" spans="2:11">
      <c r="B25" s="71"/>
      <c r="C25" s="290"/>
      <c r="D25" s="291"/>
      <c r="E25" s="97"/>
      <c r="F25" s="117"/>
      <c r="G25" s="119"/>
      <c r="H25" s="83"/>
      <c r="I25" s="287"/>
    </row>
    <row r="26" spans="2:11" ht="12">
      <c r="B26" s="89"/>
      <c r="C26" s="89"/>
      <c r="D26" s="89"/>
      <c r="E26" s="89"/>
      <c r="F26" s="89"/>
      <c r="G26" s="258" t="s">
        <v>64</v>
      </c>
      <c r="H26" s="258"/>
      <c r="I26" s="85">
        <f>SUM(H24:H25)</f>
        <v>5178600.0999999996</v>
      </c>
    </row>
    <row r="27" spans="2:11" ht="12">
      <c r="B27" s="89"/>
      <c r="C27" s="89"/>
      <c r="D27" s="89"/>
      <c r="E27" s="89"/>
      <c r="F27" s="89"/>
      <c r="G27" s="99" t="s">
        <v>72</v>
      </c>
      <c r="H27" s="100"/>
      <c r="I27" s="120">
        <f>I26*H27</f>
        <v>0</v>
      </c>
      <c r="K27" s="11">
        <v>7</v>
      </c>
    </row>
    <row r="28" spans="2:11" ht="12">
      <c r="B28" s="89"/>
      <c r="C28" s="89"/>
      <c r="D28" s="89"/>
      <c r="E28" s="89"/>
      <c r="F28" s="89"/>
      <c r="G28" s="258" t="s">
        <v>73</v>
      </c>
      <c r="H28" s="258"/>
      <c r="I28" s="90">
        <f>SUM(I26:I27)</f>
        <v>5178600.0999999996</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5208899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5E719-130B-4EA9-AD30-1D4A2E350104}">
  <sheetPr codeName="Hoja42"/>
  <dimension ref="B3:K39"/>
  <sheetViews>
    <sheetView topLeftCell="A19" zoomScale="91" zoomScaleNormal="91" workbookViewId="0">
      <selection activeCell="O29" sqref="O2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3.5" customHeight="1">
      <c r="B13" s="17">
        <v>7.9</v>
      </c>
      <c r="C13" s="283" t="s">
        <v>1930</v>
      </c>
      <c r="D13" s="284"/>
      <c r="E13" s="284"/>
      <c r="F13" s="285"/>
      <c r="G13" s="286" t="s">
        <v>1299</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1561</v>
      </c>
      <c r="D24" s="291"/>
      <c r="E24" s="97" t="s">
        <v>1299</v>
      </c>
      <c r="F24" s="117">
        <v>22543920.100000001</v>
      </c>
      <c r="G24" s="92">
        <v>1</v>
      </c>
      <c r="H24" s="83">
        <f>+G24*F24</f>
        <v>22543920.100000001</v>
      </c>
      <c r="I24" s="287"/>
    </row>
    <row r="25" spans="2:11">
      <c r="B25" s="71"/>
      <c r="C25" s="290"/>
      <c r="D25" s="291"/>
      <c r="E25" s="97"/>
      <c r="F25" s="117"/>
      <c r="G25" s="119"/>
      <c r="H25" s="83"/>
      <c r="I25" s="287"/>
    </row>
    <row r="26" spans="2:11" ht="12">
      <c r="B26" s="89"/>
      <c r="C26" s="89"/>
      <c r="D26" s="89"/>
      <c r="E26" s="89"/>
      <c r="F26" s="89"/>
      <c r="G26" s="258" t="s">
        <v>64</v>
      </c>
      <c r="H26" s="258"/>
      <c r="I26" s="85">
        <f>SUM(H24:H25)</f>
        <v>22543920.100000001</v>
      </c>
    </row>
    <row r="27" spans="2:11" ht="12">
      <c r="B27" s="89"/>
      <c r="C27" s="89"/>
      <c r="D27" s="89"/>
      <c r="E27" s="89"/>
      <c r="F27" s="89"/>
      <c r="G27" s="99" t="s">
        <v>72</v>
      </c>
      <c r="H27" s="100"/>
      <c r="I27" s="120">
        <f>I26*H27</f>
        <v>0</v>
      </c>
      <c r="K27" s="11">
        <v>7</v>
      </c>
    </row>
    <row r="28" spans="2:11" ht="12">
      <c r="B28" s="89"/>
      <c r="C28" s="89"/>
      <c r="D28" s="89"/>
      <c r="E28" s="89"/>
      <c r="F28" s="89"/>
      <c r="G28" s="258" t="s">
        <v>73</v>
      </c>
      <c r="H28" s="258"/>
      <c r="I28" s="90">
        <f>SUM(I26:I27)</f>
        <v>22543920.100000001</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0.6</v>
      </c>
      <c r="H36" s="94">
        <f>F36*G36*D36</f>
        <v>39712.5</v>
      </c>
      <c r="I36" s="294"/>
    </row>
    <row r="37" spans="2:9">
      <c r="B37" s="106"/>
      <c r="C37" s="106"/>
      <c r="D37" s="106"/>
      <c r="E37" s="106"/>
      <c r="F37" s="86"/>
      <c r="G37" s="121"/>
      <c r="H37" s="94"/>
      <c r="I37" s="294"/>
    </row>
    <row r="38" spans="2:9" ht="12">
      <c r="B38" s="108"/>
      <c r="C38" s="109"/>
      <c r="D38" s="109"/>
      <c r="E38" s="109"/>
      <c r="F38" s="110"/>
      <c r="G38" s="110"/>
      <c r="H38" s="111" t="s">
        <v>64</v>
      </c>
      <c r="I38" s="112">
        <f>SUM(H36:H37)</f>
        <v>39712.5</v>
      </c>
    </row>
    <row r="39" spans="2:9" ht="12">
      <c r="B39" s="295" t="s">
        <v>83</v>
      </c>
      <c r="C39" s="296"/>
      <c r="D39" s="297" t="s">
        <v>77</v>
      </c>
      <c r="E39" s="298"/>
      <c r="F39" s="298"/>
      <c r="G39" s="298"/>
      <c r="H39" s="299"/>
      <c r="I39" s="113">
        <f>SUM(I21+I33+I28+I38)</f>
        <v>22584809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D4176-2D74-4FB5-8E8A-0B88C91AA3F1}">
  <sheetPr codeName="Hoja21"/>
  <dimension ref="B3:I42"/>
  <sheetViews>
    <sheetView workbookViewId="0">
      <selection activeCell="K13" sqref="K13"/>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5.0976562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0.5" customHeight="1">
      <c r="B13" s="17" t="s">
        <v>3</v>
      </c>
      <c r="C13" s="283" t="s">
        <v>1886</v>
      </c>
      <c r="D13" s="284"/>
      <c r="E13" s="284"/>
      <c r="F13" s="285"/>
      <c r="G13" s="286" t="s">
        <v>2</v>
      </c>
      <c r="H13" s="286"/>
      <c r="I13" s="13">
        <v>60.139800000000001</v>
      </c>
    </row>
    <row r="14" spans="2:9" ht="12">
      <c r="B14" s="70"/>
      <c r="C14" s="286"/>
      <c r="D14" s="286"/>
      <c r="E14" s="286"/>
      <c r="F14" s="286" t="s">
        <v>55</v>
      </c>
      <c r="G14" s="286"/>
      <c r="H14" s="286"/>
      <c r="I14" s="76" t="s">
        <v>63</v>
      </c>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347</v>
      </c>
      <c r="C19" s="288" t="str">
        <f>VLOOKUP(B19,'MAQUINARIA Y EQUIPOS  '!C7:F95,2,FALSE)</f>
        <v>Andamio (2cuerpo)</v>
      </c>
      <c r="D19" s="265"/>
      <c r="E19" s="71" t="str">
        <f>VLOOKUP(B19,'MAQUINARIA Y EQUIPOS  '!C7:F95,3,FALSE)</f>
        <v>DIA</v>
      </c>
      <c r="F19" s="86">
        <f>VLOOKUP(B19,'MAQUINARIA Y EQUIPOS  '!C7:F95,4,FALSE)</f>
        <v>10000</v>
      </c>
      <c r="G19" s="87">
        <v>0.15</v>
      </c>
      <c r="H19" s="85">
        <f>+F19*G19</f>
        <v>1500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0.08</v>
      </c>
      <c r="H20" s="85">
        <f>+F20*G20</f>
        <v>840</v>
      </c>
      <c r="I20" s="287"/>
    </row>
    <row r="21" spans="2:9">
      <c r="B21" s="71"/>
      <c r="C21" s="258"/>
      <c r="D21" s="258"/>
      <c r="E21" s="88"/>
      <c r="F21" s="86"/>
      <c r="G21" s="71"/>
      <c r="H21" s="93"/>
      <c r="I21" s="287"/>
    </row>
    <row r="22" spans="2:9" ht="12">
      <c r="B22" s="89"/>
      <c r="C22" s="89"/>
      <c r="D22" s="89"/>
      <c r="E22" s="89"/>
      <c r="F22" s="89"/>
      <c r="G22" s="89"/>
      <c r="H22" s="89" t="s">
        <v>64</v>
      </c>
      <c r="I22" s="90">
        <f>SUM(H18:H21)</f>
        <v>3411.4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ht="15" customHeight="1">
      <c r="B25" s="71" t="s">
        <v>1580</v>
      </c>
      <c r="C25" s="290" t="str">
        <f>VLOOKUP(B25,'INSUMOS '!C3:G950,2,FALSE)</f>
        <v>Plástico de poliuretano (calibre pesado)</v>
      </c>
      <c r="D25" s="291"/>
      <c r="E25" s="97" t="str">
        <f>VLOOKUP(B25,'INSUMOS '!C3:G950,3,FALSE)</f>
        <v>m2</v>
      </c>
      <c r="F25" s="98">
        <f>VLOOKUP(B25,'INSUMOS '!C3:G950,4,FALSE)</f>
        <v>2500</v>
      </c>
      <c r="G25" s="71">
        <v>1</v>
      </c>
      <c r="H25" s="83">
        <f>+G25*F25</f>
        <v>2500</v>
      </c>
      <c r="I25" s="287"/>
    </row>
    <row r="26" spans="2:9">
      <c r="B26" s="71" t="s">
        <v>1583</v>
      </c>
      <c r="C26" s="290" t="str">
        <f>VLOOKUP(B26,'INSUMOS '!C4:G951,2,FALSE)</f>
        <v>Cartón corrugado triple (alta resistencia)</v>
      </c>
      <c r="D26" s="291"/>
      <c r="E26" s="97" t="str">
        <f>VLOOKUP(B26,'INSUMOS '!C4:G951,3,FALSE)</f>
        <v>m2</v>
      </c>
      <c r="F26" s="98">
        <f>VLOOKUP(B26,'INSUMOS '!C4:G951,4,FALSE)</f>
        <v>6000</v>
      </c>
      <c r="G26" s="71">
        <v>1</v>
      </c>
      <c r="H26" s="83">
        <f>+G26*F26</f>
        <v>6000</v>
      </c>
      <c r="I26" s="287"/>
    </row>
    <row r="27" spans="2:9">
      <c r="B27" s="71" t="s">
        <v>1584</v>
      </c>
      <c r="C27" s="290" t="str">
        <f>VLOOKUP(B27,'INSUMOS '!C5:G952,2,FALSE)</f>
        <v xml:space="preserve">Cinta de enmascarar de alta adherencia </v>
      </c>
      <c r="D27" s="291"/>
      <c r="E27" s="97" t="str">
        <f>VLOOKUP(B27,'INSUMOS '!C5:G952,3,FALSE)</f>
        <v>m</v>
      </c>
      <c r="F27" s="98">
        <f>VLOOKUP(B27,'INSUMOS '!C5:G952,4,FALSE)</f>
        <v>500</v>
      </c>
      <c r="G27" s="71">
        <v>1.35</v>
      </c>
      <c r="H27" s="83">
        <f>+G27*F27</f>
        <v>675</v>
      </c>
      <c r="I27" s="287"/>
    </row>
    <row r="28" spans="2:9" ht="15" customHeight="1">
      <c r="B28" s="71"/>
      <c r="C28" s="292"/>
      <c r="D28" s="293"/>
      <c r="E28" s="91"/>
      <c r="F28" s="94"/>
      <c r="G28" s="92"/>
      <c r="H28" s="83"/>
      <c r="I28" s="287"/>
    </row>
    <row r="29" spans="2:9" ht="12">
      <c r="B29" s="89"/>
      <c r="C29" s="89"/>
      <c r="D29" s="89"/>
      <c r="E29" s="89"/>
      <c r="F29" s="89"/>
      <c r="G29" s="258" t="s">
        <v>64</v>
      </c>
      <c r="H29" s="258"/>
      <c r="I29" s="85">
        <f>SUM(H25:H28)</f>
        <v>9175</v>
      </c>
    </row>
    <row r="30" spans="2:9" ht="12">
      <c r="B30" s="89"/>
      <c r="C30" s="89"/>
      <c r="D30" s="89"/>
      <c r="E30" s="89"/>
      <c r="F30" s="89"/>
      <c r="G30" s="99" t="s">
        <v>72</v>
      </c>
      <c r="H30" s="100">
        <v>0.05</v>
      </c>
      <c r="I30" s="101">
        <f>I29*H30</f>
        <v>458.75</v>
      </c>
    </row>
    <row r="31" spans="2:9" ht="12">
      <c r="B31" s="89"/>
      <c r="C31" s="89"/>
      <c r="D31" s="89"/>
      <c r="E31" s="89"/>
      <c r="F31" s="89"/>
      <c r="G31" s="258" t="s">
        <v>73</v>
      </c>
      <c r="H31" s="258"/>
      <c r="I31" s="90">
        <f>SUM(I29:I30)</f>
        <v>9633.75</v>
      </c>
    </row>
    <row r="32" spans="2:9" ht="12">
      <c r="B32" s="78"/>
      <c r="C32" s="289" t="s">
        <v>74</v>
      </c>
      <c r="D32" s="289"/>
      <c r="E32" s="78"/>
      <c r="F32" s="78"/>
      <c r="G32" s="78"/>
      <c r="H32" s="78"/>
      <c r="I32" s="79"/>
    </row>
    <row r="33" spans="2:9" ht="12">
      <c r="B33" s="70" t="s">
        <v>42</v>
      </c>
      <c r="C33" s="70" t="s">
        <v>58</v>
      </c>
      <c r="D33" s="70" t="s">
        <v>342</v>
      </c>
      <c r="E33" s="70" t="s">
        <v>343</v>
      </c>
      <c r="F33" s="70" t="s">
        <v>344</v>
      </c>
      <c r="G33" s="70" t="s">
        <v>345</v>
      </c>
      <c r="H33" s="74" t="s">
        <v>61</v>
      </c>
      <c r="I33" s="300"/>
    </row>
    <row r="34" spans="2:9" ht="12">
      <c r="B34" s="70"/>
      <c r="C34" s="70"/>
      <c r="D34" s="75"/>
      <c r="E34" s="70"/>
      <c r="F34" s="70"/>
      <c r="G34" s="102"/>
      <c r="H34" s="103"/>
      <c r="I34" s="301"/>
    </row>
    <row r="35" spans="2:9">
      <c r="B35" s="71"/>
      <c r="C35" s="71"/>
      <c r="D35" s="82"/>
      <c r="E35" s="71"/>
      <c r="F35" s="71"/>
      <c r="G35" s="86"/>
      <c r="H35" s="86"/>
      <c r="I35" s="301"/>
    </row>
    <row r="36" spans="2:9" ht="12">
      <c r="B36" s="89"/>
      <c r="C36" s="89"/>
      <c r="D36" s="89"/>
      <c r="E36" s="89"/>
      <c r="F36" s="89"/>
      <c r="G36" s="302" t="s">
        <v>64</v>
      </c>
      <c r="H36" s="302"/>
      <c r="I36" s="104">
        <f>+H34</f>
        <v>0</v>
      </c>
    </row>
    <row r="37" spans="2:9" ht="12">
      <c r="B37" s="78"/>
      <c r="C37" s="289" t="s">
        <v>75</v>
      </c>
      <c r="D37" s="289"/>
      <c r="E37" s="78"/>
      <c r="F37" s="78"/>
      <c r="G37" s="78"/>
      <c r="H37" s="78"/>
      <c r="I37" s="79"/>
    </row>
    <row r="38" spans="2:9" ht="12">
      <c r="B38" s="105" t="s">
        <v>42</v>
      </c>
      <c r="C38" s="105" t="s">
        <v>76</v>
      </c>
      <c r="D38" s="105" t="s">
        <v>1220</v>
      </c>
      <c r="E38" s="105" t="s">
        <v>1</v>
      </c>
      <c r="F38" s="105" t="s">
        <v>77</v>
      </c>
      <c r="G38" s="105" t="s">
        <v>78</v>
      </c>
      <c r="H38" s="105" t="s">
        <v>79</v>
      </c>
      <c r="I38" s="294"/>
    </row>
    <row r="39" spans="2:9" ht="22.8">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07">
        <v>0.1</v>
      </c>
      <c r="H39" s="94">
        <f>F39*G39*D39</f>
        <v>6618.75</v>
      </c>
      <c r="I39" s="294"/>
    </row>
    <row r="40" spans="2:9">
      <c r="B40" s="106"/>
      <c r="C40" s="106"/>
      <c r="D40" s="106"/>
      <c r="E40" s="106"/>
      <c r="F40" s="86"/>
      <c r="G40" s="107"/>
      <c r="H40" s="94"/>
      <c r="I40" s="294"/>
    </row>
    <row r="41" spans="2:9" ht="12">
      <c r="B41" s="108"/>
      <c r="C41" s="109"/>
      <c r="D41" s="109"/>
      <c r="E41" s="109"/>
      <c r="F41" s="110"/>
      <c r="G41" s="110"/>
      <c r="H41" s="111" t="s">
        <v>64</v>
      </c>
      <c r="I41" s="112">
        <f>SUM(H39:H40)</f>
        <v>6618.75</v>
      </c>
    </row>
    <row r="42" spans="2:9" ht="12">
      <c r="B42" s="295" t="s">
        <v>83</v>
      </c>
      <c r="C42" s="296"/>
      <c r="D42" s="297" t="s">
        <v>77</v>
      </c>
      <c r="E42" s="298"/>
      <c r="F42" s="298"/>
      <c r="G42" s="298"/>
      <c r="H42" s="299"/>
      <c r="I42" s="113">
        <f>SUM(I22+I36+I31+I41)</f>
        <v>19663.900000000001</v>
      </c>
    </row>
  </sheetData>
  <mergeCells count="41">
    <mergeCell ref="I38:I40"/>
    <mergeCell ref="B42:C42"/>
    <mergeCell ref="D42:H42"/>
    <mergeCell ref="G29:H29"/>
    <mergeCell ref="G31:H31"/>
    <mergeCell ref="C32:D32"/>
    <mergeCell ref="I33:I35"/>
    <mergeCell ref="G36:H36"/>
    <mergeCell ref="C37:D37"/>
    <mergeCell ref="C23:D23"/>
    <mergeCell ref="C24:D24"/>
    <mergeCell ref="I24:I28"/>
    <mergeCell ref="C25:D25"/>
    <mergeCell ref="C26:D26"/>
    <mergeCell ref="C27:D27"/>
    <mergeCell ref="C28:D28"/>
    <mergeCell ref="C17:D17"/>
    <mergeCell ref="I17:I21"/>
    <mergeCell ref="C18:D18"/>
    <mergeCell ref="C19:D19"/>
    <mergeCell ref="C20:D20"/>
    <mergeCell ref="C21:D21"/>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48EDA-8F86-4DDD-9B7B-577ACC37CED3}">
  <sheetPr codeName="Hoja43"/>
  <dimension ref="B3:I39"/>
  <sheetViews>
    <sheetView topLeftCell="A16" zoomScale="91" zoomScaleNormal="91" workbookViewId="0">
      <selection activeCell="N35" sqref="N3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6.5" customHeight="1">
      <c r="B13" s="17">
        <v>7.1</v>
      </c>
      <c r="C13" s="283" t="s">
        <v>1931</v>
      </c>
      <c r="D13" s="284"/>
      <c r="E13" s="284"/>
      <c r="F13" s="285"/>
      <c r="G13" s="286" t="s">
        <v>1299</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1562</v>
      </c>
      <c r="D24" s="291"/>
      <c r="E24" s="97" t="s">
        <v>1299</v>
      </c>
      <c r="F24" s="117">
        <v>18711000.100000001</v>
      </c>
      <c r="G24" s="92">
        <v>1</v>
      </c>
      <c r="H24" s="83">
        <f>+G24*F24</f>
        <v>18711000.100000001</v>
      </c>
      <c r="I24" s="287"/>
    </row>
    <row r="25" spans="2:9">
      <c r="B25" s="71"/>
      <c r="C25" s="290"/>
      <c r="D25" s="291"/>
      <c r="E25" s="97"/>
      <c r="F25" s="117"/>
      <c r="G25" s="119"/>
      <c r="H25" s="83"/>
      <c r="I25" s="287"/>
    </row>
    <row r="26" spans="2:9" ht="12">
      <c r="B26" s="89"/>
      <c r="C26" s="89"/>
      <c r="D26" s="89"/>
      <c r="E26" s="89"/>
      <c r="F26" s="89"/>
      <c r="G26" s="258" t="s">
        <v>64</v>
      </c>
      <c r="H26" s="258"/>
      <c r="I26" s="85">
        <f>SUM(H24:H25)</f>
        <v>18711000.100000001</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18711000.100000001</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18741299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D95B-1C5B-4CF6-B088-BA95CF645BF8}">
  <sheetPr codeName="Hoja44"/>
  <dimension ref="B3:K39"/>
  <sheetViews>
    <sheetView topLeftCell="A4" zoomScale="91" zoomScaleNormal="91" workbookViewId="0">
      <selection activeCell="K30" sqref="K3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0" width="11.3984375" style="11"/>
    <col min="11" max="11" width="11.3984375" style="11" bestFit="1" customWidth="1"/>
    <col min="12"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4" customHeight="1">
      <c r="B13" s="17">
        <v>7.11</v>
      </c>
      <c r="C13" s="283" t="s">
        <v>1932</v>
      </c>
      <c r="D13" s="284"/>
      <c r="E13" s="284"/>
      <c r="F13" s="285"/>
      <c r="G13" s="286" t="s">
        <v>1</v>
      </c>
      <c r="H13" s="286"/>
      <c r="I13" s="114">
        <v>12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1563</v>
      </c>
      <c r="D24" s="291"/>
      <c r="E24" s="97" t="s">
        <v>1564</v>
      </c>
      <c r="F24" s="117">
        <v>354000</v>
      </c>
      <c r="G24" s="92">
        <v>1</v>
      </c>
      <c r="H24" s="83">
        <f>+G24*F24</f>
        <v>354000</v>
      </c>
      <c r="I24" s="287"/>
    </row>
    <row r="25" spans="2:11">
      <c r="B25" s="71"/>
      <c r="C25" s="290"/>
      <c r="D25" s="291"/>
      <c r="E25" s="97"/>
      <c r="F25" s="117"/>
      <c r="G25" s="119"/>
      <c r="H25" s="83"/>
      <c r="I25" s="287"/>
    </row>
    <row r="26" spans="2:11" ht="12">
      <c r="B26" s="89"/>
      <c r="C26" s="89"/>
      <c r="D26" s="89"/>
      <c r="E26" s="89"/>
      <c r="F26" s="89"/>
      <c r="G26" s="258" t="s">
        <v>64</v>
      </c>
      <c r="H26" s="258"/>
      <c r="I26" s="85">
        <f>SUM(H24:H25)</f>
        <v>354000</v>
      </c>
    </row>
    <row r="27" spans="2:11" ht="12">
      <c r="B27" s="89"/>
      <c r="C27" s="89"/>
      <c r="D27" s="89"/>
      <c r="E27" s="89"/>
      <c r="F27" s="89"/>
      <c r="G27" s="99" t="s">
        <v>72</v>
      </c>
      <c r="H27" s="100">
        <v>0.05</v>
      </c>
      <c r="I27" s="120">
        <f>I26*H27</f>
        <v>17700</v>
      </c>
      <c r="K27" s="11">
        <v>7</v>
      </c>
    </row>
    <row r="28" spans="2:11" ht="12">
      <c r="B28" s="89"/>
      <c r="C28" s="89"/>
      <c r="D28" s="89"/>
      <c r="E28" s="89"/>
      <c r="F28" s="89"/>
      <c r="G28" s="258" t="s">
        <v>73</v>
      </c>
      <c r="H28" s="258"/>
      <c r="I28" s="90">
        <f>SUM(I26:I27)</f>
        <v>371700</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401998.9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3978-C8D9-4AC9-A00B-02A72399DC4A}">
  <sheetPr codeName="Hoja45"/>
  <dimension ref="B3:K39"/>
  <sheetViews>
    <sheetView topLeftCell="A13" zoomScale="91" zoomScaleNormal="91" workbookViewId="0">
      <selection activeCell="N33" sqref="N3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60.75" customHeight="1">
      <c r="B13" s="17">
        <v>7.12</v>
      </c>
      <c r="C13" s="283" t="s">
        <v>1933</v>
      </c>
      <c r="D13" s="284"/>
      <c r="E13" s="284"/>
      <c r="F13" s="285"/>
      <c r="G13" s="286" t="s">
        <v>2</v>
      </c>
      <c r="H13" s="286"/>
      <c r="I13" s="13">
        <v>11.616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1565</v>
      </c>
      <c r="D24" s="291"/>
      <c r="E24" s="97" t="s">
        <v>1299</v>
      </c>
      <c r="F24" s="117">
        <v>4536000.0999999996</v>
      </c>
      <c r="G24" s="92">
        <v>1</v>
      </c>
      <c r="H24" s="83">
        <f>+G24*F24</f>
        <v>4536000.0999999996</v>
      </c>
      <c r="I24" s="287"/>
    </row>
    <row r="25" spans="2:11">
      <c r="B25" s="71"/>
      <c r="C25" s="290"/>
      <c r="D25" s="291"/>
      <c r="E25" s="97"/>
      <c r="F25" s="117"/>
      <c r="G25" s="119"/>
      <c r="H25" s="83"/>
      <c r="I25" s="287"/>
    </row>
    <row r="26" spans="2:11" ht="12">
      <c r="B26" s="89"/>
      <c r="C26" s="89"/>
      <c r="D26" s="89"/>
      <c r="E26" s="89"/>
      <c r="F26" s="89"/>
      <c r="G26" s="258" t="s">
        <v>64</v>
      </c>
      <c r="H26" s="258"/>
      <c r="I26" s="85">
        <f>SUM(H24:H25)</f>
        <v>4536000.0999999996</v>
      </c>
    </row>
    <row r="27" spans="2:11" ht="12">
      <c r="B27" s="89"/>
      <c r="C27" s="89"/>
      <c r="D27" s="89"/>
      <c r="E27" s="89"/>
      <c r="F27" s="89"/>
      <c r="G27" s="99" t="s">
        <v>72</v>
      </c>
      <c r="H27" s="100"/>
      <c r="I27" s="120">
        <f>I26*H27</f>
        <v>0</v>
      </c>
      <c r="K27" s="11">
        <v>7</v>
      </c>
    </row>
    <row r="28" spans="2:11" ht="12">
      <c r="B28" s="89"/>
      <c r="C28" s="89"/>
      <c r="D28" s="89"/>
      <c r="E28" s="89"/>
      <c r="F28" s="89"/>
      <c r="G28" s="258" t="s">
        <v>73</v>
      </c>
      <c r="H28" s="258"/>
      <c r="I28" s="90">
        <f>SUM(I26:I27)</f>
        <v>4536000.0999999996</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4566299</v>
      </c>
    </row>
  </sheetData>
  <mergeCells count="38">
    <mergeCell ref="I17:I20"/>
    <mergeCell ref="C18:D18"/>
    <mergeCell ref="C19:D19"/>
    <mergeCell ref="C20:D20"/>
    <mergeCell ref="C22:D22"/>
    <mergeCell ref="C17:D17"/>
    <mergeCell ref="B39:C39"/>
    <mergeCell ref="D39:H39"/>
    <mergeCell ref="C23:D23"/>
    <mergeCell ref="I23:I25"/>
    <mergeCell ref="C24:D24"/>
    <mergeCell ref="C25:D25"/>
    <mergeCell ref="G26:H26"/>
    <mergeCell ref="G28:H28"/>
    <mergeCell ref="C29:D29"/>
    <mergeCell ref="I30:I32"/>
    <mergeCell ref="G33:H33"/>
    <mergeCell ref="C34:D34"/>
    <mergeCell ref="I35:I3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173A-8B4F-43E6-8389-1F6DEA0CE216}">
  <sheetPr codeName="Hoja85"/>
  <dimension ref="B3:K39"/>
  <sheetViews>
    <sheetView topLeftCell="A19" zoomScale="91" zoomScaleNormal="91" workbookViewId="0">
      <selection activeCell="L39" sqref="L3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t="e">
        <f>+#REF!</f>
        <v>#REF!</v>
      </c>
      <c r="E9" s="276" t="e">
        <f>+#REF!</f>
        <v>#REF!</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8" customHeight="1">
      <c r="B13" s="17">
        <v>7.13</v>
      </c>
      <c r="C13" s="283" t="s">
        <v>1934</v>
      </c>
      <c r="D13" s="284"/>
      <c r="E13" s="284"/>
      <c r="F13" s="285"/>
      <c r="G13" s="286" t="s">
        <v>2</v>
      </c>
      <c r="H13" s="286"/>
      <c r="I13" s="13">
        <v>3.3839999999999999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124" t="s">
        <v>1267</v>
      </c>
      <c r="C19" s="309" t="str">
        <f>VLOOKUP(B19,'MAQUINARIA Y EQUIPOS  '!C7:F95,2,FALSE)</f>
        <v xml:space="preserve">Pluma grua </v>
      </c>
      <c r="D19" s="310"/>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1566</v>
      </c>
      <c r="D24" s="291"/>
      <c r="E24" s="97" t="s">
        <v>1299</v>
      </c>
      <c r="F24" s="117">
        <v>3197880.1</v>
      </c>
      <c r="G24" s="92">
        <v>1</v>
      </c>
      <c r="H24" s="83">
        <f>+G24*F24</f>
        <v>3197880.1</v>
      </c>
      <c r="I24" s="287"/>
    </row>
    <row r="25" spans="2:11">
      <c r="B25" s="71"/>
      <c r="C25" s="290"/>
      <c r="D25" s="291"/>
      <c r="E25" s="97"/>
      <c r="F25" s="117"/>
      <c r="G25" s="119"/>
      <c r="H25" s="83"/>
      <c r="I25" s="287"/>
    </row>
    <row r="26" spans="2:11" ht="12">
      <c r="B26" s="89"/>
      <c r="C26" s="89"/>
      <c r="D26" s="89"/>
      <c r="E26" s="89"/>
      <c r="F26" s="89"/>
      <c r="G26" s="258" t="s">
        <v>64</v>
      </c>
      <c r="H26" s="258"/>
      <c r="I26" s="85">
        <f>SUM(H24:H25)</f>
        <v>3197880.1</v>
      </c>
    </row>
    <row r="27" spans="2:11" ht="12">
      <c r="B27" s="89"/>
      <c r="C27" s="89"/>
      <c r="D27" s="89"/>
      <c r="E27" s="89"/>
      <c r="F27" s="89"/>
      <c r="G27" s="99" t="s">
        <v>72</v>
      </c>
      <c r="H27" s="100"/>
      <c r="I27" s="120">
        <f>I26*H27</f>
        <v>0</v>
      </c>
      <c r="K27" s="11">
        <v>7</v>
      </c>
    </row>
    <row r="28" spans="2:11" ht="12">
      <c r="B28" s="89"/>
      <c r="C28" s="89"/>
      <c r="D28" s="89"/>
      <c r="E28" s="89"/>
      <c r="F28" s="89"/>
      <c r="G28" s="258" t="s">
        <v>73</v>
      </c>
      <c r="H28" s="258"/>
      <c r="I28" s="90">
        <f>SUM(I26:I27)</f>
        <v>3197880.1</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3228179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2B44A-C2FC-47A7-9C19-C4B18C1B6550}">
  <sheetPr codeName="Hoja86"/>
  <dimension ref="B3:I39"/>
  <sheetViews>
    <sheetView topLeftCell="A13" zoomScale="91" zoomScaleNormal="91" workbookViewId="0">
      <selection activeCell="K33" sqref="K3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8.75" customHeight="1">
      <c r="B13" s="17" t="e">
        <f>+#REF!</f>
        <v>#REF!</v>
      </c>
      <c r="C13" s="283" t="s">
        <v>1935</v>
      </c>
      <c r="D13" s="284"/>
      <c r="E13" s="284"/>
      <c r="F13" s="285"/>
      <c r="G13" s="286" t="s">
        <v>2</v>
      </c>
      <c r="H13" s="286"/>
      <c r="I13" s="13">
        <v>5.52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9">
      <c r="B20" s="71"/>
      <c r="C20" s="288"/>
      <c r="D20" s="265"/>
      <c r="E20" s="88"/>
      <c r="F20" s="86"/>
      <c r="G20" s="119"/>
      <c r="H20" s="93"/>
      <c r="I20" s="287"/>
    </row>
    <row r="21" spans="2:9" ht="12">
      <c r="B21" s="89"/>
      <c r="C21" s="89"/>
      <c r="D21" s="89"/>
      <c r="E21" s="89"/>
      <c r="F21" s="89"/>
      <c r="G21" s="89"/>
      <c r="H21" s="89" t="s">
        <v>64</v>
      </c>
      <c r="I21" s="90">
        <f>SUM(H18:H20)</f>
        <v>1176.4000000000001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0" t="s">
        <v>1567</v>
      </c>
      <c r="D24" s="291"/>
      <c r="E24" s="97" t="s">
        <v>1299</v>
      </c>
      <c r="F24" s="117">
        <v>2585520.1</v>
      </c>
      <c r="G24" s="92">
        <v>1</v>
      </c>
      <c r="H24" s="83">
        <f>+G24*F24</f>
        <v>2585520.1</v>
      </c>
      <c r="I24" s="287"/>
    </row>
    <row r="25" spans="2:9">
      <c r="B25" s="71"/>
      <c r="C25" s="290"/>
      <c r="D25" s="291"/>
      <c r="E25" s="97"/>
      <c r="F25" s="117"/>
      <c r="G25" s="119"/>
      <c r="H25" s="83"/>
      <c r="I25" s="287"/>
    </row>
    <row r="26" spans="2:9" ht="12">
      <c r="B26" s="89"/>
      <c r="C26" s="89"/>
      <c r="D26" s="89"/>
      <c r="E26" s="89"/>
      <c r="F26" s="89"/>
      <c r="G26" s="258" t="s">
        <v>64</v>
      </c>
      <c r="H26" s="258"/>
      <c r="I26" s="85">
        <f>SUM(H24:H25)</f>
        <v>2585520.1</v>
      </c>
    </row>
    <row r="27" spans="2:9" ht="12">
      <c r="B27" s="89"/>
      <c r="C27" s="89"/>
      <c r="D27" s="89"/>
      <c r="E27" s="89"/>
      <c r="F27" s="89"/>
      <c r="G27" s="99" t="s">
        <v>72</v>
      </c>
      <c r="H27" s="100"/>
      <c r="I27" s="120">
        <f>I26*H27</f>
        <v>0</v>
      </c>
    </row>
    <row r="28" spans="2:9" ht="12">
      <c r="B28" s="89"/>
      <c r="C28" s="89"/>
      <c r="D28" s="89"/>
      <c r="E28" s="89"/>
      <c r="F28" s="89"/>
      <c r="G28" s="258" t="s">
        <v>73</v>
      </c>
      <c r="H28" s="258"/>
      <c r="I28" s="90">
        <f>SUM(I26:I27)</f>
        <v>2585520.1</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2615819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03B5-6F37-4797-BF93-9AE8AF8BB958}">
  <sheetPr codeName="Hoja87"/>
  <dimension ref="B3:K39"/>
  <sheetViews>
    <sheetView topLeftCell="A7" zoomScale="91" zoomScaleNormal="91" workbookViewId="0">
      <selection activeCell="K27" sqref="K2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0976562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65.25" customHeight="1">
      <c r="B13" s="17">
        <v>7.15</v>
      </c>
      <c r="C13" s="283" t="s">
        <v>1936</v>
      </c>
      <c r="D13" s="284"/>
      <c r="E13" s="284"/>
      <c r="F13" s="285"/>
      <c r="G13" s="286" t="s">
        <v>2</v>
      </c>
      <c r="H13" s="286"/>
      <c r="I13" s="234">
        <v>2.1120000000000001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1568</v>
      </c>
      <c r="D24" s="291"/>
      <c r="E24" s="97" t="s">
        <v>1299</v>
      </c>
      <c r="F24" s="117">
        <v>1995840.1</v>
      </c>
      <c r="G24" s="92">
        <v>1</v>
      </c>
      <c r="H24" s="83">
        <f>+G24*F24</f>
        <v>1995840.1</v>
      </c>
      <c r="I24" s="287"/>
    </row>
    <row r="25" spans="2:11">
      <c r="B25" s="71"/>
      <c r="C25" s="290"/>
      <c r="D25" s="291"/>
      <c r="E25" s="97"/>
      <c r="F25" s="117"/>
      <c r="G25" s="119"/>
      <c r="H25" s="83"/>
      <c r="I25" s="287"/>
    </row>
    <row r="26" spans="2:11" ht="12">
      <c r="B26" s="89"/>
      <c r="C26" s="89"/>
      <c r="D26" s="89"/>
      <c r="E26" s="89"/>
      <c r="F26" s="89"/>
      <c r="G26" s="258" t="s">
        <v>64</v>
      </c>
      <c r="H26" s="258"/>
      <c r="I26" s="85">
        <f>SUM(H24:H25)</f>
        <v>1995840.1</v>
      </c>
    </row>
    <row r="27" spans="2:11" ht="12">
      <c r="B27" s="89"/>
      <c r="C27" s="89"/>
      <c r="D27" s="89"/>
      <c r="E27" s="89"/>
      <c r="F27" s="89"/>
      <c r="G27" s="99" t="s">
        <v>72</v>
      </c>
      <c r="H27" s="100"/>
      <c r="I27" s="120">
        <f>I26*H27</f>
        <v>0</v>
      </c>
      <c r="K27" s="11">
        <v>7</v>
      </c>
    </row>
    <row r="28" spans="2:11" ht="12">
      <c r="B28" s="89"/>
      <c r="C28" s="89"/>
      <c r="D28" s="89"/>
      <c r="E28" s="89"/>
      <c r="F28" s="89"/>
      <c r="G28" s="258" t="s">
        <v>73</v>
      </c>
      <c r="H28" s="258"/>
      <c r="I28" s="90">
        <f>SUM(I26:I27)</f>
        <v>1995840.1</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2026139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B5CD-AEEB-40A7-9A3A-2DF2394EBCCF}">
  <sheetPr codeName="Hoja88"/>
  <dimension ref="B3:K39"/>
  <sheetViews>
    <sheetView topLeftCell="A18" zoomScale="91" zoomScaleNormal="91" workbookViewId="0">
      <selection activeCell="L34" sqref="L3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1" width="11.3984375" style="11" bestFit="1" customWidth="1"/>
    <col min="12"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7</v>
      </c>
      <c r="E9" s="276" t="s">
        <v>19</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0.25" customHeight="1">
      <c r="B13" s="17">
        <v>7.16</v>
      </c>
      <c r="C13" s="283" t="s">
        <v>1937</v>
      </c>
      <c r="D13" s="284"/>
      <c r="E13" s="284"/>
      <c r="F13" s="285"/>
      <c r="G13" s="286" t="s">
        <v>2</v>
      </c>
      <c r="H13" s="286"/>
      <c r="I13" s="114">
        <v>3.9</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1" ht="12">
      <c r="B17" s="70" t="s">
        <v>42</v>
      </c>
      <c r="C17" s="286" t="s">
        <v>58</v>
      </c>
      <c r="D17" s="286"/>
      <c r="E17" s="70" t="s">
        <v>1</v>
      </c>
      <c r="F17" s="80" t="s">
        <v>59</v>
      </c>
      <c r="G17" s="70" t="s">
        <v>60</v>
      </c>
      <c r="H17" s="80" t="s">
        <v>61</v>
      </c>
      <c r="I17" s="287"/>
    </row>
    <row r="18" spans="2:11">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1">
      <c r="B19" s="71" t="s">
        <v>1267</v>
      </c>
      <c r="C19" s="288" t="str">
        <f>VLOOKUP(B19,'MAQUINARIA Y EQUIPOS  '!C7:F95,2,FALSE)</f>
        <v xml:space="preserve">Pluma grua </v>
      </c>
      <c r="D19" s="265"/>
      <c r="E19" s="88" t="str">
        <f>VLOOKUP(B19,'MAQUINARIA Y EQUIPOS  '!C7:F95,3,FALSE)</f>
        <v>HH</v>
      </c>
      <c r="F19" s="86">
        <f>VLOOKUP(B19,'MAQUINARIA Y EQUIPOS  '!C7:F95,4,FALSE)</f>
        <v>10500</v>
      </c>
      <c r="G19" s="92">
        <v>0.03</v>
      </c>
      <c r="H19" s="93">
        <f>F19/100</f>
        <v>105</v>
      </c>
      <c r="I19" s="287"/>
    </row>
    <row r="20" spans="2:11">
      <c r="B20" s="71"/>
      <c r="C20" s="288"/>
      <c r="D20" s="265"/>
      <c r="E20" s="88"/>
      <c r="F20" s="86"/>
      <c r="G20" s="119"/>
      <c r="H20" s="93"/>
      <c r="I20" s="287"/>
    </row>
    <row r="21" spans="2:11" ht="12">
      <c r="B21" s="89"/>
      <c r="C21" s="89"/>
      <c r="D21" s="89"/>
      <c r="E21" s="89"/>
      <c r="F21" s="89"/>
      <c r="G21" s="89"/>
      <c r="H21" s="89" t="s">
        <v>64</v>
      </c>
      <c r="I21" s="90">
        <f>SUM(H18:H20)</f>
        <v>1176.4000000000001</v>
      </c>
    </row>
    <row r="22" spans="2:11" ht="12">
      <c r="B22" s="78"/>
      <c r="C22" s="289" t="s">
        <v>65</v>
      </c>
      <c r="D22" s="289"/>
      <c r="E22" s="78"/>
      <c r="F22" s="78"/>
      <c r="G22" s="78"/>
      <c r="H22" s="78"/>
      <c r="I22" s="79"/>
    </row>
    <row r="23" spans="2:11" ht="12">
      <c r="B23" s="70" t="s">
        <v>42</v>
      </c>
      <c r="C23" s="286" t="s">
        <v>58</v>
      </c>
      <c r="D23" s="286"/>
      <c r="E23" s="70" t="s">
        <v>1</v>
      </c>
      <c r="F23" s="80" t="s">
        <v>66</v>
      </c>
      <c r="G23" s="70" t="s">
        <v>67</v>
      </c>
      <c r="H23" s="70" t="s">
        <v>61</v>
      </c>
      <c r="I23" s="287"/>
    </row>
    <row r="24" spans="2:11">
      <c r="B24" s="71"/>
      <c r="C24" s="290" t="s">
        <v>1882</v>
      </c>
      <c r="D24" s="291"/>
      <c r="E24" s="97" t="s">
        <v>196</v>
      </c>
      <c r="F24" s="117">
        <v>6000000</v>
      </c>
      <c r="G24" s="92">
        <v>1</v>
      </c>
      <c r="H24" s="83">
        <f>+G24*F24</f>
        <v>6000000</v>
      </c>
      <c r="I24" s="287"/>
    </row>
    <row r="25" spans="2:11">
      <c r="B25" s="71"/>
      <c r="C25" s="290"/>
      <c r="D25" s="291"/>
      <c r="E25" s="97"/>
      <c r="F25" s="117"/>
      <c r="G25" s="119"/>
      <c r="H25" s="83"/>
      <c r="I25" s="287"/>
    </row>
    <row r="26" spans="2:11" ht="12">
      <c r="B26" s="89"/>
      <c r="C26" s="89"/>
      <c r="D26" s="89"/>
      <c r="E26" s="89"/>
      <c r="F26" s="89"/>
      <c r="G26" s="258" t="s">
        <v>64</v>
      </c>
      <c r="H26" s="258"/>
      <c r="I26" s="85">
        <f>SUM(H24:H25)</f>
        <v>6000000</v>
      </c>
    </row>
    <row r="27" spans="2:11" ht="12">
      <c r="B27" s="89"/>
      <c r="C27" s="89"/>
      <c r="D27" s="89"/>
      <c r="E27" s="89"/>
      <c r="F27" s="89"/>
      <c r="G27" s="99" t="s">
        <v>72</v>
      </c>
      <c r="H27" s="100">
        <v>0.05</v>
      </c>
      <c r="I27" s="120">
        <f>I26*H27</f>
        <v>300000</v>
      </c>
      <c r="K27" s="11">
        <v>7</v>
      </c>
    </row>
    <row r="28" spans="2:11" ht="12">
      <c r="B28" s="89"/>
      <c r="C28" s="89"/>
      <c r="D28" s="89"/>
      <c r="E28" s="89"/>
      <c r="F28" s="89"/>
      <c r="G28" s="258" t="s">
        <v>73</v>
      </c>
      <c r="H28" s="258"/>
      <c r="I28" s="90">
        <f>SUM(I26:I27)</f>
        <v>6300000</v>
      </c>
    </row>
    <row r="29" spans="2:11" ht="12">
      <c r="B29" s="78"/>
      <c r="C29" s="289" t="s">
        <v>74</v>
      </c>
      <c r="D29" s="289"/>
      <c r="E29" s="78"/>
      <c r="F29" s="78"/>
      <c r="G29" s="78"/>
      <c r="H29" s="78"/>
      <c r="I29" s="79"/>
    </row>
    <row r="30" spans="2:11" ht="12">
      <c r="B30" s="70" t="s">
        <v>42</v>
      </c>
      <c r="C30" s="70" t="s">
        <v>58</v>
      </c>
      <c r="D30" s="70" t="s">
        <v>342</v>
      </c>
      <c r="E30" s="70" t="s">
        <v>343</v>
      </c>
      <c r="F30" s="70" t="s">
        <v>344</v>
      </c>
      <c r="G30" s="70" t="s">
        <v>1278</v>
      </c>
      <c r="H30" s="74" t="s">
        <v>61</v>
      </c>
      <c r="I30" s="300"/>
    </row>
    <row r="31" spans="2:11" ht="12">
      <c r="B31" s="70"/>
      <c r="C31" s="70"/>
      <c r="D31" s="75"/>
      <c r="E31" s="70"/>
      <c r="F31" s="70"/>
      <c r="G31" s="102"/>
      <c r="H31" s="103"/>
      <c r="I31" s="301"/>
    </row>
    <row r="32" spans="2:11">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359</v>
      </c>
      <c r="C36" s="106" t="str">
        <f>+VLOOKUP(B36,'MANO DE OBRA '!B24:G47,2,FALSE)</f>
        <v xml:space="preserve"> Cuadrilla de construccion 2 (1 oficial+ 2 ayudante)</v>
      </c>
      <c r="D36" s="106">
        <v>1</v>
      </c>
      <c r="E36" s="106" t="str">
        <f>+VLOOKUP(B36,'MANO DE OBRA '!B24:G47,4,FALSE)</f>
        <v>Hora</v>
      </c>
      <c r="F36" s="86">
        <f>+VLOOKUP(B36,'MANO DE OBRA '!B24:G47,3,FALSE)</f>
        <v>66187.5</v>
      </c>
      <c r="G36" s="121">
        <v>0.44</v>
      </c>
      <c r="H36" s="94">
        <f>F36*G36*D36</f>
        <v>29122.5</v>
      </c>
      <c r="I36" s="294"/>
    </row>
    <row r="37" spans="2:9">
      <c r="B37" s="106"/>
      <c r="C37" s="106"/>
      <c r="D37" s="106"/>
      <c r="E37" s="106"/>
      <c r="F37" s="86"/>
      <c r="G37" s="121"/>
      <c r="H37" s="94"/>
      <c r="I37" s="294"/>
    </row>
    <row r="38" spans="2:9" ht="12">
      <c r="B38" s="108"/>
      <c r="C38" s="109"/>
      <c r="D38" s="109"/>
      <c r="E38" s="109"/>
      <c r="F38" s="110"/>
      <c r="G38" s="110"/>
      <c r="H38" s="111" t="s">
        <v>64</v>
      </c>
      <c r="I38" s="112">
        <f>SUM(H36:H37)</f>
        <v>29122.5</v>
      </c>
    </row>
    <row r="39" spans="2:9" ht="12">
      <c r="B39" s="295" t="s">
        <v>83</v>
      </c>
      <c r="C39" s="296"/>
      <c r="D39" s="297" t="s">
        <v>77</v>
      </c>
      <c r="E39" s="298"/>
      <c r="F39" s="298"/>
      <c r="G39" s="298"/>
      <c r="H39" s="299"/>
      <c r="I39" s="113">
        <f>SUM(I21+I33+I28+I38)</f>
        <v>6330298.9000000004</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0FFF3-A855-40F9-A52D-2789B6833E85}">
  <sheetPr codeName="Hoja46"/>
  <dimension ref="B3:I39"/>
  <sheetViews>
    <sheetView topLeftCell="A16" zoomScale="89" zoomScaleNormal="89" workbookViewId="0">
      <selection activeCell="L14" sqref="L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8</v>
      </c>
      <c r="E9" s="276" t="s">
        <v>24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5" customHeight="1">
      <c r="B13" s="17">
        <v>8.1</v>
      </c>
      <c r="C13" s="283" t="s">
        <v>1938</v>
      </c>
      <c r="D13" s="284"/>
      <c r="E13" s="284"/>
      <c r="F13" s="285"/>
      <c r="G13" s="286" t="s">
        <v>780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c r="C19" s="288"/>
      <c r="D19" s="265"/>
      <c r="E19" s="88"/>
      <c r="F19" s="86"/>
      <c r="G19" s="92"/>
      <c r="H19" s="93"/>
      <c r="I19" s="287"/>
    </row>
    <row r="20" spans="2:9">
      <c r="B20" s="71"/>
      <c r="C20" s="288"/>
      <c r="D20" s="265"/>
      <c r="E20" s="88"/>
      <c r="F20" s="86"/>
      <c r="G20" s="119"/>
      <c r="H20" s="93"/>
      <c r="I20" s="287"/>
    </row>
    <row r="21" spans="2:9" ht="12">
      <c r="B21" s="89"/>
      <c r="C21" s="89"/>
      <c r="D21" s="89"/>
      <c r="E21" s="89"/>
      <c r="F21" s="89"/>
      <c r="G21" s="89"/>
      <c r="H21" s="89" t="s">
        <v>64</v>
      </c>
      <c r="I21" s="90">
        <f>SUM(H18:H20)</f>
        <v>2142.8000000000002</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1296</v>
      </c>
      <c r="C24" s="290" t="str">
        <f>VLOOKUP(B24,'INSUMOS '!C4:F530,2,FALSE)</f>
        <v xml:space="preserve">CERRADURA LLAVE/SEGURO MANIJA </v>
      </c>
      <c r="D24" s="291"/>
      <c r="E24" s="97" t="str">
        <f>VLOOKUP(B24,'INSUMOS '!C4:F530,3,FALSE)</f>
        <v xml:space="preserve">UND </v>
      </c>
      <c r="F24" s="117">
        <f>VLOOKUP(B24,'INSUMOS '!C4:F530,4,FALSE)</f>
        <v>100000</v>
      </c>
      <c r="G24" s="92">
        <v>1</v>
      </c>
      <c r="H24" s="83">
        <f>+G24*F24</f>
        <v>100000</v>
      </c>
      <c r="I24" s="287"/>
    </row>
    <row r="25" spans="2:9">
      <c r="B25" s="71"/>
      <c r="C25" s="290"/>
      <c r="D25" s="291"/>
      <c r="E25" s="97"/>
      <c r="F25" s="117"/>
      <c r="G25" s="119"/>
      <c r="H25" s="83"/>
      <c r="I25" s="287"/>
    </row>
    <row r="26" spans="2:9" ht="12">
      <c r="B26" s="89"/>
      <c r="C26" s="89"/>
      <c r="D26" s="89"/>
      <c r="E26" s="89"/>
      <c r="F26" s="89"/>
      <c r="G26" s="258" t="s">
        <v>64</v>
      </c>
      <c r="H26" s="258"/>
      <c r="I26" s="85">
        <f>SUM(H24:H25)</f>
        <v>100000</v>
      </c>
    </row>
    <row r="27" spans="2:9" ht="12">
      <c r="B27" s="89"/>
      <c r="C27" s="89"/>
      <c r="D27" s="89"/>
      <c r="E27" s="89"/>
      <c r="F27" s="89"/>
      <c r="G27" s="99" t="s">
        <v>72</v>
      </c>
      <c r="H27" s="100">
        <v>0.05</v>
      </c>
      <c r="I27" s="120">
        <f>I26*H27</f>
        <v>5000</v>
      </c>
    </row>
    <row r="28" spans="2:9" ht="12">
      <c r="B28" s="89"/>
      <c r="C28" s="89"/>
      <c r="D28" s="89"/>
      <c r="E28" s="89"/>
      <c r="F28" s="89"/>
      <c r="G28" s="258" t="s">
        <v>73</v>
      </c>
      <c r="H28" s="258"/>
      <c r="I28" s="90">
        <f>SUM(I26:I27)</f>
        <v>105000</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356</v>
      </c>
      <c r="C36" s="106" t="str">
        <f>+VLOOKUP(B36,'MANO DE OBRA '!B24:G47,2,FALSE)</f>
        <v>Cuadrilla de construccion 1(1 oficial+ 1 ayudante)</v>
      </c>
      <c r="D36" s="106">
        <v>1</v>
      </c>
      <c r="E36" s="106" t="str">
        <f>+VLOOKUP(B36,'MANO DE OBRA '!B24:G47,4,FALSE)</f>
        <v>Hora</v>
      </c>
      <c r="F36" s="86">
        <f>+VLOOKUP(B36,'MANO DE OBRA '!B24:G47,3,FALSE)</f>
        <v>48437.5</v>
      </c>
      <c r="G36" s="121">
        <v>0.61</v>
      </c>
      <c r="H36" s="94">
        <f>F36*G36*D36</f>
        <v>29546.875</v>
      </c>
      <c r="I36" s="294"/>
    </row>
    <row r="37" spans="2:9">
      <c r="B37" s="106"/>
      <c r="C37" s="106"/>
      <c r="D37" s="106"/>
      <c r="E37" s="106"/>
      <c r="F37" s="86"/>
      <c r="G37" s="121"/>
      <c r="H37" s="94"/>
      <c r="I37" s="294"/>
    </row>
    <row r="38" spans="2:9" ht="12">
      <c r="B38" s="108"/>
      <c r="C38" s="109"/>
      <c r="D38" s="109"/>
      <c r="E38" s="109"/>
      <c r="F38" s="110"/>
      <c r="G38" s="110"/>
      <c r="H38" s="111" t="s">
        <v>64</v>
      </c>
      <c r="I38" s="112">
        <f>SUM(H36:H37)</f>
        <v>29546.875</v>
      </c>
    </row>
    <row r="39" spans="2:9" ht="12">
      <c r="B39" s="295" t="s">
        <v>83</v>
      </c>
      <c r="C39" s="296"/>
      <c r="D39" s="297" t="s">
        <v>77</v>
      </c>
      <c r="E39" s="298"/>
      <c r="F39" s="298"/>
      <c r="G39" s="298"/>
      <c r="H39" s="299"/>
      <c r="I39" s="113">
        <f>SUM(I21+I33+I28+I38)</f>
        <v>136689.67499999999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4808B-2E89-4EC1-9506-C77998E9A23C}">
  <sheetPr codeName="Hoja47"/>
  <dimension ref="B3:I39"/>
  <sheetViews>
    <sheetView topLeftCell="A17" zoomScale="89" zoomScaleNormal="89" workbookViewId="0">
      <selection activeCell="M33" sqref="M3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8</v>
      </c>
      <c r="E9" s="276" t="s">
        <v>24</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61.5" customHeight="1">
      <c r="B13" s="17">
        <v>8.1999999999999993</v>
      </c>
      <c r="C13" s="283" t="s">
        <v>1939</v>
      </c>
      <c r="D13" s="284"/>
      <c r="E13" s="284"/>
      <c r="F13" s="285"/>
      <c r="G13" s="286" t="s">
        <v>2279</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c r="C19" s="288"/>
      <c r="D19" s="265"/>
      <c r="E19" s="88"/>
      <c r="F19" s="86"/>
      <c r="G19" s="92"/>
      <c r="H19" s="93"/>
      <c r="I19" s="287"/>
    </row>
    <row r="20" spans="2:9">
      <c r="B20" s="71"/>
      <c r="C20" s="288"/>
      <c r="D20" s="265"/>
      <c r="E20" s="88"/>
      <c r="F20" s="86"/>
      <c r="G20" s="119"/>
      <c r="H20" s="93"/>
      <c r="I20" s="287"/>
    </row>
    <row r="21" spans="2:9" ht="12">
      <c r="B21" s="89"/>
      <c r="C21" s="89"/>
      <c r="D21" s="89"/>
      <c r="E21" s="89"/>
      <c r="F21" s="89"/>
      <c r="G21" s="89"/>
      <c r="H21" s="89" t="s">
        <v>64</v>
      </c>
      <c r="I21" s="90">
        <f>SUM(H18:H20)</f>
        <v>1071.4000000000001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1300</v>
      </c>
      <c r="C24" s="290" t="str">
        <f>VLOOKUP(B24,'INSUMOS '!C4:F530,2,FALSE)</f>
        <v xml:space="preserve">Cerradura llave/llave </v>
      </c>
      <c r="D24" s="291"/>
      <c r="E24" s="97" t="str">
        <f>VLOOKUP(B24,'INSUMOS '!C4:F530,3,FALSE)</f>
        <v xml:space="preserve">und </v>
      </c>
      <c r="F24" s="117">
        <f>VLOOKUP(B24,'INSUMOS '!C4:F530,4,FALSE)</f>
        <v>130000</v>
      </c>
      <c r="G24" s="92">
        <v>1</v>
      </c>
      <c r="H24" s="83">
        <f>+G24*F24</f>
        <v>130000</v>
      </c>
      <c r="I24" s="287"/>
    </row>
    <row r="25" spans="2:9">
      <c r="B25" s="71"/>
      <c r="C25" s="290"/>
      <c r="D25" s="291"/>
      <c r="E25" s="97"/>
      <c r="F25" s="117"/>
      <c r="G25" s="119"/>
      <c r="H25" s="83"/>
      <c r="I25" s="287"/>
    </row>
    <row r="26" spans="2:9" ht="12">
      <c r="B26" s="89"/>
      <c r="C26" s="89"/>
      <c r="D26" s="89"/>
      <c r="E26" s="89"/>
      <c r="F26" s="89"/>
      <c r="G26" s="258" t="s">
        <v>64</v>
      </c>
      <c r="H26" s="258"/>
      <c r="I26" s="85">
        <f>SUM(H24:H25)</f>
        <v>130000</v>
      </c>
    </row>
    <row r="27" spans="2:9" ht="12">
      <c r="B27" s="89"/>
      <c r="C27" s="89"/>
      <c r="D27" s="89"/>
      <c r="E27" s="89"/>
      <c r="F27" s="89"/>
      <c r="G27" s="99" t="s">
        <v>72</v>
      </c>
      <c r="H27" s="100">
        <v>0.05</v>
      </c>
      <c r="I27" s="120">
        <f>I26*H27</f>
        <v>6500</v>
      </c>
    </row>
    <row r="28" spans="2:9" ht="12">
      <c r="B28" s="89"/>
      <c r="C28" s="89"/>
      <c r="D28" s="89"/>
      <c r="E28" s="89"/>
      <c r="F28" s="89"/>
      <c r="G28" s="258" t="s">
        <v>73</v>
      </c>
      <c r="H28" s="258"/>
      <c r="I28" s="90">
        <f>SUM(I26:I27)</f>
        <v>136500</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c r="C31" s="70"/>
      <c r="D31" s="75"/>
      <c r="E31" s="70"/>
      <c r="F31" s="70"/>
      <c r="G31" s="102"/>
      <c r="H31" s="103"/>
      <c r="I31" s="301"/>
    </row>
    <row r="32" spans="2:9">
      <c r="B32" s="71"/>
      <c r="C32" s="71"/>
      <c r="D32" s="82"/>
      <c r="E32" s="71"/>
      <c r="F32" s="71"/>
      <c r="G32" s="86"/>
      <c r="H32" s="86"/>
      <c r="I32" s="301"/>
    </row>
    <row r="33" spans="2:9" ht="12">
      <c r="B33" s="89"/>
      <c r="C33" s="89"/>
      <c r="D33" s="89"/>
      <c r="E33" s="89"/>
      <c r="F33" s="89"/>
      <c r="G33" s="302" t="s">
        <v>64</v>
      </c>
      <c r="H33" s="302"/>
      <c r="I33" s="104">
        <f>+H31</f>
        <v>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356</v>
      </c>
      <c r="C36" s="106" t="str">
        <f>+VLOOKUP(B36,'MANO DE OBRA '!B24:G47,2,FALSE)</f>
        <v>Cuadrilla de construccion 1(1 oficial+ 1 ayudante)</v>
      </c>
      <c r="D36" s="106">
        <v>1</v>
      </c>
      <c r="E36" s="106" t="str">
        <f>+VLOOKUP(B36,'MANO DE OBRA '!B24:G47,4,FALSE)</f>
        <v>Hora</v>
      </c>
      <c r="F36" s="86">
        <f>+VLOOKUP(B36,'MANO DE OBRA '!B24:G47,3,FALSE)</f>
        <v>48437.5</v>
      </c>
      <c r="G36" s="121">
        <v>0.25</v>
      </c>
      <c r="H36" s="94">
        <f>F36*G36*D36</f>
        <v>12109.375</v>
      </c>
      <c r="I36" s="294"/>
    </row>
    <row r="37" spans="2:9">
      <c r="B37" s="106"/>
      <c r="C37" s="106"/>
      <c r="D37" s="106"/>
      <c r="E37" s="106"/>
      <c r="F37" s="86"/>
      <c r="G37" s="121"/>
      <c r="H37" s="94"/>
      <c r="I37" s="294"/>
    </row>
    <row r="38" spans="2:9" ht="12">
      <c r="B38" s="108"/>
      <c r="C38" s="109"/>
      <c r="D38" s="109"/>
      <c r="E38" s="109"/>
      <c r="F38" s="110"/>
      <c r="G38" s="110"/>
      <c r="H38" s="111" t="s">
        <v>64</v>
      </c>
      <c r="I38" s="112">
        <f>SUM(H36:H37)</f>
        <v>12109.375</v>
      </c>
    </row>
    <row r="39" spans="2:9" ht="12">
      <c r="B39" s="295" t="s">
        <v>83</v>
      </c>
      <c r="C39" s="296"/>
      <c r="D39" s="297" t="s">
        <v>77</v>
      </c>
      <c r="E39" s="298"/>
      <c r="F39" s="298"/>
      <c r="G39" s="298"/>
      <c r="H39" s="299"/>
      <c r="I39" s="113">
        <f>SUM(I21+I33+I28+I38)</f>
        <v>149680.77499999999</v>
      </c>
    </row>
  </sheetData>
  <mergeCells count="38">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B39:C39"/>
    <mergeCell ref="D39:H39"/>
    <mergeCell ref="C23:D23"/>
    <mergeCell ref="I23:I25"/>
    <mergeCell ref="C24:D24"/>
    <mergeCell ref="C25:D25"/>
    <mergeCell ref="G26:H26"/>
    <mergeCell ref="G28:H28"/>
    <mergeCell ref="C29:D29"/>
    <mergeCell ref="I30:I32"/>
    <mergeCell ref="G33:H33"/>
    <mergeCell ref="C34:D34"/>
    <mergeCell ref="I35:I37"/>
    <mergeCell ref="I17:I20"/>
    <mergeCell ref="C18:D18"/>
    <mergeCell ref="C19:D19"/>
    <mergeCell ref="C20:D20"/>
    <mergeCell ref="C22:D22"/>
    <mergeCell ref="C17:D1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1F48-9C75-4C58-93C4-D3F3EA8B66FC}">
  <sheetPr codeName="Hoja49"/>
  <dimension ref="B3:I51"/>
  <sheetViews>
    <sheetView topLeftCell="A13" zoomScale="89" zoomScaleNormal="89" workbookViewId="0">
      <selection activeCell="O16" sqref="O16"/>
    </sheetView>
  </sheetViews>
  <sheetFormatPr baseColWidth="10" defaultColWidth="11.3984375" defaultRowHeight="11.4"/>
  <cols>
    <col min="1" max="1" width="11.3984375" style="11"/>
    <col min="2" max="2" width="11.3984375" style="11" bestFit="1" customWidth="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9</v>
      </c>
      <c r="E9" s="276" t="s">
        <v>26</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72" customHeight="1">
      <c r="B13" s="17">
        <v>9.1</v>
      </c>
      <c r="C13" s="283" t="s">
        <v>1940</v>
      </c>
      <c r="D13" s="284"/>
      <c r="E13" s="284"/>
      <c r="F13" s="285"/>
      <c r="G13" s="286" t="s">
        <v>2</v>
      </c>
      <c r="H13" s="286"/>
      <c r="I13" s="114">
        <v>301.66000000000003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0.1</v>
      </c>
      <c r="H19" s="85">
        <f>F19*G19</f>
        <v>1050</v>
      </c>
      <c r="I19" s="287"/>
    </row>
    <row r="20" spans="2:9">
      <c r="B20" s="71" t="s">
        <v>347</v>
      </c>
      <c r="C20" s="288" t="str">
        <f>VLOOKUP(B20,'MAQUINARIA Y EQUIPOS  '!C8:F96,2,FALSE)</f>
        <v>Andamio (2cuerpo)</v>
      </c>
      <c r="D20" s="265"/>
      <c r="E20" s="88" t="str">
        <f>VLOOKUP(B20,'MAQUINARIA Y EQUIPOS  '!C8:F96,3,FALSE)</f>
        <v>DIA</v>
      </c>
      <c r="F20" s="86">
        <f>VLOOKUP(B20,'MAQUINARIA Y EQUIPOS  '!C8:F96,4,FALSE)</f>
        <v>10000</v>
      </c>
      <c r="G20" s="119">
        <v>0.3</v>
      </c>
      <c r="H20" s="93">
        <f>F20*G20</f>
        <v>3000</v>
      </c>
      <c r="I20" s="287"/>
    </row>
    <row r="21" spans="2:9" ht="12">
      <c r="B21" s="89"/>
      <c r="C21" s="89"/>
      <c r="D21" s="89"/>
      <c r="E21" s="89"/>
      <c r="F21" s="89"/>
      <c r="G21" s="89"/>
      <c r="H21" s="89" t="s">
        <v>64</v>
      </c>
      <c r="I21" s="90">
        <f>SUM(H18:H20)</f>
        <v>6192.8</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117</v>
      </c>
      <c r="C24" s="290" t="str">
        <f>VLOOKUP(B24,'INSUMOS '!C4:F530,2,FALSE)</f>
        <v xml:space="preserve">LAMINA DE DRYWALL 2,44*1,22M </v>
      </c>
      <c r="D24" s="291"/>
      <c r="E24" s="97" t="str">
        <f>VLOOKUP(B24,'INSUMOS '!C4:F530,3,FALSE)</f>
        <v>M2</v>
      </c>
      <c r="F24" s="117">
        <f>VLOOKUP(B24,'INSUMOS '!C4:F530,4,FALSE)</f>
        <v>18000</v>
      </c>
      <c r="G24" s="92">
        <v>1.02</v>
      </c>
      <c r="H24" s="83">
        <f t="shared" ref="H24:H37" si="0">+G24*F24</f>
        <v>18360</v>
      </c>
      <c r="I24" s="287"/>
    </row>
    <row r="25" spans="2:9">
      <c r="B25" s="71" t="s">
        <v>984</v>
      </c>
      <c r="C25" s="290" t="str">
        <f>VLOOKUP(B25,'INSUMOS '!C5:F531,2,FALSE)</f>
        <v>PERFIL OMEGA 2.44</v>
      </c>
      <c r="D25" s="291"/>
      <c r="E25" s="97" t="str">
        <f>VLOOKUP(B25,'INSUMOS '!C5:F531,3,FALSE)</f>
        <v>m</v>
      </c>
      <c r="F25" s="117">
        <f>VLOOKUP(B25,'INSUMOS '!C5:F531,4,FALSE)</f>
        <v>2500</v>
      </c>
      <c r="G25" s="92">
        <v>1.3</v>
      </c>
      <c r="H25" s="83">
        <f t="shared" si="0"/>
        <v>3250</v>
      </c>
      <c r="I25" s="287"/>
    </row>
    <row r="26" spans="2:9">
      <c r="B26" s="71" t="s">
        <v>121</v>
      </c>
      <c r="C26" s="290" t="str">
        <f>VLOOKUP(B26,'INSUMOS '!C5:F531,2,FALSE)</f>
        <v>PERFIL ANGULO 2.44</v>
      </c>
      <c r="D26" s="291"/>
      <c r="E26" s="97" t="str">
        <f>VLOOKUP(B26,'INSUMOS '!C5:F531,3,FALSE)</f>
        <v>m</v>
      </c>
      <c r="F26" s="117">
        <f>VLOOKUP(B26,'INSUMOS '!C5:F531,4,FALSE)</f>
        <v>2280</v>
      </c>
      <c r="G26" s="92">
        <v>0.7</v>
      </c>
      <c r="H26" s="83">
        <f t="shared" si="0"/>
        <v>1596</v>
      </c>
      <c r="I26" s="287"/>
    </row>
    <row r="27" spans="2:9">
      <c r="B27" s="71" t="s">
        <v>1303</v>
      </c>
      <c r="C27" s="290" t="str">
        <f>VLOOKUP(B27,'INSUMOS '!C6:F616,2,FALSE)</f>
        <v>Clavo fijador 1"</v>
      </c>
      <c r="D27" s="291"/>
      <c r="E27" s="97" t="str">
        <f>VLOOKUP(B27,'INSUMOS '!C6:F616,3,FALSE)</f>
        <v xml:space="preserve">und </v>
      </c>
      <c r="F27" s="117">
        <f>VLOOKUP(B27,'INSUMOS '!C6:F616,4,FALSE)</f>
        <v>189</v>
      </c>
      <c r="G27" s="92">
        <v>2.5</v>
      </c>
      <c r="H27" s="83">
        <f t="shared" si="0"/>
        <v>472.5</v>
      </c>
      <c r="I27" s="287"/>
    </row>
    <row r="28" spans="2:9">
      <c r="B28" s="71" t="s">
        <v>850</v>
      </c>
      <c r="C28" s="290" t="str">
        <f>VLOOKUP(B28,'INSUMOS '!C5:F531,2,FALSE)</f>
        <v>PERFIL VIGUETA GAL C26 2.44M</v>
      </c>
      <c r="D28" s="291"/>
      <c r="E28" s="97" t="str">
        <f>VLOOKUP(B28,'INSUMOS '!C5:F531,3,FALSE)</f>
        <v>m</v>
      </c>
      <c r="F28" s="117">
        <f>VLOOKUP(B28,'INSUMOS '!C5:F531,4,FALSE)</f>
        <v>3100</v>
      </c>
      <c r="G28" s="92">
        <v>0.9</v>
      </c>
      <c r="H28" s="83">
        <f t="shared" si="0"/>
        <v>2790</v>
      </c>
      <c r="I28" s="287"/>
    </row>
    <row r="29" spans="2:9">
      <c r="B29" s="71" t="s">
        <v>1310</v>
      </c>
      <c r="C29" s="290" t="str">
        <f>VLOOKUP(B29,'INSUMOS '!C5:F531,2,FALSE)</f>
        <v xml:space="preserve">tornillo 7/16 ensamble estructura </v>
      </c>
      <c r="D29" s="291"/>
      <c r="E29" s="97" t="str">
        <f>VLOOKUP(B29,'INSUMOS '!C5:F531,3,FALSE)</f>
        <v xml:space="preserve">UND </v>
      </c>
      <c r="F29" s="117">
        <f>VLOOKUP(B29,'INSUMOS '!C5:F531,4,FALSE)</f>
        <v>30</v>
      </c>
      <c r="G29" s="92">
        <v>7</v>
      </c>
      <c r="H29" s="83">
        <f t="shared" si="0"/>
        <v>210</v>
      </c>
      <c r="I29" s="287"/>
    </row>
    <row r="30" spans="2:9">
      <c r="B30" s="71" t="s">
        <v>437</v>
      </c>
      <c r="C30" s="290" t="str">
        <f>VLOOKUP(B30,'INSUMOS '!C5:F531,2,FALSE)</f>
        <v>TORNILLOS DE FIJACION</v>
      </c>
      <c r="D30" s="291"/>
      <c r="E30" s="97" t="str">
        <f>VLOOKUP(B30,'INSUMOS '!C5:F531,3,FALSE)</f>
        <v>UND</v>
      </c>
      <c r="F30" s="117">
        <f>VLOOKUP(B30,'INSUMOS '!C5:F531,4,FALSE)</f>
        <v>35</v>
      </c>
      <c r="G30" s="92">
        <v>15</v>
      </c>
      <c r="H30" s="83">
        <f t="shared" si="0"/>
        <v>525</v>
      </c>
      <c r="I30" s="287"/>
    </row>
    <row r="31" spans="2:9">
      <c r="B31" s="71" t="s">
        <v>1311</v>
      </c>
      <c r="C31" s="290" t="str">
        <f>VLOOKUP(B31,'INSUMOS '!C5:F531,2,FALSE)</f>
        <v>Masilla para DRYWALl</v>
      </c>
      <c r="D31" s="291"/>
      <c r="E31" s="97" t="str">
        <f>VLOOKUP(B31,'INSUMOS '!C5:F531,3,FALSE)</f>
        <v xml:space="preserve">kg </v>
      </c>
      <c r="F31" s="117">
        <f>VLOOKUP(B31,'INSUMOS '!C5:F531,4,FALSE)</f>
        <v>4500</v>
      </c>
      <c r="G31" s="92">
        <v>1.6</v>
      </c>
      <c r="H31" s="83">
        <f t="shared" si="0"/>
        <v>7200</v>
      </c>
      <c r="I31" s="287"/>
    </row>
    <row r="32" spans="2:9">
      <c r="B32" s="71" t="s">
        <v>1315</v>
      </c>
      <c r="C32" s="290" t="str">
        <f>VLOOKUP(B32,'INSUMOS '!C5:F531,2,FALSE)</f>
        <v xml:space="preserve">Pintura acrilica base agua tipo 1 </v>
      </c>
      <c r="D32" s="291"/>
      <c r="E32" s="97" t="str">
        <f>VLOOKUP(B32,'INSUMOS '!C5:F531,3,FALSE)</f>
        <v xml:space="preserve">gl </v>
      </c>
      <c r="F32" s="117">
        <f>VLOOKUP(B32,'INSUMOS '!C5:F531,4,FALSE)</f>
        <v>72000</v>
      </c>
      <c r="G32" s="92">
        <v>0.08</v>
      </c>
      <c r="H32" s="83">
        <f t="shared" si="0"/>
        <v>5760</v>
      </c>
      <c r="I32" s="287"/>
    </row>
    <row r="33" spans="2:9">
      <c r="B33" s="71" t="s">
        <v>1292</v>
      </c>
      <c r="C33" s="290" t="str">
        <f>VLOOKUP(B33,'INSUMOS '!C5:F549,2,FALSE)</f>
        <v>LIJA DE AGUA #180</v>
      </c>
      <c r="D33" s="291"/>
      <c r="E33" s="97" t="str">
        <f>VLOOKUP(B33,'INSUMOS '!C5:F549,3,FALSE)</f>
        <v xml:space="preserve">UND </v>
      </c>
      <c r="F33" s="117">
        <f>VLOOKUP(B33,'INSUMOS '!C5:F549,4,FALSE)</f>
        <v>1900</v>
      </c>
      <c r="G33" s="92">
        <v>0.3</v>
      </c>
      <c r="H33" s="83">
        <f t="shared" ref="H33:H36" si="1">+G33*F33</f>
        <v>570</v>
      </c>
      <c r="I33" s="287"/>
    </row>
    <row r="34" spans="2:9">
      <c r="B34" s="71" t="s">
        <v>1377</v>
      </c>
      <c r="C34" s="290" t="str">
        <f>VLOOKUP(B34,'INSUMOS '!C5:F550,2,FALSE)</f>
        <v>VARILLA ROSCADA 3/8 X 1M</v>
      </c>
      <c r="D34" s="291"/>
      <c r="E34" s="97" t="str">
        <f>VLOOKUP(B34,'INSUMOS '!C5:F550,3,FALSE)</f>
        <v>ML</v>
      </c>
      <c r="F34" s="117">
        <f>VLOOKUP(B34,'INSUMOS '!C5:F550,4,FALSE)</f>
        <v>12000</v>
      </c>
      <c r="G34" s="92">
        <v>1.05</v>
      </c>
      <c r="H34" s="83">
        <f t="shared" si="1"/>
        <v>12600</v>
      </c>
      <c r="I34" s="287"/>
    </row>
    <row r="35" spans="2:9">
      <c r="B35" s="71" t="s">
        <v>1402</v>
      </c>
      <c r="C35" s="290" t="str">
        <f>VLOOKUP(B35,'INSUMOS '!C5:F551,2,FALSE)</f>
        <v>Placa aislante lana mineral rigida 0.61x1.22</v>
      </c>
      <c r="D35" s="291"/>
      <c r="E35" s="97" t="str">
        <f>VLOOKUP(B35,'INSUMOS '!C5:F551,3,FALSE)</f>
        <v xml:space="preserve">UND </v>
      </c>
      <c r="F35" s="117">
        <f>VLOOKUP(B35,'INSUMOS '!C5:F551,4,FALSE)</f>
        <v>80000</v>
      </c>
      <c r="G35" s="92">
        <v>1.05</v>
      </c>
      <c r="H35" s="83">
        <f t="shared" si="1"/>
        <v>84000</v>
      </c>
      <c r="I35" s="287"/>
    </row>
    <row r="36" spans="2:9">
      <c r="B36" s="71" t="s">
        <v>1404</v>
      </c>
      <c r="C36" s="290" t="str">
        <f>VLOOKUP(B36,'INSUMOS '!C5:F552,2,FALSE)</f>
        <v xml:space="preserve">Cinta malla fibra de vidrio 90mtx50mm </v>
      </c>
      <c r="D36" s="291"/>
      <c r="E36" s="97" t="str">
        <f>VLOOKUP(B36,'INSUMOS '!C5:F552,3,FALSE)</f>
        <v xml:space="preserve">und </v>
      </c>
      <c r="F36" s="117">
        <f>VLOOKUP(B36,'INSUMOS '!C5:F552,4,FALSE)</f>
        <v>13900</v>
      </c>
      <c r="G36" s="92">
        <v>1.4E-2</v>
      </c>
      <c r="H36" s="83">
        <f t="shared" si="1"/>
        <v>194.6</v>
      </c>
      <c r="I36" s="287"/>
    </row>
    <row r="37" spans="2:9">
      <c r="B37" s="71" t="s">
        <v>1406</v>
      </c>
      <c r="C37" s="290" t="str">
        <f>VLOOKUP(B37,'INSUMOS '!C6:F616,2,FALSE)</f>
        <v>Panel de espuma de poliuretano  50x50</v>
      </c>
      <c r="D37" s="291"/>
      <c r="E37" s="97" t="str">
        <f>VLOOKUP(B37,'INSUMOS '!C6:F616,3,FALSE)</f>
        <v xml:space="preserve">und </v>
      </c>
      <c r="F37" s="117">
        <f>VLOOKUP(B37,'INSUMOS '!C6:F616,4,FALSE)</f>
        <v>28000</v>
      </c>
      <c r="G37" s="92">
        <v>0.3</v>
      </c>
      <c r="H37" s="83">
        <f t="shared" si="0"/>
        <v>8400</v>
      </c>
      <c r="I37" s="287"/>
    </row>
    <row r="38" spans="2:9" ht="12">
      <c r="B38" s="89"/>
      <c r="C38" s="89"/>
      <c r="D38" s="89"/>
      <c r="E38" s="89"/>
      <c r="F38" s="89"/>
      <c r="G38" s="258" t="s">
        <v>64</v>
      </c>
      <c r="H38" s="258"/>
      <c r="I38" s="85">
        <f>SUM(H24:H37)</f>
        <v>145928.1</v>
      </c>
    </row>
    <row r="39" spans="2:9" ht="12">
      <c r="B39" s="89"/>
      <c r="C39" s="89"/>
      <c r="D39" s="89"/>
      <c r="E39" s="89"/>
      <c r="F39" s="89"/>
      <c r="G39" s="99" t="s">
        <v>72</v>
      </c>
      <c r="H39" s="100">
        <v>0.1</v>
      </c>
      <c r="I39" s="120">
        <f>I38*H39</f>
        <v>14592.810000000001</v>
      </c>
    </row>
    <row r="40" spans="2:9" ht="12">
      <c r="B40" s="89"/>
      <c r="C40" s="89"/>
      <c r="D40" s="89"/>
      <c r="E40" s="89"/>
      <c r="F40" s="89"/>
      <c r="G40" s="258" t="s">
        <v>73</v>
      </c>
      <c r="H40" s="258"/>
      <c r="I40" s="90">
        <f>SUM(I38:I39)</f>
        <v>160520.91</v>
      </c>
    </row>
    <row r="41" spans="2:9" ht="12">
      <c r="B41" s="78"/>
      <c r="C41" s="289" t="s">
        <v>74</v>
      </c>
      <c r="D41" s="289"/>
      <c r="E41" s="78"/>
      <c r="F41" s="78"/>
      <c r="G41" s="78"/>
      <c r="H41" s="78"/>
      <c r="I41" s="79"/>
    </row>
    <row r="42" spans="2:9" ht="12">
      <c r="B42" s="70" t="s">
        <v>42</v>
      </c>
      <c r="C42" s="70" t="s">
        <v>58</v>
      </c>
      <c r="D42" s="70" t="s">
        <v>342</v>
      </c>
      <c r="E42" s="70" t="s">
        <v>343</v>
      </c>
      <c r="F42" s="70" t="s">
        <v>344</v>
      </c>
      <c r="G42" s="70" t="s">
        <v>1278</v>
      </c>
      <c r="H42" s="74" t="s">
        <v>61</v>
      </c>
      <c r="I42" s="300"/>
    </row>
    <row r="43" spans="2:9" ht="12">
      <c r="B43" s="70"/>
      <c r="C43" s="70"/>
      <c r="D43" s="75"/>
      <c r="E43" s="70"/>
      <c r="F43" s="70"/>
      <c r="G43" s="102"/>
      <c r="H43" s="103"/>
      <c r="I43" s="301"/>
    </row>
    <row r="44" spans="2:9">
      <c r="B44" s="71"/>
      <c r="C44" s="71"/>
      <c r="D44" s="82"/>
      <c r="E44" s="71"/>
      <c r="F44" s="71"/>
      <c r="G44" s="86"/>
      <c r="H44" s="86"/>
      <c r="I44" s="301"/>
    </row>
    <row r="45" spans="2:9" ht="12">
      <c r="B45" s="89"/>
      <c r="C45" s="89"/>
      <c r="D45" s="89"/>
      <c r="E45" s="89"/>
      <c r="F45" s="89"/>
      <c r="G45" s="302" t="s">
        <v>64</v>
      </c>
      <c r="H45" s="302"/>
      <c r="I45" s="104">
        <f>+H43</f>
        <v>0</v>
      </c>
    </row>
    <row r="46" spans="2:9" ht="12">
      <c r="B46" s="78"/>
      <c r="C46" s="289" t="s">
        <v>75</v>
      </c>
      <c r="D46" s="289"/>
      <c r="E46" s="78"/>
      <c r="F46" s="78"/>
      <c r="G46" s="78"/>
      <c r="H46" s="78"/>
      <c r="I46" s="79"/>
    </row>
    <row r="47" spans="2:9" ht="12">
      <c r="B47" s="105" t="s">
        <v>42</v>
      </c>
      <c r="C47" s="105" t="s">
        <v>76</v>
      </c>
      <c r="D47" s="105" t="s">
        <v>1225</v>
      </c>
      <c r="E47" s="105" t="s">
        <v>1</v>
      </c>
      <c r="F47" s="105" t="s">
        <v>77</v>
      </c>
      <c r="G47" s="105" t="s">
        <v>78</v>
      </c>
      <c r="H47" s="105" t="s">
        <v>79</v>
      </c>
      <c r="I47" s="294"/>
    </row>
    <row r="48" spans="2:9" ht="30" customHeight="1">
      <c r="B48" s="106" t="s">
        <v>359</v>
      </c>
      <c r="C48" s="106" t="str">
        <f>+VLOOKUP(B48,'MANO DE OBRA '!B24:G47,2,FALSE)</f>
        <v xml:space="preserve"> Cuadrilla de construccion 2 (1 oficial+ 2 ayudante)</v>
      </c>
      <c r="D48" s="106">
        <v>2</v>
      </c>
      <c r="E48" s="106" t="str">
        <f>+VLOOKUP(B48,'MANO DE OBRA '!B24:G47,4,FALSE)</f>
        <v>Hora</v>
      </c>
      <c r="F48" s="86">
        <f>+VLOOKUP(B48,'MANO DE OBRA '!B24:G47,3,FALSE)</f>
        <v>66187.5</v>
      </c>
      <c r="G48" s="121">
        <v>0.44700000000000001</v>
      </c>
      <c r="H48" s="94">
        <f>F48*G48*D48</f>
        <v>59171.625</v>
      </c>
      <c r="I48" s="294"/>
    </row>
    <row r="49" spans="2:9">
      <c r="B49" s="106"/>
      <c r="C49" s="106"/>
      <c r="D49" s="106"/>
      <c r="E49" s="106"/>
      <c r="F49" s="86"/>
      <c r="G49" s="121"/>
      <c r="H49" s="94"/>
      <c r="I49" s="294"/>
    </row>
    <row r="50" spans="2:9" ht="12">
      <c r="B50" s="108"/>
      <c r="C50" s="109"/>
      <c r="D50" s="109"/>
      <c r="E50" s="109"/>
      <c r="F50" s="110"/>
      <c r="G50" s="110"/>
      <c r="H50" s="111" t="s">
        <v>64</v>
      </c>
      <c r="I50" s="112">
        <f>SUM(H48:H49)</f>
        <v>59171.625</v>
      </c>
    </row>
    <row r="51" spans="2:9" ht="12">
      <c r="B51" s="295" t="s">
        <v>83</v>
      </c>
      <c r="C51" s="296"/>
      <c r="D51" s="297" t="s">
        <v>77</v>
      </c>
      <c r="E51" s="298"/>
      <c r="F51" s="298"/>
      <c r="G51" s="298"/>
      <c r="H51" s="299"/>
      <c r="I51" s="113">
        <f>SUM(I21+I45+I40+I50)</f>
        <v>225885.33499999999</v>
      </c>
    </row>
  </sheetData>
  <mergeCells count="50">
    <mergeCell ref="B3:C7"/>
    <mergeCell ref="D3:E5"/>
    <mergeCell ref="G3:I3"/>
    <mergeCell ref="H4:I4"/>
    <mergeCell ref="G5:I5"/>
    <mergeCell ref="D6:E7"/>
    <mergeCell ref="F6:I7"/>
    <mergeCell ref="B9:C10"/>
    <mergeCell ref="D9:D10"/>
    <mergeCell ref="E9:I10"/>
    <mergeCell ref="B11:I11"/>
    <mergeCell ref="C12:F12"/>
    <mergeCell ref="G12:H12"/>
    <mergeCell ref="C22:D22"/>
    <mergeCell ref="C13:F13"/>
    <mergeCell ref="G13:H13"/>
    <mergeCell ref="C14:E14"/>
    <mergeCell ref="F14:H14"/>
    <mergeCell ref="C15:E15"/>
    <mergeCell ref="F15:H15"/>
    <mergeCell ref="C17:D17"/>
    <mergeCell ref="I17:I20"/>
    <mergeCell ref="C18:D18"/>
    <mergeCell ref="C19:D19"/>
    <mergeCell ref="C20:D20"/>
    <mergeCell ref="B51:C51"/>
    <mergeCell ref="D51:H51"/>
    <mergeCell ref="C23:D23"/>
    <mergeCell ref="I23:I37"/>
    <mergeCell ref="C24:D24"/>
    <mergeCell ref="C37:D37"/>
    <mergeCell ref="G38:H38"/>
    <mergeCell ref="G40:H40"/>
    <mergeCell ref="C25:D25"/>
    <mergeCell ref="C26:D26"/>
    <mergeCell ref="C27:D27"/>
    <mergeCell ref="C28:D28"/>
    <mergeCell ref="I42:I44"/>
    <mergeCell ref="G45:H45"/>
    <mergeCell ref="C46:D46"/>
    <mergeCell ref="I47:I49"/>
    <mergeCell ref="C29:D29"/>
    <mergeCell ref="C30:D30"/>
    <mergeCell ref="C31:D31"/>
    <mergeCell ref="C32:D32"/>
    <mergeCell ref="C41:D41"/>
    <mergeCell ref="C33:D33"/>
    <mergeCell ref="C34:D34"/>
    <mergeCell ref="C35:D35"/>
    <mergeCell ref="C36:D3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B4175-9ABE-4A2D-AD3F-7A36F7B62734}">
  <sheetPr codeName="Hoja6"/>
  <dimension ref="B3:N42"/>
  <sheetViews>
    <sheetView workbookViewId="0">
      <selection activeCell="M16" sqref="M16"/>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14" style="11" bestFit="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5.5" customHeight="1">
      <c r="B13" s="13" t="s">
        <v>9</v>
      </c>
      <c r="C13" s="283" t="s">
        <v>1887</v>
      </c>
      <c r="D13" s="284"/>
      <c r="E13" s="284"/>
      <c r="F13" s="285"/>
      <c r="G13" s="286" t="s">
        <v>2</v>
      </c>
      <c r="H13" s="286"/>
      <c r="I13" s="17">
        <v>60.139800000000001</v>
      </c>
    </row>
    <row r="14" spans="2:9" ht="12">
      <c r="B14" s="70"/>
      <c r="C14" s="286"/>
      <c r="D14" s="286"/>
      <c r="E14" s="286"/>
      <c r="F14" s="286" t="s">
        <v>55</v>
      </c>
      <c r="G14" s="286"/>
      <c r="H14" s="286"/>
      <c r="I14" s="76" t="s">
        <v>63</v>
      </c>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347</v>
      </c>
      <c r="C19" s="288" t="str">
        <f>VLOOKUP(B19,'MAQUINARIA Y EQUIPOS  '!C7:F95,2,FALSE)</f>
        <v>Andamio (2cuerpo)</v>
      </c>
      <c r="D19" s="265"/>
      <c r="E19" s="71" t="str">
        <f>VLOOKUP(B19,'MAQUINARIA Y EQUIPOS  '!C7:F95,3,FALSE)</f>
        <v>DIA</v>
      </c>
      <c r="F19" s="86">
        <f>VLOOKUP(B19,'MAQUINARIA Y EQUIPOS  '!C7:F95,4,FALSE)</f>
        <v>10000</v>
      </c>
      <c r="G19" s="87">
        <v>0.15</v>
      </c>
      <c r="H19" s="85">
        <f>+F19*G19</f>
        <v>1500</v>
      </c>
      <c r="I19" s="287"/>
    </row>
    <row r="20" spans="2:9">
      <c r="B20" s="71" t="s">
        <v>1267</v>
      </c>
      <c r="C20" s="288" t="str">
        <f>VLOOKUP(B20,'MAQUINARIA Y EQUIPOS  '!C8:F96,2,FALSE)</f>
        <v xml:space="preserve">Pluma grua </v>
      </c>
      <c r="D20" s="265"/>
      <c r="E20" s="88" t="str">
        <f>VLOOKUP(B20,'MAQUINARIA Y EQUIPOS  '!C8:F96,3,FALSE)</f>
        <v>HH</v>
      </c>
      <c r="F20" s="86">
        <f>VLOOKUP(B20,'MAQUINARIA Y EQUIPOS  '!C8:F96,4,FALSE)</f>
        <v>10500</v>
      </c>
      <c r="G20" s="71">
        <v>0.08</v>
      </c>
      <c r="H20" s="85">
        <f>+F20*G20</f>
        <v>840</v>
      </c>
      <c r="I20" s="287"/>
    </row>
    <row r="21" spans="2:9">
      <c r="B21" s="71" t="s">
        <v>1263</v>
      </c>
      <c r="C21" s="258" t="str">
        <f>VLOOKUP(B21,'MAQUINARIA Y EQUIPOS  '!C7:F95,2,FALSE)</f>
        <v xml:space="preserve">MARTILLO DEMOLEDOR </v>
      </c>
      <c r="D21" s="258"/>
      <c r="E21" s="88" t="str">
        <f>VLOOKUP(B21,'MAQUINARIA Y EQUIPOS  '!C7:F95,3,FALSE)</f>
        <v>HH</v>
      </c>
      <c r="F21" s="86">
        <f>VLOOKUP(B21,'MAQUINARIA Y EQUIPOS  '!C7:F95,4,FALSE)</f>
        <v>12000</v>
      </c>
      <c r="G21" s="71">
        <v>0.45</v>
      </c>
      <c r="H21" s="93">
        <f>F21*G21</f>
        <v>5400</v>
      </c>
      <c r="I21" s="287"/>
    </row>
    <row r="22" spans="2:9" ht="12">
      <c r="B22" s="89"/>
      <c r="C22" s="89"/>
      <c r="D22" s="89"/>
      <c r="E22" s="89"/>
      <c r="F22" s="89"/>
      <c r="G22" s="89"/>
      <c r="H22" s="89" t="s">
        <v>64</v>
      </c>
      <c r="I22" s="90">
        <f>SUM(H18:H21)</f>
        <v>8811.4</v>
      </c>
    </row>
    <row r="23" spans="2:9" ht="12">
      <c r="B23" s="78"/>
      <c r="C23" s="289" t="s">
        <v>65</v>
      </c>
      <c r="D23" s="289"/>
      <c r="E23" s="78"/>
      <c r="F23" s="78"/>
      <c r="G23" s="78"/>
      <c r="H23" s="78"/>
      <c r="I23" s="79"/>
    </row>
    <row r="24" spans="2:9" ht="12">
      <c r="B24" s="70" t="s">
        <v>42</v>
      </c>
      <c r="C24" s="286" t="s">
        <v>58</v>
      </c>
      <c r="D24" s="286"/>
      <c r="E24" s="70" t="s">
        <v>1</v>
      </c>
      <c r="F24" s="80" t="s">
        <v>66</v>
      </c>
      <c r="G24" s="70" t="s">
        <v>67</v>
      </c>
      <c r="H24" s="70" t="s">
        <v>61</v>
      </c>
      <c r="I24" s="287"/>
    </row>
    <row r="25" spans="2:9">
      <c r="B25" s="71" t="s">
        <v>1580</v>
      </c>
      <c r="C25" s="290" t="str">
        <f>VLOOKUP(B25,'INSUMOS '!C3:G950,2,FALSE)</f>
        <v>Plástico de poliuretano (calibre pesado)</v>
      </c>
      <c r="D25" s="291"/>
      <c r="E25" s="97" t="str">
        <f>VLOOKUP(B25,'INSUMOS '!C3:G950,3,FALSE)</f>
        <v>m2</v>
      </c>
      <c r="F25" s="98">
        <f>VLOOKUP(B25,'INSUMOS '!C3:G950,4,FALSE)</f>
        <v>2500</v>
      </c>
      <c r="G25" s="71">
        <v>1</v>
      </c>
      <c r="H25" s="83">
        <f>+G25*F25</f>
        <v>2500</v>
      </c>
      <c r="I25" s="287"/>
    </row>
    <row r="26" spans="2:9">
      <c r="B26" s="71" t="s">
        <v>1583</v>
      </c>
      <c r="C26" s="290" t="str">
        <f>VLOOKUP(B26,'INSUMOS '!C4:G951,2,FALSE)</f>
        <v>Cartón corrugado triple (alta resistencia)</v>
      </c>
      <c r="D26" s="291"/>
      <c r="E26" s="97" t="str">
        <f>VLOOKUP(B26,'INSUMOS '!C4:G951,3,FALSE)</f>
        <v>m2</v>
      </c>
      <c r="F26" s="98">
        <f>VLOOKUP(B26,'INSUMOS '!C4:G951,4,FALSE)</f>
        <v>6000</v>
      </c>
      <c r="G26" s="71">
        <v>1</v>
      </c>
      <c r="H26" s="83">
        <f>+G26*F26</f>
        <v>6000</v>
      </c>
      <c r="I26" s="287"/>
    </row>
    <row r="27" spans="2:9">
      <c r="B27" s="71" t="s">
        <v>1584</v>
      </c>
      <c r="C27" s="290" t="str">
        <f>VLOOKUP(B27,'INSUMOS '!C5:G952,2,FALSE)</f>
        <v xml:space="preserve">Cinta de enmascarar de alta adherencia </v>
      </c>
      <c r="D27" s="291"/>
      <c r="E27" s="97" t="str">
        <f>VLOOKUP(B27,'INSUMOS '!C5:G952,3,FALSE)</f>
        <v>m</v>
      </c>
      <c r="F27" s="98">
        <f>VLOOKUP(B27,'INSUMOS '!C5:G952,4,FALSE)</f>
        <v>500</v>
      </c>
      <c r="G27" s="71">
        <v>1.35</v>
      </c>
      <c r="H27" s="83">
        <f>+G27*F27</f>
        <v>675</v>
      </c>
      <c r="I27" s="287"/>
    </row>
    <row r="28" spans="2:9">
      <c r="B28" s="71"/>
      <c r="C28" s="292"/>
      <c r="D28" s="293"/>
      <c r="E28" s="91"/>
      <c r="F28" s="94"/>
      <c r="G28" s="92"/>
      <c r="H28" s="83"/>
      <c r="I28" s="287"/>
    </row>
    <row r="29" spans="2:9" ht="12">
      <c r="B29" s="89"/>
      <c r="C29" s="89"/>
      <c r="D29" s="89"/>
      <c r="E29" s="89"/>
      <c r="F29" s="89"/>
      <c r="G29" s="258" t="s">
        <v>64</v>
      </c>
      <c r="H29" s="258"/>
      <c r="I29" s="85">
        <f>SUM(H25:H28)</f>
        <v>9175</v>
      </c>
    </row>
    <row r="30" spans="2:9" ht="12">
      <c r="B30" s="89"/>
      <c r="C30" s="89"/>
      <c r="D30" s="89"/>
      <c r="E30" s="89"/>
      <c r="F30" s="89"/>
      <c r="G30" s="99" t="s">
        <v>72</v>
      </c>
      <c r="H30" s="100">
        <v>0.05</v>
      </c>
      <c r="I30" s="101">
        <f>I29*H30</f>
        <v>458.75</v>
      </c>
    </row>
    <row r="31" spans="2:9" ht="12">
      <c r="B31" s="89"/>
      <c r="C31" s="89"/>
      <c r="D31" s="89"/>
      <c r="E31" s="89"/>
      <c r="F31" s="89"/>
      <c r="G31" s="258" t="s">
        <v>73</v>
      </c>
      <c r="H31" s="258"/>
      <c r="I31" s="90">
        <f>SUM(I29:I30)</f>
        <v>9633.75</v>
      </c>
    </row>
    <row r="32" spans="2:9" ht="12">
      <c r="B32" s="78"/>
      <c r="C32" s="289" t="s">
        <v>74</v>
      </c>
      <c r="D32" s="289"/>
      <c r="E32" s="78"/>
      <c r="F32" s="78"/>
      <c r="G32" s="78"/>
      <c r="H32" s="78"/>
      <c r="I32" s="79"/>
    </row>
    <row r="33" spans="2:14" ht="12">
      <c r="B33" s="70" t="s">
        <v>42</v>
      </c>
      <c r="C33" s="70" t="s">
        <v>58</v>
      </c>
      <c r="D33" s="70" t="s">
        <v>342</v>
      </c>
      <c r="E33" s="70" t="s">
        <v>343</v>
      </c>
      <c r="F33" s="70" t="s">
        <v>344</v>
      </c>
      <c r="G33" s="70" t="s">
        <v>345</v>
      </c>
      <c r="H33" s="74" t="s">
        <v>61</v>
      </c>
      <c r="I33" s="300"/>
    </row>
    <row r="34" spans="2:14" ht="12">
      <c r="B34" s="70" t="s">
        <v>192</v>
      </c>
      <c r="C34" s="70" t="str">
        <f>VLOOKUP(B34,'MAQUINARIA Y EQUIPOS  '!C7:F95,2,FALSE)</f>
        <v>Volqueta de 8 m3</v>
      </c>
      <c r="D34" s="75" t="str">
        <f>VLOOKUP(B34,'MAQUINARIA Y EQUIPOS  '!C7:F95,3,FALSE)</f>
        <v>m3/km</v>
      </c>
      <c r="E34" s="70">
        <f>0.1*1.3</f>
        <v>0.13</v>
      </c>
      <c r="F34" s="70">
        <v>19</v>
      </c>
      <c r="G34" s="102">
        <f>VLOOKUP(B34,'MAQUINARIA Y EQUIPOS  '!C7:F95,4,FALSE)</f>
        <v>1500</v>
      </c>
      <c r="H34" s="103">
        <f>+F34*G34*E34</f>
        <v>3705</v>
      </c>
      <c r="I34" s="301"/>
    </row>
    <row r="35" spans="2:14">
      <c r="B35" s="71"/>
      <c r="C35" s="71"/>
      <c r="D35" s="82"/>
      <c r="E35" s="71"/>
      <c r="F35" s="71"/>
      <c r="G35" s="86"/>
      <c r="H35" s="86"/>
      <c r="I35" s="301"/>
      <c r="M35" s="11" t="s">
        <v>339</v>
      </c>
    </row>
    <row r="36" spans="2:14" ht="12">
      <c r="B36" s="89"/>
      <c r="C36" s="89"/>
      <c r="D36" s="89"/>
      <c r="E36" s="89"/>
      <c r="F36" s="89"/>
      <c r="G36" s="302" t="s">
        <v>64</v>
      </c>
      <c r="H36" s="302"/>
      <c r="I36" s="104">
        <f>+H34</f>
        <v>3705</v>
      </c>
      <c r="M36" s="11" t="s">
        <v>340</v>
      </c>
      <c r="N36" s="11">
        <v>11000</v>
      </c>
    </row>
    <row r="37" spans="2:14" ht="12">
      <c r="B37" s="78"/>
      <c r="C37" s="289" t="s">
        <v>75</v>
      </c>
      <c r="D37" s="289"/>
      <c r="E37" s="78"/>
      <c r="F37" s="78"/>
      <c r="G37" s="78"/>
      <c r="H37" s="78"/>
      <c r="I37" s="79"/>
    </row>
    <row r="38" spans="2:14" ht="12">
      <c r="B38" s="105" t="s">
        <v>42</v>
      </c>
      <c r="C38" s="105" t="s">
        <v>76</v>
      </c>
      <c r="D38" s="105" t="s">
        <v>1220</v>
      </c>
      <c r="E38" s="105" t="s">
        <v>1</v>
      </c>
      <c r="F38" s="105" t="s">
        <v>77</v>
      </c>
      <c r="G38" s="105" t="s">
        <v>78</v>
      </c>
      <c r="H38" s="105" t="s">
        <v>79</v>
      </c>
      <c r="I38" s="294"/>
    </row>
    <row r="39" spans="2:14" ht="22.8">
      <c r="B39" s="106" t="s">
        <v>359</v>
      </c>
      <c r="C39" s="106" t="str">
        <f>+VLOOKUP(B39,'MANO DE OBRA '!B23:G46,2,FALSE)</f>
        <v xml:space="preserve"> Cuadrilla de construccion 2 (1 oficial+ 2 ayudante)</v>
      </c>
      <c r="D39" s="106">
        <v>1</v>
      </c>
      <c r="E39" s="106" t="str">
        <f>+VLOOKUP(B39,'MANO DE OBRA '!B23:G46,4,FALSE)</f>
        <v>Hora</v>
      </c>
      <c r="F39" s="86">
        <f>+VLOOKUP(B39,'MANO DE OBRA '!B23:G46,3,FALSE)</f>
        <v>66187.5</v>
      </c>
      <c r="G39" s="107">
        <v>0.44</v>
      </c>
      <c r="H39" s="94">
        <f>F39*G39*D39</f>
        <v>29122.5</v>
      </c>
      <c r="I39" s="294"/>
    </row>
    <row r="40" spans="2:14">
      <c r="B40" s="106"/>
      <c r="C40" s="106"/>
      <c r="D40" s="106"/>
      <c r="E40" s="106"/>
      <c r="F40" s="86"/>
      <c r="G40" s="107"/>
      <c r="H40" s="94"/>
      <c r="I40" s="294"/>
    </row>
    <row r="41" spans="2:14" ht="12">
      <c r="B41" s="108"/>
      <c r="C41" s="109"/>
      <c r="D41" s="109"/>
      <c r="E41" s="109"/>
      <c r="F41" s="110"/>
      <c r="G41" s="110"/>
      <c r="H41" s="111" t="s">
        <v>64</v>
      </c>
      <c r="I41" s="112">
        <f>SUM(H39:H40)</f>
        <v>29122.5</v>
      </c>
    </row>
    <row r="42" spans="2:14" ht="12">
      <c r="B42" s="295" t="s">
        <v>83</v>
      </c>
      <c r="C42" s="296"/>
      <c r="D42" s="297" t="s">
        <v>77</v>
      </c>
      <c r="E42" s="298"/>
      <c r="F42" s="298"/>
      <c r="G42" s="298"/>
      <c r="H42" s="299"/>
      <c r="I42" s="113">
        <f>SUM(I22+I36+I31+I41)</f>
        <v>51272.65</v>
      </c>
    </row>
  </sheetData>
  <mergeCells count="41">
    <mergeCell ref="B42:C42"/>
    <mergeCell ref="D42:H42"/>
    <mergeCell ref="C23:D23"/>
    <mergeCell ref="C24:D24"/>
    <mergeCell ref="C37:D37"/>
    <mergeCell ref="C32:D32"/>
    <mergeCell ref="C25:D25"/>
    <mergeCell ref="C26:D26"/>
    <mergeCell ref="C27:D27"/>
    <mergeCell ref="C28:D28"/>
    <mergeCell ref="E9:I10"/>
    <mergeCell ref="B11:I11"/>
    <mergeCell ref="I17:I21"/>
    <mergeCell ref="C18:D18"/>
    <mergeCell ref="C21:D21"/>
    <mergeCell ref="C15:E15"/>
    <mergeCell ref="F15:H15"/>
    <mergeCell ref="B9:C10"/>
    <mergeCell ref="C12:F12"/>
    <mergeCell ref="G12:H12"/>
    <mergeCell ref="C19:D19"/>
    <mergeCell ref="D9:D10"/>
    <mergeCell ref="C14:E14"/>
    <mergeCell ref="C17:D17"/>
    <mergeCell ref="C13:F13"/>
    <mergeCell ref="G13:H13"/>
    <mergeCell ref="B3:C7"/>
    <mergeCell ref="D3:E5"/>
    <mergeCell ref="G3:I3"/>
    <mergeCell ref="H4:I4"/>
    <mergeCell ref="G5:I5"/>
    <mergeCell ref="D6:E7"/>
    <mergeCell ref="F6:I7"/>
    <mergeCell ref="C20:D20"/>
    <mergeCell ref="F14:H14"/>
    <mergeCell ref="I38:I40"/>
    <mergeCell ref="I33:I35"/>
    <mergeCell ref="G36:H36"/>
    <mergeCell ref="G29:H29"/>
    <mergeCell ref="G31:H31"/>
    <mergeCell ref="I24:I28"/>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FB9C2-1F95-4623-BC44-8DD2DCA89E94}">
  <sheetPr codeName="Hoja51"/>
  <dimension ref="B3:I40"/>
  <sheetViews>
    <sheetView topLeftCell="A7" zoomScale="89" zoomScaleNormal="89" workbookViewId="0">
      <selection activeCell="K15" sqref="K1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9" customHeight="1">
      <c r="B13" s="17">
        <v>10.1</v>
      </c>
      <c r="C13" s="283" t="s">
        <v>1941</v>
      </c>
      <c r="D13" s="284"/>
      <c r="E13" s="284"/>
      <c r="F13" s="285"/>
      <c r="G13" s="286" t="s">
        <v>2279</v>
      </c>
      <c r="H13" s="286"/>
      <c r="I13" s="114">
        <v>23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c r="H19" s="85">
        <f>F19*G19</f>
        <v>0</v>
      </c>
      <c r="I19" s="287"/>
    </row>
    <row r="20" spans="2:9">
      <c r="B20" s="71"/>
      <c r="C20" s="288"/>
      <c r="D20" s="265"/>
      <c r="E20" s="88"/>
      <c r="F20" s="86"/>
      <c r="G20" s="119"/>
      <c r="H20" s="93"/>
      <c r="I20" s="287"/>
    </row>
    <row r="21" spans="2:9" ht="12">
      <c r="B21" s="89"/>
      <c r="C21" s="89"/>
      <c r="D21" s="89"/>
      <c r="E21" s="89"/>
      <c r="F21" s="89"/>
      <c r="G21" s="89"/>
      <c r="H21" s="89" t="s">
        <v>64</v>
      </c>
      <c r="I21" s="90">
        <f>SUM(H18:H20)</f>
        <v>1071.4000000000001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874</v>
      </c>
      <c r="C24" s="290" t="str">
        <f>VLOOKUP(B24,'INSUMOS '!C4:F530,2,FALSE)</f>
        <v>TOMACORRIENTE DOBLE PT. 127VOLT.</v>
      </c>
      <c r="D24" s="291"/>
      <c r="E24" s="97" t="str">
        <f>VLOOKUP(B24,'INSUMOS '!C4:F530,3,FALSE)</f>
        <v>UN</v>
      </c>
      <c r="F24" s="117">
        <f>VLOOKUP(B24,'INSUMOS '!C4:F530,4,FALSE)</f>
        <v>32900</v>
      </c>
      <c r="G24" s="92">
        <v>1</v>
      </c>
      <c r="H24" s="83">
        <f>+G24*F24</f>
        <v>32900</v>
      </c>
      <c r="I24" s="287"/>
    </row>
    <row r="25" spans="2:9">
      <c r="B25" s="71" t="s">
        <v>794</v>
      </c>
      <c r="C25" s="290" t="str">
        <f>VLOOKUP(B25,'INSUMOS '!C4:F530,2,FALSE)</f>
        <v>CAJA RECTANGULAR 4x2</v>
      </c>
      <c r="D25" s="291"/>
      <c r="E25" s="97" t="str">
        <f>VLOOKUP(B25,'INSUMOS '!C4:F530,3,FALSE)</f>
        <v>UN</v>
      </c>
      <c r="F25" s="117">
        <f>VLOOKUP(B25,'INSUMOS '!C4:F530,4,FALSE)</f>
        <v>2500</v>
      </c>
      <c r="G25" s="92">
        <v>1</v>
      </c>
      <c r="H25" s="83">
        <f>+G25*F25</f>
        <v>2500</v>
      </c>
      <c r="I25" s="287"/>
    </row>
    <row r="26" spans="2:9" ht="12">
      <c r="B26" s="89"/>
      <c r="C26" s="89"/>
      <c r="D26" s="89"/>
      <c r="E26" s="89"/>
      <c r="F26" s="89"/>
      <c r="G26" s="258" t="s">
        <v>64</v>
      </c>
      <c r="H26" s="258"/>
      <c r="I26" s="85">
        <f>SUM(H24:H25)</f>
        <v>35400</v>
      </c>
    </row>
    <row r="27" spans="2:9" ht="12">
      <c r="B27" s="89"/>
      <c r="C27" s="89"/>
      <c r="D27" s="89"/>
      <c r="E27" s="89"/>
      <c r="F27" s="89"/>
      <c r="G27" s="99" t="s">
        <v>72</v>
      </c>
      <c r="H27" s="100">
        <v>0.05</v>
      </c>
      <c r="I27" s="120">
        <f>I26*H27</f>
        <v>1770</v>
      </c>
    </row>
    <row r="28" spans="2:9" ht="12">
      <c r="B28" s="89"/>
      <c r="C28" s="89"/>
      <c r="D28" s="89"/>
      <c r="E28" s="89"/>
      <c r="F28" s="89"/>
      <c r="G28" s="258" t="s">
        <v>73</v>
      </c>
      <c r="H28" s="258"/>
      <c r="I28" s="90">
        <f>SUM(I26:I27)</f>
        <v>37170</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t="s">
        <v>274</v>
      </c>
      <c r="C31" s="70" t="str">
        <f>VLOOKUP(B31,'MAQUINARIA Y EQUIPOS  '!C12:F100,2,FALSE)</f>
        <v>CAMIONETA D300</v>
      </c>
      <c r="D31" s="75" t="s">
        <v>1333</v>
      </c>
      <c r="E31" s="70">
        <v>0.2</v>
      </c>
      <c r="F31" s="70">
        <v>19</v>
      </c>
      <c r="G31" s="102">
        <v>1000</v>
      </c>
      <c r="H31" s="103">
        <f>+G31*E31</f>
        <v>200</v>
      </c>
      <c r="I31" s="301"/>
    </row>
    <row r="32" spans="2:9">
      <c r="B32" s="71"/>
      <c r="C32" s="71"/>
      <c r="D32" s="82"/>
      <c r="E32" s="71"/>
      <c r="F32" s="71"/>
      <c r="G32" s="86"/>
      <c r="H32" s="86"/>
      <c r="I32" s="301"/>
    </row>
    <row r="33" spans="2:9" ht="12">
      <c r="B33" s="89"/>
      <c r="C33" s="89"/>
      <c r="D33" s="89"/>
      <c r="E33" s="89"/>
      <c r="F33" s="89"/>
      <c r="G33" s="302" t="s">
        <v>64</v>
      </c>
      <c r="H33" s="302"/>
      <c r="I33" s="104">
        <f>+H31</f>
        <v>200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69</v>
      </c>
      <c r="C36" s="106" t="str">
        <f>+VLOOKUP(B36,'MANO DE OBRA '!B23:G46,2,FALSE)</f>
        <v>Electricista</v>
      </c>
      <c r="D36" s="106">
        <v>1</v>
      </c>
      <c r="E36" s="106" t="str">
        <f>+VLOOKUP(B36,'MANO DE OBRA '!B23:G46,4,FALSE)</f>
        <v>Dia</v>
      </c>
      <c r="F36" s="86">
        <f>+VLOOKUP(B36,'MANO DE OBRA '!B23:G46,3,FALSE)</f>
        <v>213000</v>
      </c>
      <c r="G36" s="121">
        <v>0.1</v>
      </c>
      <c r="H36" s="94">
        <f>F36*G36*D36</f>
        <v>21300</v>
      </c>
      <c r="I36" s="294"/>
    </row>
    <row r="37" spans="2:9" ht="30" customHeight="1">
      <c r="B37" s="106" t="s">
        <v>70</v>
      </c>
      <c r="C37" s="106" t="str">
        <f>+VLOOKUP(B37,'MANO DE OBRA '!B24:G47,2,FALSE)</f>
        <v>Ayudante Electrico</v>
      </c>
      <c r="D37" s="106">
        <v>1</v>
      </c>
      <c r="E37" s="106" t="str">
        <f>+VLOOKUP(B37,'MANO DE OBRA '!B24:G47,4,FALSE)</f>
        <v>Dia</v>
      </c>
      <c r="F37" s="86">
        <f>+VLOOKUP(B37,'MANO DE OBRA '!B24:G47,3,FALSE)</f>
        <v>142000</v>
      </c>
      <c r="G37" s="121">
        <v>0.1</v>
      </c>
      <c r="H37" s="94">
        <f>F37*G37*D37</f>
        <v>14200</v>
      </c>
      <c r="I37" s="294"/>
    </row>
    <row r="38" spans="2:9">
      <c r="B38" s="106"/>
      <c r="C38" s="106"/>
      <c r="D38" s="106"/>
      <c r="E38" s="106"/>
      <c r="F38" s="86"/>
      <c r="G38" s="121"/>
      <c r="H38" s="94"/>
      <c r="I38" s="294"/>
    </row>
    <row r="39" spans="2:9" ht="12">
      <c r="B39" s="108"/>
      <c r="C39" s="109"/>
      <c r="D39" s="109"/>
      <c r="E39" s="109"/>
      <c r="F39" s="110"/>
      <c r="G39" s="110"/>
      <c r="H39" s="111" t="s">
        <v>64</v>
      </c>
      <c r="I39" s="112">
        <f>SUM(H36:H38)</f>
        <v>35500</v>
      </c>
    </row>
    <row r="40" spans="2:9" ht="12">
      <c r="B40" s="295" t="s">
        <v>83</v>
      </c>
      <c r="C40" s="296"/>
      <c r="D40" s="297" t="s">
        <v>77</v>
      </c>
      <c r="E40" s="298"/>
      <c r="F40" s="298"/>
      <c r="G40" s="298"/>
      <c r="H40" s="299"/>
      <c r="I40" s="113">
        <f>SUM(I21+I33+I28+I39)</f>
        <v>73941.399999999994</v>
      </c>
    </row>
  </sheetData>
  <mergeCells count="38">
    <mergeCell ref="I17:I20"/>
    <mergeCell ref="C18:D18"/>
    <mergeCell ref="C19:D19"/>
    <mergeCell ref="C20:D20"/>
    <mergeCell ref="C22:D22"/>
    <mergeCell ref="C17:D17"/>
    <mergeCell ref="B40:C40"/>
    <mergeCell ref="D40:H40"/>
    <mergeCell ref="C23:D23"/>
    <mergeCell ref="I23:I25"/>
    <mergeCell ref="C24:D24"/>
    <mergeCell ref="G26:H26"/>
    <mergeCell ref="G28:H28"/>
    <mergeCell ref="C25:D25"/>
    <mergeCell ref="C29:D29"/>
    <mergeCell ref="I30:I32"/>
    <mergeCell ref="G33:H33"/>
    <mergeCell ref="C34:D34"/>
    <mergeCell ref="I35:I38"/>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F9E32-ED87-4F99-A178-2BE2426516A8}">
  <sheetPr codeName="Hoja52"/>
  <dimension ref="B3:I41"/>
  <sheetViews>
    <sheetView topLeftCell="A16" zoomScale="89" zoomScaleNormal="89" workbookViewId="0">
      <selection activeCell="I13" sqref="I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7.5" customHeight="1">
      <c r="B13" s="17">
        <v>10.199999999999999</v>
      </c>
      <c r="C13" s="283" t="s">
        <v>1942</v>
      </c>
      <c r="D13" s="284"/>
      <c r="E13" s="284"/>
      <c r="F13" s="285"/>
      <c r="G13" s="286" t="s">
        <v>907</v>
      </c>
      <c r="H13" s="286"/>
      <c r="I13" s="114">
        <v>96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c r="H19" s="85">
        <f>F19*G19</f>
        <v>0</v>
      </c>
      <c r="I19" s="287"/>
    </row>
    <row r="20" spans="2:9">
      <c r="B20" s="71"/>
      <c r="C20" s="288"/>
      <c r="D20" s="265"/>
      <c r="E20" s="88"/>
      <c r="F20" s="86"/>
      <c r="G20" s="119"/>
      <c r="H20" s="93"/>
      <c r="I20" s="287"/>
    </row>
    <row r="21" spans="2:9" ht="12">
      <c r="B21" s="89"/>
      <c r="C21" s="89"/>
      <c r="D21" s="89"/>
      <c r="E21" s="89"/>
      <c r="F21" s="89"/>
      <c r="G21" s="89"/>
      <c r="H21" s="89" t="s">
        <v>64</v>
      </c>
      <c r="I21" s="90">
        <f>SUM(H18:H20)</f>
        <v>1071.4000000000001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973</v>
      </c>
      <c r="C24" s="290" t="str">
        <f>VLOOKUP(B24,'INSUMOS '!C4:F530,2,FALSE)</f>
        <v xml:space="preserve">INTERRUPTOR SENCILLO </v>
      </c>
      <c r="D24" s="291"/>
      <c r="E24" s="97" t="str">
        <f>VLOOKUP(B24,'INSUMOS '!C4:F530,3,FALSE)</f>
        <v>UND</v>
      </c>
      <c r="F24" s="117">
        <f>VLOOKUP(B24,'INSUMOS '!C4:F530,4,FALSE)</f>
        <v>9900</v>
      </c>
      <c r="G24" s="92">
        <v>1</v>
      </c>
      <c r="H24" s="83">
        <f>+G24*F24</f>
        <v>9900</v>
      </c>
      <c r="I24" s="287"/>
    </row>
    <row r="25" spans="2:9">
      <c r="B25" s="71" t="s">
        <v>1328</v>
      </c>
      <c r="C25" s="290" t="str">
        <f>VLOOKUP(B25,'INSUMOS '!C4:F530,2,FALSE)</f>
        <v xml:space="preserve">CAJA 4X4 GALVANIZADA </v>
      </c>
      <c r="D25" s="291"/>
      <c r="E25" s="97" t="str">
        <f>VLOOKUP(B25,'INSUMOS '!C4:F530,3,FALSE)</f>
        <v xml:space="preserve">UND </v>
      </c>
      <c r="F25" s="117">
        <f>VLOOKUP(B25,'INSUMOS '!C4:F530,4,FALSE)</f>
        <v>14280</v>
      </c>
      <c r="G25" s="92">
        <v>1</v>
      </c>
      <c r="H25" s="83">
        <f>+G25*F25</f>
        <v>14280</v>
      </c>
      <c r="I25" s="287"/>
    </row>
    <row r="26" spans="2:9">
      <c r="B26" s="71" t="s">
        <v>1337</v>
      </c>
      <c r="C26" s="290" t="str">
        <f>VLOOKUP(B26,'INSUMOS '!C4:F530,2,FALSE)</f>
        <v xml:space="preserve">Consumible de fijacion </v>
      </c>
      <c r="D26" s="291"/>
      <c r="E26" s="97" t="str">
        <f>VLOOKUP(B26,'INSUMOS '!C4:F530,3,FALSE)</f>
        <v>glb</v>
      </c>
      <c r="F26" s="117">
        <f>VLOOKUP(B26,'INSUMOS '!C4:F530,4,FALSE)</f>
        <v>2000</v>
      </c>
      <c r="G26" s="92">
        <v>1</v>
      </c>
      <c r="H26" s="83">
        <f>+G26*F26</f>
        <v>2000</v>
      </c>
      <c r="I26" s="287"/>
    </row>
    <row r="27" spans="2:9" ht="12">
      <c r="B27" s="89"/>
      <c r="C27" s="89"/>
      <c r="D27" s="89"/>
      <c r="E27" s="89"/>
      <c r="F27" s="89"/>
      <c r="G27" s="258" t="s">
        <v>64</v>
      </c>
      <c r="H27" s="258"/>
      <c r="I27" s="85">
        <f>SUM(H24:H26)</f>
        <v>26180</v>
      </c>
    </row>
    <row r="28" spans="2:9" ht="12">
      <c r="B28" s="89"/>
      <c r="C28" s="89"/>
      <c r="D28" s="89"/>
      <c r="E28" s="89"/>
      <c r="F28" s="89"/>
      <c r="G28" s="99" t="s">
        <v>72</v>
      </c>
      <c r="H28" s="100">
        <v>0.05</v>
      </c>
      <c r="I28" s="120">
        <f>I27*H28</f>
        <v>1309</v>
      </c>
    </row>
    <row r="29" spans="2:9" ht="12">
      <c r="B29" s="89"/>
      <c r="C29" s="89"/>
      <c r="D29" s="89"/>
      <c r="E29" s="89"/>
      <c r="F29" s="89"/>
      <c r="G29" s="258" t="s">
        <v>73</v>
      </c>
      <c r="H29" s="258"/>
      <c r="I29" s="90">
        <f>SUM(I27:I28)</f>
        <v>27489</v>
      </c>
    </row>
    <row r="30" spans="2:9" ht="12">
      <c r="B30" s="78"/>
      <c r="C30" s="289" t="s">
        <v>74</v>
      </c>
      <c r="D30" s="289"/>
      <c r="E30" s="78"/>
      <c r="F30" s="78"/>
      <c r="G30" s="78"/>
      <c r="H30" s="78"/>
      <c r="I30" s="79"/>
    </row>
    <row r="31" spans="2:9" ht="12">
      <c r="B31" s="70" t="s">
        <v>42</v>
      </c>
      <c r="C31" s="70" t="s">
        <v>58</v>
      </c>
      <c r="D31" s="70" t="s">
        <v>342</v>
      </c>
      <c r="E31" s="70" t="s">
        <v>343</v>
      </c>
      <c r="F31" s="70" t="s">
        <v>344</v>
      </c>
      <c r="G31" s="70" t="s">
        <v>1278</v>
      </c>
      <c r="H31" s="74" t="s">
        <v>61</v>
      </c>
      <c r="I31" s="300"/>
    </row>
    <row r="32" spans="2:9" ht="12">
      <c r="B32" s="70" t="s">
        <v>274</v>
      </c>
      <c r="C32" s="70" t="str">
        <f>VLOOKUP(B32,'MAQUINARIA Y EQUIPOS  '!C13:F101,2,FALSE)</f>
        <v>CAMIONETA D300</v>
      </c>
      <c r="D32" s="75" t="s">
        <v>1333</v>
      </c>
      <c r="E32" s="70">
        <v>0.2</v>
      </c>
      <c r="F32" s="70">
        <v>19</v>
      </c>
      <c r="G32" s="102">
        <v>1000</v>
      </c>
      <c r="H32" s="103">
        <f>+G32*E32</f>
        <v>200</v>
      </c>
      <c r="I32" s="301"/>
    </row>
    <row r="33" spans="2:9">
      <c r="B33" s="71"/>
      <c r="C33" s="71"/>
      <c r="D33" s="82"/>
      <c r="E33" s="71"/>
      <c r="F33" s="71"/>
      <c r="G33" s="86"/>
      <c r="H33" s="86"/>
      <c r="I33" s="301"/>
    </row>
    <row r="34" spans="2:9" ht="12">
      <c r="B34" s="89"/>
      <c r="C34" s="89"/>
      <c r="D34" s="89"/>
      <c r="E34" s="89"/>
      <c r="F34" s="89"/>
      <c r="G34" s="302" t="s">
        <v>64</v>
      </c>
      <c r="H34" s="302"/>
      <c r="I34" s="104">
        <f>+H32</f>
        <v>200</v>
      </c>
    </row>
    <row r="35" spans="2:9" ht="12">
      <c r="B35" s="78"/>
      <c r="C35" s="289" t="s">
        <v>75</v>
      </c>
      <c r="D35" s="289"/>
      <c r="E35" s="78"/>
      <c r="F35" s="78"/>
      <c r="G35" s="78"/>
      <c r="H35" s="78"/>
      <c r="I35" s="79"/>
    </row>
    <row r="36" spans="2:9" ht="12">
      <c r="B36" s="105" t="s">
        <v>42</v>
      </c>
      <c r="C36" s="105" t="s">
        <v>76</v>
      </c>
      <c r="D36" s="105" t="s">
        <v>1225</v>
      </c>
      <c r="E36" s="105" t="s">
        <v>1</v>
      </c>
      <c r="F36" s="105" t="s">
        <v>77</v>
      </c>
      <c r="G36" s="105" t="s">
        <v>78</v>
      </c>
      <c r="H36" s="105" t="s">
        <v>79</v>
      </c>
      <c r="I36" s="294"/>
    </row>
    <row r="37" spans="2:9" ht="30" customHeight="1">
      <c r="B37" s="106" t="s">
        <v>69</v>
      </c>
      <c r="C37" s="106" t="str">
        <f>+VLOOKUP(B37,'MANO DE OBRA '!B23:G46,2,FALSE)</f>
        <v>Electricista</v>
      </c>
      <c r="D37" s="106">
        <v>1</v>
      </c>
      <c r="E37" s="106" t="str">
        <f>+VLOOKUP(B37,'MANO DE OBRA '!B23:G46,4,FALSE)</f>
        <v>Dia</v>
      </c>
      <c r="F37" s="86">
        <f>+VLOOKUP(B37,'MANO DE OBRA '!B23:G46,3,FALSE)</f>
        <v>213000</v>
      </c>
      <c r="G37" s="125">
        <v>0.125</v>
      </c>
      <c r="H37" s="94">
        <f>F37*G37*D37</f>
        <v>26625</v>
      </c>
      <c r="I37" s="294"/>
    </row>
    <row r="38" spans="2:9" ht="30" customHeight="1">
      <c r="B38" s="106" t="s">
        <v>70</v>
      </c>
      <c r="C38" s="106" t="str">
        <f>+VLOOKUP(B38,'MANO DE OBRA '!B24:G47,2,FALSE)</f>
        <v>Ayudante Electrico</v>
      </c>
      <c r="D38" s="106">
        <v>1</v>
      </c>
      <c r="E38" s="106" t="str">
        <f>+VLOOKUP(B38,'MANO DE OBRA '!B24:G47,4,FALSE)</f>
        <v>Dia</v>
      </c>
      <c r="F38" s="86">
        <f>+VLOOKUP(B38,'MANO DE OBRA '!B24:G47,3,FALSE)</f>
        <v>142000</v>
      </c>
      <c r="G38" s="125">
        <v>0.125</v>
      </c>
      <c r="H38" s="94">
        <f>F38*G38*D38</f>
        <v>17750</v>
      </c>
      <c r="I38" s="294"/>
    </row>
    <row r="39" spans="2:9">
      <c r="B39" s="106"/>
      <c r="C39" s="106"/>
      <c r="D39" s="106"/>
      <c r="E39" s="106"/>
      <c r="F39" s="86"/>
      <c r="G39" s="121"/>
      <c r="H39" s="94"/>
      <c r="I39" s="294"/>
    </row>
    <row r="40" spans="2:9" ht="12">
      <c r="B40" s="108"/>
      <c r="C40" s="109"/>
      <c r="D40" s="109"/>
      <c r="E40" s="109"/>
      <c r="F40" s="110"/>
      <c r="G40" s="110"/>
      <c r="H40" s="111" t="s">
        <v>64</v>
      </c>
      <c r="I40" s="112">
        <f>SUM(H37:H39)</f>
        <v>44375</v>
      </c>
    </row>
    <row r="41" spans="2:9" ht="12">
      <c r="B41" s="295" t="s">
        <v>83</v>
      </c>
      <c r="C41" s="296"/>
      <c r="D41" s="297" t="s">
        <v>77</v>
      </c>
      <c r="E41" s="298"/>
      <c r="F41" s="298"/>
      <c r="G41" s="298"/>
      <c r="H41" s="299"/>
      <c r="I41" s="113">
        <f>SUM(I21+I34+I29+I40)</f>
        <v>73135.399999999994</v>
      </c>
    </row>
  </sheetData>
  <mergeCells count="39">
    <mergeCell ref="I36:I39"/>
    <mergeCell ref="B41:C41"/>
    <mergeCell ref="D41:H41"/>
    <mergeCell ref="G27:H27"/>
    <mergeCell ref="G29:H29"/>
    <mergeCell ref="C30:D30"/>
    <mergeCell ref="I31:I33"/>
    <mergeCell ref="G34:H34"/>
    <mergeCell ref="C35:D35"/>
    <mergeCell ref="I17:I20"/>
    <mergeCell ref="C18:D18"/>
    <mergeCell ref="C19:D19"/>
    <mergeCell ref="C20:D20"/>
    <mergeCell ref="C23:D23"/>
    <mergeCell ref="I23:I26"/>
    <mergeCell ref="C24:D24"/>
    <mergeCell ref="C25:D25"/>
    <mergeCell ref="C26:D26"/>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E649-083E-4C75-AFCA-C1BB2EF950E8}">
  <sheetPr codeName="Hoja53"/>
  <dimension ref="B3:M42"/>
  <sheetViews>
    <sheetView topLeftCell="A15" zoomScale="89" zoomScaleNormal="89" workbookViewId="0">
      <selection activeCell="K28" sqref="K2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0" width="11.3984375" style="11"/>
    <col min="11" max="11" width="11.69921875" style="11" bestFit="1" customWidth="1"/>
    <col min="12" max="12" width="12.09765625" style="11" bestFit="1" customWidth="1"/>
    <col min="13" max="13" width="8.69921875" style="11" bestFit="1" customWidth="1"/>
    <col min="14"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1.75" customHeight="1">
      <c r="B13" s="13" t="s">
        <v>30</v>
      </c>
      <c r="C13" s="283" t="s">
        <v>1943</v>
      </c>
      <c r="D13" s="284"/>
      <c r="E13" s="284"/>
      <c r="F13" s="285"/>
      <c r="G13" s="286" t="s">
        <v>1530</v>
      </c>
      <c r="H13" s="286"/>
      <c r="I13" s="114">
        <v>658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9.5300000000000003E-3</v>
      </c>
      <c r="H19" s="85">
        <v>96.35</v>
      </c>
      <c r="I19" s="287"/>
    </row>
    <row r="20" spans="2:9">
      <c r="B20" s="71"/>
      <c r="C20" s="288"/>
      <c r="D20" s="265"/>
      <c r="E20" s="88"/>
      <c r="F20" s="86"/>
      <c r="G20" s="119"/>
      <c r="H20" s="93"/>
      <c r="I20" s="287"/>
    </row>
    <row r="21" spans="2:9" ht="12">
      <c r="B21" s="89"/>
      <c r="C21" s="89"/>
      <c r="D21" s="89"/>
      <c r="E21" s="89"/>
      <c r="F21" s="89"/>
      <c r="G21" s="89"/>
      <c r="H21" s="89" t="s">
        <v>64</v>
      </c>
      <c r="I21" s="90">
        <f>SUM(H18:H20)</f>
        <v>1167.75</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1314</v>
      </c>
      <c r="C24" s="290" t="str">
        <f>VLOOKUP(B24,'INSUMOS '!C2:F529,2,FALSE)</f>
        <v xml:space="preserve">Cable eléctrico de cobre aislado THHN No. 12 AWG </v>
      </c>
      <c r="D24" s="291"/>
      <c r="E24" s="97" t="str">
        <f>VLOOKUP(B24,'INSUMOS '!C2:F529,3,FALSE)</f>
        <v>ml</v>
      </c>
      <c r="F24" s="117">
        <v>2200</v>
      </c>
      <c r="G24" s="92">
        <v>24</v>
      </c>
      <c r="H24" s="83">
        <f>+G24*F24</f>
        <v>52800</v>
      </c>
      <c r="I24" s="287"/>
    </row>
    <row r="25" spans="2:9">
      <c r="B25" s="71" t="s">
        <v>1040</v>
      </c>
      <c r="C25" s="290" t="str">
        <f>VLOOKUP(B25,'INSUMOS '!C4:F530,2,FALSE)</f>
        <v>TUBERIA PVC SCH 40 1/2</v>
      </c>
      <c r="D25" s="291"/>
      <c r="E25" s="97" t="str">
        <f>VLOOKUP(B25,'INSUMOS '!C4:F530,3,FALSE)</f>
        <v>ml</v>
      </c>
      <c r="F25" s="117">
        <v>5000</v>
      </c>
      <c r="G25" s="118">
        <v>8.7129999999999992</v>
      </c>
      <c r="H25" s="83">
        <f>+G25*F25</f>
        <v>43564.999999999993</v>
      </c>
      <c r="I25" s="287"/>
    </row>
    <row r="26" spans="2:9">
      <c r="B26" s="71" t="s">
        <v>1336</v>
      </c>
      <c r="C26" s="290" t="str">
        <f>VLOOKUP(B26,'INSUMOS '!C4:F530,2,FALSE)</f>
        <v>Accesorio pvc sch 40 1/2</v>
      </c>
      <c r="D26" s="291"/>
      <c r="E26" s="97" t="str">
        <f>VLOOKUP(B26,'INSUMOS '!C4:F530,3,FALSE)</f>
        <v xml:space="preserve">und </v>
      </c>
      <c r="F26" s="117">
        <f>VLOOKUP(B26,'INSUMOS '!C4:F530,4,FALSE)</f>
        <v>2000</v>
      </c>
      <c r="G26" s="92">
        <v>0.1</v>
      </c>
      <c r="H26" s="83">
        <f>+G26*F26</f>
        <v>200</v>
      </c>
      <c r="I26" s="287"/>
    </row>
    <row r="27" spans="2:9">
      <c r="B27" s="71" t="s">
        <v>798</v>
      </c>
      <c r="C27" s="290" t="str">
        <f>VLOOKUP(B27,'INSUMOS '!C7:F616,2,FALSE)</f>
        <v>CINTA AISLANTE X20MT</v>
      </c>
      <c r="D27" s="291"/>
      <c r="E27" s="97" t="str">
        <f>VLOOKUP(B27,'INSUMOS '!C7:F616,3,FALSE)</f>
        <v>rl</v>
      </c>
      <c r="F27" s="117">
        <v>20000</v>
      </c>
      <c r="G27" s="92">
        <v>0.01</v>
      </c>
      <c r="H27" s="83">
        <f>+G27*F27</f>
        <v>200</v>
      </c>
      <c r="I27" s="287"/>
    </row>
    <row r="28" spans="2:9" ht="12">
      <c r="B28" s="89"/>
      <c r="C28" s="89"/>
      <c r="D28" s="89"/>
      <c r="E28" s="89"/>
      <c r="F28" s="89"/>
      <c r="G28" s="258" t="s">
        <v>64</v>
      </c>
      <c r="H28" s="258"/>
      <c r="I28" s="85">
        <f>SUM(H24:H27)</f>
        <v>96765</v>
      </c>
    </row>
    <row r="29" spans="2:9" ht="12">
      <c r="B29" s="89"/>
      <c r="C29" s="89"/>
      <c r="D29" s="89"/>
      <c r="E29" s="89"/>
      <c r="F29" s="89"/>
      <c r="G29" s="99" t="s">
        <v>72</v>
      </c>
      <c r="H29" s="100">
        <v>0.05</v>
      </c>
      <c r="I29" s="120">
        <f>I28*H29</f>
        <v>4838.25</v>
      </c>
    </row>
    <row r="30" spans="2:9" ht="12">
      <c r="B30" s="89"/>
      <c r="C30" s="89"/>
      <c r="D30" s="89"/>
      <c r="E30" s="89"/>
      <c r="F30" s="89"/>
      <c r="G30" s="258" t="s">
        <v>73</v>
      </c>
      <c r="H30" s="258"/>
      <c r="I30" s="90">
        <f>SUM(I28:I29)</f>
        <v>101603.25</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1278</v>
      </c>
      <c r="H32" s="74" t="s">
        <v>61</v>
      </c>
      <c r="I32" s="300"/>
    </row>
    <row r="33" spans="2:13" ht="12">
      <c r="B33" s="70" t="s">
        <v>274</v>
      </c>
      <c r="C33" s="70" t="str">
        <f>VLOOKUP(B33,'MAQUINARIA Y EQUIPOS  '!C14:F102,2,FALSE)</f>
        <v>CAMIONETA D300</v>
      </c>
      <c r="D33" s="75" t="s">
        <v>1333</v>
      </c>
      <c r="E33" s="70">
        <v>0.1</v>
      </c>
      <c r="F33" s="70">
        <v>19</v>
      </c>
      <c r="G33" s="102">
        <v>1000</v>
      </c>
      <c r="H33" s="103">
        <f>+G33*E33</f>
        <v>100</v>
      </c>
      <c r="I33" s="301"/>
    </row>
    <row r="34" spans="2:13">
      <c r="B34" s="71"/>
      <c r="C34" s="71"/>
      <c r="D34" s="82"/>
      <c r="E34" s="71"/>
      <c r="F34" s="71"/>
      <c r="G34" s="86"/>
      <c r="H34" s="86"/>
      <c r="I34" s="301"/>
    </row>
    <row r="35" spans="2:13" ht="12">
      <c r="B35" s="89"/>
      <c r="C35" s="89"/>
      <c r="D35" s="89"/>
      <c r="E35" s="89"/>
      <c r="F35" s="89"/>
      <c r="G35" s="302" t="s">
        <v>64</v>
      </c>
      <c r="H35" s="302"/>
      <c r="I35" s="104">
        <f>+H33</f>
        <v>100</v>
      </c>
    </row>
    <row r="36" spans="2:13" ht="12">
      <c r="B36" s="78"/>
      <c r="C36" s="289" t="s">
        <v>75</v>
      </c>
      <c r="D36" s="289"/>
      <c r="E36" s="78"/>
      <c r="F36" s="78"/>
      <c r="G36" s="78"/>
      <c r="H36" s="78"/>
      <c r="I36" s="79"/>
    </row>
    <row r="37" spans="2:13" ht="12">
      <c r="B37" s="105" t="s">
        <v>42</v>
      </c>
      <c r="C37" s="105" t="s">
        <v>76</v>
      </c>
      <c r="D37" s="105" t="s">
        <v>1225</v>
      </c>
      <c r="E37" s="105" t="s">
        <v>1</v>
      </c>
      <c r="F37" s="105" t="s">
        <v>77</v>
      </c>
      <c r="G37" s="105" t="s">
        <v>78</v>
      </c>
      <c r="H37" s="105" t="s">
        <v>79</v>
      </c>
      <c r="I37" s="294"/>
    </row>
    <row r="38" spans="2:13" ht="30" customHeight="1">
      <c r="B38" s="106" t="s">
        <v>69</v>
      </c>
      <c r="C38" s="106" t="str">
        <f>+VLOOKUP(B38,'MANO DE OBRA '!B23:G46,2,FALSE)</f>
        <v>Electricista</v>
      </c>
      <c r="D38" s="106">
        <v>1</v>
      </c>
      <c r="E38" s="106" t="str">
        <f>+VLOOKUP(B38,'MANO DE OBRA '!B23:G46,4,FALSE)</f>
        <v>Dia</v>
      </c>
      <c r="F38" s="86">
        <f>+VLOOKUP(B38,'MANO DE OBRA '!B23:G46,3,FALSE)</f>
        <v>213000</v>
      </c>
      <c r="G38" s="121">
        <v>7.0000000000000007E-2</v>
      </c>
      <c r="H38" s="94">
        <f>F38*G38*D38</f>
        <v>14910.000000000002</v>
      </c>
      <c r="I38" s="294"/>
      <c r="K38"/>
      <c r="L38"/>
    </row>
    <row r="39" spans="2:13" ht="30" customHeight="1">
      <c r="B39" s="106" t="s">
        <v>70</v>
      </c>
      <c r="C39" s="106" t="str">
        <f>+VLOOKUP(B39,'MANO DE OBRA '!B24:G47,2,FALSE)</f>
        <v>Ayudante Electrico</v>
      </c>
      <c r="D39" s="106">
        <v>1</v>
      </c>
      <c r="E39" s="106" t="str">
        <f>+VLOOKUP(B39,'MANO DE OBRA '!B24:G47,4,FALSE)</f>
        <v>Dia</v>
      </c>
      <c r="F39" s="86">
        <f>+VLOOKUP(B39,'MANO DE OBRA '!B24:G47,3,FALSE)</f>
        <v>142000</v>
      </c>
      <c r="G39" s="121">
        <v>7.0000000000000007E-2</v>
      </c>
      <c r="H39" s="94">
        <f>F39*G39*D39</f>
        <v>9940.0000000000018</v>
      </c>
      <c r="I39" s="294"/>
      <c r="K39"/>
      <c r="L39"/>
      <c r="M39" s="43"/>
    </row>
    <row r="40" spans="2:13" ht="13.8">
      <c r="B40" s="106"/>
      <c r="C40" s="106"/>
      <c r="D40" s="106"/>
      <c r="E40" s="106"/>
      <c r="F40" s="86"/>
      <c r="G40" s="121"/>
      <c r="H40" s="94"/>
      <c r="I40" s="294"/>
      <c r="K40"/>
      <c r="L40"/>
    </row>
    <row r="41" spans="2:13" ht="15">
      <c r="B41" s="108"/>
      <c r="C41" s="109"/>
      <c r="D41" s="109"/>
      <c r="E41" s="109"/>
      <c r="F41" s="110"/>
      <c r="G41" s="110"/>
      <c r="H41" s="111" t="s">
        <v>64</v>
      </c>
      <c r="I41" s="112">
        <f>SUM(H38:H40)</f>
        <v>24850.000000000004</v>
      </c>
      <c r="K41"/>
      <c r="L41"/>
    </row>
    <row r="42" spans="2:13" ht="15">
      <c r="B42" s="295" t="s">
        <v>83</v>
      </c>
      <c r="C42" s="296"/>
      <c r="D42" s="297" t="s">
        <v>77</v>
      </c>
      <c r="E42" s="298"/>
      <c r="F42" s="298"/>
      <c r="G42" s="298"/>
      <c r="H42" s="299"/>
      <c r="I42" s="113">
        <f>SUM(I21+I35+I30+I41)</f>
        <v>127721</v>
      </c>
      <c r="K42"/>
      <c r="L42"/>
    </row>
  </sheetData>
  <mergeCells count="40">
    <mergeCell ref="I37:I40"/>
    <mergeCell ref="B42:C42"/>
    <mergeCell ref="D42:H42"/>
    <mergeCell ref="C24:D24"/>
    <mergeCell ref="C25:D25"/>
    <mergeCell ref="G28:H28"/>
    <mergeCell ref="G30:H30"/>
    <mergeCell ref="C31:D31"/>
    <mergeCell ref="I32:I34"/>
    <mergeCell ref="G35:H35"/>
    <mergeCell ref="C36:D36"/>
    <mergeCell ref="C23:D23"/>
    <mergeCell ref="I23:I27"/>
    <mergeCell ref="C26:D26"/>
    <mergeCell ref="C27:D27"/>
    <mergeCell ref="C17:D17"/>
    <mergeCell ref="I17:I20"/>
    <mergeCell ref="C18:D18"/>
    <mergeCell ref="C19:D19"/>
    <mergeCell ref="C20:D20"/>
    <mergeCell ref="C22:D22"/>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144E7-E19D-415C-A267-65E9A65B66C8}">
  <sheetPr codeName="Hoja54"/>
  <dimension ref="B3:I41"/>
  <sheetViews>
    <sheetView topLeftCell="A14" zoomScale="89" zoomScaleNormal="89" workbookViewId="0">
      <selection activeCell="K12" sqref="K12"/>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5.25" customHeight="1">
      <c r="B13" s="17">
        <v>10.4</v>
      </c>
      <c r="C13" s="283" t="s">
        <v>1944</v>
      </c>
      <c r="D13" s="284"/>
      <c r="E13" s="284"/>
      <c r="F13" s="285"/>
      <c r="G13" s="286" t="s">
        <v>170</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0.1</v>
      </c>
      <c r="H19" s="85">
        <f>F19*G19</f>
        <v>1050</v>
      </c>
      <c r="I19" s="287"/>
    </row>
    <row r="20" spans="2:9">
      <c r="B20" s="71"/>
      <c r="C20" s="288"/>
      <c r="D20" s="265"/>
      <c r="E20" s="88"/>
      <c r="F20" s="86"/>
      <c r="G20" s="119"/>
      <c r="H20" s="93"/>
      <c r="I20" s="287"/>
    </row>
    <row r="21" spans="2:9" ht="12">
      <c r="B21" s="89"/>
      <c r="C21" s="89"/>
      <c r="D21" s="89"/>
      <c r="E21" s="89"/>
      <c r="F21" s="89"/>
      <c r="G21" s="89"/>
      <c r="H21" s="89" t="s">
        <v>64</v>
      </c>
      <c r="I21" s="90">
        <f>SUM(H18:H20)</f>
        <v>2121.4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1527</v>
      </c>
      <c r="C24" s="290" t="str">
        <f>VLOOKUP(B24,'INSUMOS '!C4:G706,2,FALSE)</f>
        <v>Lámpara Hermética LED 50w Luz Fría Ip 65</v>
      </c>
      <c r="D24" s="291"/>
      <c r="E24" s="97" t="str">
        <f>VLOOKUP(B24,'INSUMOS '!C4:G706,3,FALSE)</f>
        <v xml:space="preserve">UND </v>
      </c>
      <c r="F24" s="117">
        <f>VLOOKUP(B24,'INSUMOS '!C4:G706,4,FALSE)</f>
        <v>129900</v>
      </c>
      <c r="G24" s="92">
        <v>1</v>
      </c>
      <c r="H24" s="83">
        <f>+G24*F24</f>
        <v>129900</v>
      </c>
      <c r="I24" s="287"/>
    </row>
    <row r="25" spans="2:9">
      <c r="B25" s="71" t="s">
        <v>1342</v>
      </c>
      <c r="C25" s="290" t="str">
        <f>VLOOKUP(B25,'INSUMOS '!C5:F531,2,FALSE)</f>
        <v xml:space="preserve">ACCESORIOS DE FIJACION </v>
      </c>
      <c r="D25" s="291"/>
      <c r="E25" s="97" t="str">
        <f>VLOOKUP(B25,'INSUMOS '!C5:F531,3,FALSE)</f>
        <v>GLB</v>
      </c>
      <c r="F25" s="117">
        <f>VLOOKUP(B25,'INSUMOS '!C5:F531,4,FALSE)</f>
        <v>2000</v>
      </c>
      <c r="G25" s="92">
        <v>1</v>
      </c>
      <c r="H25" s="83">
        <f>+G25*F25</f>
        <v>2000</v>
      </c>
      <c r="I25" s="287"/>
    </row>
    <row r="26" spans="2:9">
      <c r="B26" s="71"/>
      <c r="C26" s="290"/>
      <c r="D26" s="291"/>
      <c r="E26" s="97"/>
      <c r="F26" s="117"/>
      <c r="G26" s="92"/>
      <c r="H26" s="83"/>
      <c r="I26" s="287"/>
    </row>
    <row r="27" spans="2:9" ht="12">
      <c r="B27" s="89"/>
      <c r="C27" s="89"/>
      <c r="D27" s="89"/>
      <c r="E27" s="89"/>
      <c r="F27" s="89"/>
      <c r="G27" s="258" t="s">
        <v>64</v>
      </c>
      <c r="H27" s="258"/>
      <c r="I27" s="85">
        <f>SUM(H24:H26)</f>
        <v>131900</v>
      </c>
    </row>
    <row r="28" spans="2:9" ht="12">
      <c r="B28" s="89"/>
      <c r="C28" s="89"/>
      <c r="D28" s="89"/>
      <c r="E28" s="89"/>
      <c r="F28" s="89"/>
      <c r="G28" s="99" t="s">
        <v>72</v>
      </c>
      <c r="H28" s="100">
        <v>0.05</v>
      </c>
      <c r="I28" s="120">
        <f>I27*H28</f>
        <v>6595</v>
      </c>
    </row>
    <row r="29" spans="2:9" ht="12">
      <c r="B29" s="89"/>
      <c r="C29" s="89"/>
      <c r="D29" s="89"/>
      <c r="E29" s="89"/>
      <c r="F29" s="89"/>
      <c r="G29" s="258" t="s">
        <v>73</v>
      </c>
      <c r="H29" s="258"/>
      <c r="I29" s="90">
        <f>SUM(I27:I28)</f>
        <v>138495</v>
      </c>
    </row>
    <row r="30" spans="2:9" ht="12">
      <c r="B30" s="78"/>
      <c r="C30" s="289" t="s">
        <v>74</v>
      </c>
      <c r="D30" s="289"/>
      <c r="E30" s="78"/>
      <c r="F30" s="78"/>
      <c r="G30" s="78"/>
      <c r="H30" s="78"/>
      <c r="I30" s="79"/>
    </row>
    <row r="31" spans="2:9" ht="12">
      <c r="B31" s="70" t="s">
        <v>42</v>
      </c>
      <c r="C31" s="70" t="s">
        <v>58</v>
      </c>
      <c r="D31" s="70" t="s">
        <v>342</v>
      </c>
      <c r="E31" s="70" t="s">
        <v>343</v>
      </c>
      <c r="F31" s="70" t="s">
        <v>344</v>
      </c>
      <c r="G31" s="70" t="s">
        <v>1278</v>
      </c>
      <c r="H31" s="74" t="s">
        <v>61</v>
      </c>
      <c r="I31" s="300"/>
    </row>
    <row r="32" spans="2:9" ht="12">
      <c r="B32" s="70" t="s">
        <v>274</v>
      </c>
      <c r="C32" s="70" t="str">
        <f>VLOOKUP(B32,'MAQUINARIA Y EQUIPOS  '!C12:F100,2,FALSE)</f>
        <v>CAMIONETA D300</v>
      </c>
      <c r="D32" s="75" t="s">
        <v>1333</v>
      </c>
      <c r="E32" s="70">
        <v>0.2</v>
      </c>
      <c r="F32" s="70">
        <v>19</v>
      </c>
      <c r="G32" s="102">
        <v>1000</v>
      </c>
      <c r="H32" s="103">
        <f>+G32*E32</f>
        <v>200</v>
      </c>
      <c r="I32" s="301"/>
    </row>
    <row r="33" spans="2:9">
      <c r="B33" s="71"/>
      <c r="C33" s="71"/>
      <c r="D33" s="82"/>
      <c r="E33" s="71"/>
      <c r="F33" s="71"/>
      <c r="G33" s="86"/>
      <c r="H33" s="86"/>
      <c r="I33" s="301"/>
    </row>
    <row r="34" spans="2:9" ht="12">
      <c r="B34" s="89"/>
      <c r="C34" s="89"/>
      <c r="D34" s="89"/>
      <c r="E34" s="89"/>
      <c r="F34" s="89"/>
      <c r="G34" s="302" t="s">
        <v>64</v>
      </c>
      <c r="H34" s="302"/>
      <c r="I34" s="104">
        <f>+H32</f>
        <v>200</v>
      </c>
    </row>
    <row r="35" spans="2:9" ht="12">
      <c r="B35" s="78"/>
      <c r="C35" s="289" t="s">
        <v>75</v>
      </c>
      <c r="D35" s="289"/>
      <c r="E35" s="78"/>
      <c r="F35" s="78"/>
      <c r="G35" s="78"/>
      <c r="H35" s="78"/>
      <c r="I35" s="79"/>
    </row>
    <row r="36" spans="2:9" ht="12">
      <c r="B36" s="105" t="s">
        <v>42</v>
      </c>
      <c r="C36" s="105" t="s">
        <v>76</v>
      </c>
      <c r="D36" s="105" t="s">
        <v>1225</v>
      </c>
      <c r="E36" s="105" t="s">
        <v>1</v>
      </c>
      <c r="F36" s="105" t="s">
        <v>77</v>
      </c>
      <c r="G36" s="105" t="s">
        <v>78</v>
      </c>
      <c r="H36" s="105" t="s">
        <v>79</v>
      </c>
      <c r="I36" s="294"/>
    </row>
    <row r="37" spans="2:9" ht="30" customHeight="1">
      <c r="B37" s="106" t="s">
        <v>376</v>
      </c>
      <c r="C37" s="106" t="str">
        <f>+VLOOKUP(B37,'MANO DE OBRA '!B23:G46,2,FALSE)</f>
        <v xml:space="preserve"> Cuadrilla EE Electrico (1 oficial+ 1 ayudante)</v>
      </c>
      <c r="D37" s="106">
        <v>1</v>
      </c>
      <c r="E37" s="106" t="str">
        <f>+VLOOKUP(B37,'MANO DE OBRA '!B23:G46,4,FALSE)</f>
        <v>Hora</v>
      </c>
      <c r="F37" s="86">
        <f>+VLOOKUP(B37,'MANO DE OBRA '!B23:G46,3,FALSE)</f>
        <v>48437.5</v>
      </c>
      <c r="G37" s="121">
        <v>0.6</v>
      </c>
      <c r="H37" s="94">
        <f>F37*G37*D37</f>
        <v>29062.5</v>
      </c>
      <c r="I37" s="294"/>
    </row>
    <row r="38" spans="2:9" ht="30" customHeight="1">
      <c r="B38" s="106"/>
      <c r="C38" s="106"/>
      <c r="D38" s="106"/>
      <c r="E38" s="106"/>
      <c r="F38" s="86"/>
      <c r="G38" s="121"/>
      <c r="H38" s="94"/>
      <c r="I38" s="294"/>
    </row>
    <row r="39" spans="2:9">
      <c r="B39" s="106"/>
      <c r="C39" s="106"/>
      <c r="D39" s="106"/>
      <c r="E39" s="106"/>
      <c r="F39" s="86"/>
      <c r="G39" s="121"/>
      <c r="H39" s="94"/>
      <c r="I39" s="294"/>
    </row>
    <row r="40" spans="2:9" ht="12">
      <c r="B40" s="108"/>
      <c r="C40" s="109"/>
      <c r="D40" s="109"/>
      <c r="E40" s="109"/>
      <c r="F40" s="110"/>
      <c r="G40" s="110"/>
      <c r="H40" s="111" t="s">
        <v>64</v>
      </c>
      <c r="I40" s="112">
        <f>SUM(H37:H39)</f>
        <v>29062.5</v>
      </c>
    </row>
    <row r="41" spans="2:9" ht="12">
      <c r="B41" s="295" t="s">
        <v>83</v>
      </c>
      <c r="C41" s="296"/>
      <c r="D41" s="297" t="s">
        <v>77</v>
      </c>
      <c r="E41" s="298"/>
      <c r="F41" s="298"/>
      <c r="G41" s="298"/>
      <c r="H41" s="299"/>
      <c r="I41" s="113">
        <f>SUM(I21+I34+I29+I40)</f>
        <v>169878.9</v>
      </c>
    </row>
  </sheetData>
  <mergeCells count="39">
    <mergeCell ref="B41:C41"/>
    <mergeCell ref="D41:H41"/>
    <mergeCell ref="G29:H29"/>
    <mergeCell ref="C30:D30"/>
    <mergeCell ref="I31:I33"/>
    <mergeCell ref="G34:H34"/>
    <mergeCell ref="C35:D35"/>
    <mergeCell ref="I36:I39"/>
    <mergeCell ref="G27:H27"/>
    <mergeCell ref="C17:D17"/>
    <mergeCell ref="I17:I20"/>
    <mergeCell ref="C18:D18"/>
    <mergeCell ref="C19:D19"/>
    <mergeCell ref="C20:D20"/>
    <mergeCell ref="C22:D22"/>
    <mergeCell ref="C23:D23"/>
    <mergeCell ref="I23:I26"/>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08CB-6FD6-444F-8C5E-4916C4AD21C7}">
  <sheetPr codeName="Hoja55"/>
  <dimension ref="B3:I42"/>
  <sheetViews>
    <sheetView topLeftCell="A16" zoomScale="89" zoomScaleNormal="89" workbookViewId="0">
      <selection activeCell="L35" sqref="L3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5" customHeight="1">
      <c r="B13" s="17">
        <v>10.5</v>
      </c>
      <c r="C13" s="283" t="s">
        <v>1945</v>
      </c>
      <c r="D13" s="284"/>
      <c r="E13" s="284"/>
      <c r="F13" s="285"/>
      <c r="G13" s="286" t="s">
        <v>1530</v>
      </c>
      <c r="H13" s="286"/>
      <c r="I13" s="114">
        <v>25.18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0.1</v>
      </c>
      <c r="H19" s="85">
        <f>F19*G19</f>
        <v>1050</v>
      </c>
      <c r="I19" s="287"/>
    </row>
    <row r="20" spans="2:9">
      <c r="B20" s="71"/>
      <c r="C20" s="288"/>
      <c r="D20" s="265"/>
      <c r="E20" s="88"/>
      <c r="F20" s="86"/>
      <c r="G20" s="119"/>
      <c r="H20" s="93"/>
      <c r="I20" s="287"/>
    </row>
    <row r="21" spans="2:9" ht="12">
      <c r="B21" s="89"/>
      <c r="C21" s="89"/>
      <c r="D21" s="89"/>
      <c r="E21" s="89"/>
      <c r="F21" s="89"/>
      <c r="G21" s="89"/>
      <c r="H21" s="89" t="s">
        <v>64</v>
      </c>
      <c r="I21" s="90">
        <f>SUM(H18:H20)</f>
        <v>2121.4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1528</v>
      </c>
      <c r="C24" s="290" t="str">
        <f>VLOOKUP(B24,'INSUMOS '!C4:G706,2,FALSE)</f>
        <v xml:space="preserve">Tira led exterior luz calida </v>
      </c>
      <c r="D24" s="291"/>
      <c r="E24" s="97" t="str">
        <f>VLOOKUP(B24,'INSUMOS '!C4:G706,3,FALSE)</f>
        <v>ml</v>
      </c>
      <c r="F24" s="117">
        <f>VLOOKUP(B24,'INSUMOS '!C4:G706,4,FALSE)</f>
        <v>25000</v>
      </c>
      <c r="G24" s="119">
        <v>1.05</v>
      </c>
      <c r="H24" s="83">
        <f>+G24*F24</f>
        <v>26250</v>
      </c>
      <c r="I24" s="287"/>
    </row>
    <row r="25" spans="2:9">
      <c r="B25" s="71" t="s">
        <v>1342</v>
      </c>
      <c r="C25" s="290" t="str">
        <f>VLOOKUP(B25,'INSUMOS '!C5:F531,2,FALSE)</f>
        <v xml:space="preserve">ACCESORIOS DE FIJACION </v>
      </c>
      <c r="D25" s="291"/>
      <c r="E25" s="97" t="str">
        <f>VLOOKUP(B25,'INSUMOS '!C5:F531,3,FALSE)</f>
        <v>GLB</v>
      </c>
      <c r="F25" s="117">
        <f>VLOOKUP(B25,'INSUMOS '!C5:F531,4,FALSE)</f>
        <v>2000</v>
      </c>
      <c r="G25" s="92">
        <v>1</v>
      </c>
      <c r="H25" s="83">
        <f>+G25*F25</f>
        <v>2000</v>
      </c>
      <c r="I25" s="287"/>
    </row>
    <row r="26" spans="2:9">
      <c r="B26" s="71" t="s">
        <v>1531</v>
      </c>
      <c r="C26" s="290" t="str">
        <f>VLOOKUP(B26,'INSUMOS '!C5:G707,2,FALSE)</f>
        <v>Perfil de aluminio para incrustar (con difusor y tapas)</v>
      </c>
      <c r="D26" s="291"/>
      <c r="E26" s="97" t="str">
        <f>VLOOKUP(B26,'INSUMOS '!C5:G707,3,FALSE)</f>
        <v xml:space="preserve">ml </v>
      </c>
      <c r="F26" s="117">
        <f>VLOOKUP(B26,'INSUMOS '!C5:G707,4,FALSE)</f>
        <v>38000</v>
      </c>
      <c r="G26" s="119">
        <v>1.05</v>
      </c>
      <c r="H26" s="83">
        <f>+G26*F26</f>
        <v>39900</v>
      </c>
      <c r="I26" s="287"/>
    </row>
    <row r="27" spans="2:9">
      <c r="B27" s="71" t="s">
        <v>1533</v>
      </c>
      <c r="C27" s="290" t="str">
        <f>VLOOKUP(B27,'INSUMOS '!C6:G708,2,FALSE)</f>
        <v>Driver led (fuente de poder)</v>
      </c>
      <c r="D27" s="291"/>
      <c r="E27" s="97" t="str">
        <f>VLOOKUP(B27,'INSUMOS '!C6:G708,3,FALSE)</f>
        <v xml:space="preserve">und </v>
      </c>
      <c r="F27" s="117">
        <f>VLOOKUP(B27,'INSUMOS '!C6:G708,4,FALSE)</f>
        <v>6000</v>
      </c>
      <c r="G27" s="119">
        <v>0.3</v>
      </c>
      <c r="H27" s="83">
        <f>+G27*F27</f>
        <v>1800</v>
      </c>
      <c r="I27" s="287"/>
    </row>
    <row r="28" spans="2:9" ht="12">
      <c r="B28" s="89"/>
      <c r="C28" s="89"/>
      <c r="D28" s="89"/>
      <c r="E28" s="89"/>
      <c r="F28" s="89"/>
      <c r="G28" s="258" t="s">
        <v>64</v>
      </c>
      <c r="H28" s="258"/>
      <c r="I28" s="85">
        <f>SUM(H24:H27)</f>
        <v>69950</v>
      </c>
    </row>
    <row r="29" spans="2:9" ht="12">
      <c r="B29" s="89"/>
      <c r="C29" s="89"/>
      <c r="D29" s="89"/>
      <c r="E29" s="89"/>
      <c r="F29" s="89"/>
      <c r="G29" s="99" t="s">
        <v>72</v>
      </c>
      <c r="H29" s="100">
        <v>0.05</v>
      </c>
      <c r="I29" s="120">
        <f>I28*H29</f>
        <v>3497.5</v>
      </c>
    </row>
    <row r="30" spans="2:9" ht="12">
      <c r="B30" s="89"/>
      <c r="C30" s="89"/>
      <c r="D30" s="89"/>
      <c r="E30" s="89"/>
      <c r="F30" s="89"/>
      <c r="G30" s="258" t="s">
        <v>73</v>
      </c>
      <c r="H30" s="258"/>
      <c r="I30" s="90">
        <f>SUM(I28:I29)</f>
        <v>73447.5</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1278</v>
      </c>
      <c r="H32" s="74" t="s">
        <v>61</v>
      </c>
      <c r="I32" s="300"/>
    </row>
    <row r="33" spans="2:9" ht="12">
      <c r="B33" s="70" t="s">
        <v>274</v>
      </c>
      <c r="C33" s="70" t="str">
        <f>VLOOKUP(B33,'MAQUINARIA Y EQUIPOS  '!C12:F100,2,FALSE)</f>
        <v>CAMIONETA D300</v>
      </c>
      <c r="D33" s="75" t="s">
        <v>1333</v>
      </c>
      <c r="E33" s="70">
        <v>0.2</v>
      </c>
      <c r="F33" s="70">
        <v>19</v>
      </c>
      <c r="G33" s="102">
        <v>1000</v>
      </c>
      <c r="H33" s="103">
        <f>+G33*E33</f>
        <v>200</v>
      </c>
      <c r="I33" s="301"/>
    </row>
    <row r="34" spans="2:9">
      <c r="B34" s="71"/>
      <c r="C34" s="71"/>
      <c r="D34" s="82"/>
      <c r="E34" s="71"/>
      <c r="F34" s="71"/>
      <c r="G34" s="86"/>
      <c r="H34" s="86"/>
      <c r="I34" s="301"/>
    </row>
    <row r="35" spans="2:9" ht="12">
      <c r="B35" s="89"/>
      <c r="C35" s="89"/>
      <c r="D35" s="89"/>
      <c r="E35" s="89"/>
      <c r="F35" s="89"/>
      <c r="G35" s="302" t="s">
        <v>64</v>
      </c>
      <c r="H35" s="302"/>
      <c r="I35" s="104">
        <f>+H33</f>
        <v>200</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22.8">
      <c r="B38" s="106" t="s">
        <v>376</v>
      </c>
      <c r="C38" s="106" t="str">
        <f>+VLOOKUP(B38,'MANO DE OBRA '!B23:G46,2,FALSE)</f>
        <v xml:space="preserve"> Cuadrilla EE Electrico (1 oficial+ 1 ayudante)</v>
      </c>
      <c r="D38" s="106">
        <v>1</v>
      </c>
      <c r="E38" s="106" t="str">
        <f>+VLOOKUP(B38,'MANO DE OBRA '!B23:G46,4,FALSE)</f>
        <v>Hora</v>
      </c>
      <c r="F38" s="86">
        <f>+VLOOKUP(B38,'MANO DE OBRA '!B23:G46,3,FALSE)</f>
        <v>48437.5</v>
      </c>
      <c r="G38" s="121">
        <v>0.75</v>
      </c>
      <c r="H38" s="94">
        <f>F38*G38*D38</f>
        <v>36328.125</v>
      </c>
      <c r="I38" s="294"/>
    </row>
    <row r="39" spans="2:9" ht="15" customHeight="1">
      <c r="B39" s="106"/>
      <c r="C39" s="106"/>
      <c r="D39" s="106"/>
      <c r="E39" s="106"/>
      <c r="F39" s="86"/>
      <c r="G39" s="121"/>
      <c r="H39" s="94"/>
      <c r="I39" s="294"/>
    </row>
    <row r="40" spans="2:9">
      <c r="B40" s="106"/>
      <c r="C40" s="106"/>
      <c r="D40" s="106"/>
      <c r="E40" s="106"/>
      <c r="F40" s="86"/>
      <c r="G40" s="121"/>
      <c r="H40" s="94"/>
      <c r="I40" s="294"/>
    </row>
    <row r="41" spans="2:9" ht="12">
      <c r="B41" s="108"/>
      <c r="C41" s="109"/>
      <c r="D41" s="109"/>
      <c r="E41" s="109"/>
      <c r="F41" s="110"/>
      <c r="G41" s="110"/>
      <c r="H41" s="111" t="s">
        <v>64</v>
      </c>
      <c r="I41" s="112">
        <f>SUM(H38:H40)</f>
        <v>36328.125</v>
      </c>
    </row>
    <row r="42" spans="2:9" ht="12">
      <c r="B42" s="295" t="s">
        <v>83</v>
      </c>
      <c r="C42" s="296"/>
      <c r="D42" s="297" t="s">
        <v>77</v>
      </c>
      <c r="E42" s="298"/>
      <c r="F42" s="298"/>
      <c r="G42" s="298"/>
      <c r="H42" s="299"/>
      <c r="I42" s="113">
        <f>SUM(I21+I35+I30+I41)</f>
        <v>112097.02499999999</v>
      </c>
    </row>
  </sheetData>
  <mergeCells count="40">
    <mergeCell ref="B42:C42"/>
    <mergeCell ref="D42:H42"/>
    <mergeCell ref="C26:D26"/>
    <mergeCell ref="G30:H30"/>
    <mergeCell ref="C31:D31"/>
    <mergeCell ref="G35:H35"/>
    <mergeCell ref="C36:D36"/>
    <mergeCell ref="I37:I40"/>
    <mergeCell ref="C23:D23"/>
    <mergeCell ref="I23:I27"/>
    <mergeCell ref="C24:D24"/>
    <mergeCell ref="C25:D25"/>
    <mergeCell ref="C27:D27"/>
    <mergeCell ref="G28:H28"/>
    <mergeCell ref="I17:I20"/>
    <mergeCell ref="C18:D18"/>
    <mergeCell ref="C19:D19"/>
    <mergeCell ref="C20:D20"/>
    <mergeCell ref="I32:I34"/>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F7918-826D-435B-952B-7486F40FCAC6}">
  <sheetPr codeName="Hoja56"/>
  <dimension ref="B3:L40"/>
  <sheetViews>
    <sheetView topLeftCell="A16" zoomScale="89" zoomScaleNormal="89" workbookViewId="0">
      <selection activeCell="M21" sqref="M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10.6</v>
      </c>
      <c r="C13" s="283" t="s">
        <v>1946</v>
      </c>
      <c r="D13" s="284"/>
      <c r="E13" s="284"/>
      <c r="F13" s="285"/>
      <c r="G13" s="286" t="s">
        <v>170</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2" ht="12">
      <c r="B17" s="70" t="s">
        <v>42</v>
      </c>
      <c r="C17" s="286" t="s">
        <v>58</v>
      </c>
      <c r="D17" s="286"/>
      <c r="E17" s="70" t="s">
        <v>1</v>
      </c>
      <c r="F17" s="80" t="s">
        <v>59</v>
      </c>
      <c r="G17" s="70" t="s">
        <v>60</v>
      </c>
      <c r="H17" s="80" t="s">
        <v>61</v>
      </c>
      <c r="I17" s="287"/>
    </row>
    <row r="18" spans="2:12">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2">
      <c r="B19" s="71" t="s">
        <v>1267</v>
      </c>
      <c r="C19" s="288" t="str">
        <f>VLOOKUP(B19,'MAQUINARIA Y EQUIPOS  '!C8:F96,2,FALSE)</f>
        <v xml:space="preserve">Pluma grua </v>
      </c>
      <c r="D19" s="265"/>
      <c r="E19" s="71" t="str">
        <f>VLOOKUP(B19,'MAQUINARIA Y EQUIPOS  '!C8:F96,3,FALSE)</f>
        <v>HH</v>
      </c>
      <c r="F19" s="83">
        <f>VLOOKUP(B19,'MAQUINARIA Y EQUIPOS  '!C8:F96,4,FALSE)</f>
        <v>10500</v>
      </c>
      <c r="G19" s="122">
        <v>0.1</v>
      </c>
      <c r="H19" s="85">
        <f>F19*G19</f>
        <v>1050</v>
      </c>
      <c r="I19" s="287"/>
    </row>
    <row r="20" spans="2:12">
      <c r="B20" s="71"/>
      <c r="C20" s="288"/>
      <c r="D20" s="265"/>
      <c r="E20" s="88"/>
      <c r="F20" s="86"/>
      <c r="G20" s="119"/>
      <c r="H20" s="93"/>
      <c r="I20" s="287"/>
    </row>
    <row r="21" spans="2:12" ht="12">
      <c r="B21" s="89"/>
      <c r="C21" s="89"/>
      <c r="D21" s="89"/>
      <c r="E21" s="89"/>
      <c r="F21" s="89"/>
      <c r="G21" s="89"/>
      <c r="H21" s="89" t="s">
        <v>64</v>
      </c>
      <c r="I21" s="90">
        <f>SUM(H18:H20)</f>
        <v>2121.4</v>
      </c>
    </row>
    <row r="22" spans="2:12" ht="12">
      <c r="B22" s="78"/>
      <c r="C22" s="289" t="s">
        <v>65</v>
      </c>
      <c r="D22" s="289"/>
      <c r="E22" s="78"/>
      <c r="F22" s="78"/>
      <c r="G22" s="78"/>
      <c r="H22" s="78"/>
      <c r="I22" s="79"/>
    </row>
    <row r="23" spans="2:12" ht="12">
      <c r="B23" s="70" t="s">
        <v>42</v>
      </c>
      <c r="C23" s="286" t="s">
        <v>58</v>
      </c>
      <c r="D23" s="286"/>
      <c r="E23" s="70" t="s">
        <v>1</v>
      </c>
      <c r="F23" s="80" t="s">
        <v>66</v>
      </c>
      <c r="G23" s="70" t="s">
        <v>67</v>
      </c>
      <c r="H23" s="70" t="s">
        <v>61</v>
      </c>
      <c r="I23" s="287"/>
    </row>
    <row r="24" spans="2:12">
      <c r="B24" s="71"/>
      <c r="C24" s="290" t="s">
        <v>1546</v>
      </c>
      <c r="D24" s="291"/>
      <c r="E24" s="97" t="s">
        <v>1299</v>
      </c>
      <c r="F24" s="117">
        <v>400000</v>
      </c>
      <c r="G24" s="119">
        <v>1</v>
      </c>
      <c r="H24" s="83">
        <f>+G24*F24</f>
        <v>400000</v>
      </c>
      <c r="I24" s="287"/>
    </row>
    <row r="25" spans="2:12">
      <c r="B25" s="71" t="s">
        <v>1342</v>
      </c>
      <c r="C25" s="290" t="str">
        <f>VLOOKUP(B25,'INSUMOS '!C5:F531,2,FALSE)</f>
        <v xml:space="preserve">ACCESORIOS DE FIJACION </v>
      </c>
      <c r="D25" s="291"/>
      <c r="E25" s="97" t="str">
        <f>VLOOKUP(B25,'INSUMOS '!C5:F531,3,FALSE)</f>
        <v>GLB</v>
      </c>
      <c r="F25" s="117">
        <f>VLOOKUP(B25,'INSUMOS '!C5:F531,4,FALSE)</f>
        <v>2000</v>
      </c>
      <c r="G25" s="92">
        <v>1</v>
      </c>
      <c r="H25" s="83">
        <f>+G25*F25</f>
        <v>2000</v>
      </c>
      <c r="I25" s="287"/>
      <c r="L25" s="11" t="s">
        <v>63</v>
      </c>
    </row>
    <row r="26" spans="2:12" ht="12">
      <c r="B26" s="89"/>
      <c r="C26" s="89"/>
      <c r="D26" s="89"/>
      <c r="E26" s="89"/>
      <c r="F26" s="89"/>
      <c r="G26" s="258" t="s">
        <v>64</v>
      </c>
      <c r="H26" s="258"/>
      <c r="I26" s="85">
        <f>SUM(H24:H25)</f>
        <v>402000</v>
      </c>
    </row>
    <row r="27" spans="2:12" ht="12">
      <c r="B27" s="89"/>
      <c r="C27" s="89"/>
      <c r="D27" s="89"/>
      <c r="E27" s="89"/>
      <c r="F27" s="89"/>
      <c r="G27" s="99" t="s">
        <v>72</v>
      </c>
      <c r="H27" s="100">
        <v>0.05</v>
      </c>
      <c r="I27" s="120">
        <f>I26*H27</f>
        <v>20100</v>
      </c>
    </row>
    <row r="28" spans="2:12" ht="12">
      <c r="B28" s="89"/>
      <c r="C28" s="89"/>
      <c r="D28" s="89"/>
      <c r="E28" s="89"/>
      <c r="F28" s="89"/>
      <c r="G28" s="258" t="s">
        <v>73</v>
      </c>
      <c r="H28" s="258"/>
      <c r="I28" s="90">
        <f>SUM(I26:I27)</f>
        <v>422100</v>
      </c>
    </row>
    <row r="29" spans="2:12" ht="12">
      <c r="B29" s="78"/>
      <c r="C29" s="289" t="s">
        <v>74</v>
      </c>
      <c r="D29" s="289"/>
      <c r="E29" s="78"/>
      <c r="F29" s="78"/>
      <c r="G29" s="78"/>
      <c r="H29" s="78"/>
      <c r="I29" s="79"/>
    </row>
    <row r="30" spans="2:12" ht="12">
      <c r="B30" s="70" t="s">
        <v>42</v>
      </c>
      <c r="C30" s="70" t="s">
        <v>58</v>
      </c>
      <c r="D30" s="70" t="s">
        <v>342</v>
      </c>
      <c r="E30" s="70" t="s">
        <v>343</v>
      </c>
      <c r="F30" s="70" t="s">
        <v>344</v>
      </c>
      <c r="G30" s="70" t="s">
        <v>1278</v>
      </c>
      <c r="H30" s="74" t="s">
        <v>61</v>
      </c>
      <c r="I30" s="300"/>
    </row>
    <row r="31" spans="2:12" ht="12">
      <c r="B31" s="70" t="s">
        <v>274</v>
      </c>
      <c r="C31" s="70" t="str">
        <f>VLOOKUP(B31,'MAQUINARIA Y EQUIPOS  '!C12:F100,2,FALSE)</f>
        <v>CAMIONETA D300</v>
      </c>
      <c r="D31" s="75" t="s">
        <v>1333</v>
      </c>
      <c r="E31" s="70">
        <v>0.2</v>
      </c>
      <c r="F31" s="70">
        <v>19</v>
      </c>
      <c r="G31" s="102">
        <v>1000</v>
      </c>
      <c r="H31" s="103">
        <f>+G31*E31</f>
        <v>200</v>
      </c>
      <c r="I31" s="301"/>
    </row>
    <row r="32" spans="2:12">
      <c r="B32" s="71"/>
      <c r="C32" s="71"/>
      <c r="D32" s="82"/>
      <c r="E32" s="71"/>
      <c r="F32" s="71"/>
      <c r="G32" s="86"/>
      <c r="H32" s="86"/>
      <c r="I32" s="301"/>
    </row>
    <row r="33" spans="2:9" ht="12">
      <c r="B33" s="89"/>
      <c r="C33" s="89"/>
      <c r="D33" s="89"/>
      <c r="E33" s="89"/>
      <c r="F33" s="89"/>
      <c r="G33" s="302" t="s">
        <v>64</v>
      </c>
      <c r="H33" s="302"/>
      <c r="I33" s="104">
        <f>+H31</f>
        <v>200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22.8">
      <c r="B36" s="106" t="s">
        <v>376</v>
      </c>
      <c r="C36" s="106" t="str">
        <f>+VLOOKUP(B36,'MANO DE OBRA '!B23:G46,2,FALSE)</f>
        <v xml:space="preserve"> Cuadrilla EE Electrico (1 oficial+ 1 ayudante)</v>
      </c>
      <c r="D36" s="106">
        <v>1</v>
      </c>
      <c r="E36" s="106" t="str">
        <f>+VLOOKUP(B36,'MANO DE OBRA '!B23:G46,4,FALSE)</f>
        <v>Hora</v>
      </c>
      <c r="F36" s="86">
        <f>+VLOOKUP(B36,'MANO DE OBRA '!B23:G46,3,FALSE)</f>
        <v>48437.5</v>
      </c>
      <c r="G36" s="121">
        <v>0.67</v>
      </c>
      <c r="H36" s="94">
        <f>F36*G36*D36</f>
        <v>32453.125000000004</v>
      </c>
      <c r="I36" s="294"/>
    </row>
    <row r="37" spans="2:9" ht="15" customHeight="1">
      <c r="B37" s="106"/>
      <c r="C37" s="106"/>
      <c r="D37" s="106"/>
      <c r="E37" s="106"/>
      <c r="F37" s="86"/>
      <c r="G37" s="121"/>
      <c r="H37" s="94"/>
      <c r="I37" s="294"/>
    </row>
    <row r="38" spans="2:9">
      <c r="B38" s="106"/>
      <c r="C38" s="106"/>
      <c r="D38" s="106"/>
      <c r="E38" s="106"/>
      <c r="F38" s="86"/>
      <c r="G38" s="121"/>
      <c r="H38" s="94"/>
      <c r="I38" s="294"/>
    </row>
    <row r="39" spans="2:9" ht="12">
      <c r="B39" s="108"/>
      <c r="C39" s="109"/>
      <c r="D39" s="109"/>
      <c r="E39" s="109"/>
      <c r="F39" s="110"/>
      <c r="G39" s="110"/>
      <c r="H39" s="111" t="s">
        <v>64</v>
      </c>
      <c r="I39" s="112">
        <f>SUM(H36:H38)</f>
        <v>32453.125000000004</v>
      </c>
    </row>
    <row r="40" spans="2:9" ht="12">
      <c r="B40" s="295" t="s">
        <v>83</v>
      </c>
      <c r="C40" s="296"/>
      <c r="D40" s="297" t="s">
        <v>77</v>
      </c>
      <c r="E40" s="298"/>
      <c r="F40" s="298"/>
      <c r="G40" s="298"/>
      <c r="H40" s="299"/>
      <c r="I40" s="113">
        <f>SUM(I21+I33+I28+I39)</f>
        <v>456874.52500000002</v>
      </c>
    </row>
  </sheetData>
  <mergeCells count="38">
    <mergeCell ref="I35:I38"/>
    <mergeCell ref="B40:C40"/>
    <mergeCell ref="D40:H40"/>
    <mergeCell ref="G26:H26"/>
    <mergeCell ref="G28:H28"/>
    <mergeCell ref="C29:D29"/>
    <mergeCell ref="I30:I32"/>
    <mergeCell ref="G33:H33"/>
    <mergeCell ref="C34:D34"/>
    <mergeCell ref="C23:D23"/>
    <mergeCell ref="I23:I25"/>
    <mergeCell ref="C24:D24"/>
    <mergeCell ref="C25:D25"/>
    <mergeCell ref="C17:D17"/>
    <mergeCell ref="I17:I20"/>
    <mergeCell ref="C18:D18"/>
    <mergeCell ref="C19:D19"/>
    <mergeCell ref="C20:D20"/>
    <mergeCell ref="C22:D22"/>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D80F-606E-42CD-B8C7-3D2F60E3767F}">
  <sheetPr codeName="Hoja57"/>
  <dimension ref="B3:I40"/>
  <sheetViews>
    <sheetView zoomScale="89" zoomScaleNormal="89" workbookViewId="0">
      <selection activeCell="J14" sqref="J14"/>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5" customHeight="1">
      <c r="B13" s="17">
        <v>10.7</v>
      </c>
      <c r="C13" s="283" t="s">
        <v>1947</v>
      </c>
      <c r="D13" s="284"/>
      <c r="E13" s="284"/>
      <c r="F13" s="285"/>
      <c r="G13" s="286" t="s">
        <v>170</v>
      </c>
      <c r="H13" s="286"/>
      <c r="I13" s="114">
        <v>23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0.1</v>
      </c>
      <c r="H19" s="85">
        <f>F19*G19</f>
        <v>1050</v>
      </c>
      <c r="I19" s="287"/>
    </row>
    <row r="20" spans="2:9">
      <c r="B20" s="71"/>
      <c r="C20" s="288"/>
      <c r="D20" s="265"/>
      <c r="E20" s="88"/>
      <c r="F20" s="86"/>
      <c r="G20" s="119"/>
      <c r="H20" s="93"/>
      <c r="I20" s="287"/>
    </row>
    <row r="21" spans="2:9" ht="12">
      <c r="B21" s="89"/>
      <c r="C21" s="89"/>
      <c r="D21" s="89"/>
      <c r="E21" s="89"/>
      <c r="F21" s="89"/>
      <c r="G21" s="89"/>
      <c r="H21" s="89" t="s">
        <v>64</v>
      </c>
      <c r="I21" s="90">
        <f>SUM(H18:H20)</f>
        <v>2121.4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1535</v>
      </c>
      <c r="C24" s="290" t="str">
        <f>VLOOKUP(B24,'INSUMOS '!C4:G706,2,FALSE)</f>
        <v>Bala incrustar a techo Dirigible Led Integrado tipo panel</v>
      </c>
      <c r="D24" s="291"/>
      <c r="E24" s="97" t="str">
        <f>VLOOKUP(B24,'INSUMOS '!C4:G706,3,FALSE)</f>
        <v xml:space="preserve">UND </v>
      </c>
      <c r="F24" s="117">
        <f>VLOOKUP(B24,'INSUMOS '!C4:G706,4,FALSE)</f>
        <v>11000</v>
      </c>
      <c r="G24" s="119">
        <v>1.05</v>
      </c>
      <c r="H24" s="83">
        <f>+G24*F24</f>
        <v>11550</v>
      </c>
      <c r="I24" s="287"/>
    </row>
    <row r="25" spans="2:9">
      <c r="B25" s="71" t="s">
        <v>1342</v>
      </c>
      <c r="C25" s="290" t="str">
        <f>VLOOKUP(B25,'INSUMOS '!C5:F531,2,FALSE)</f>
        <v xml:space="preserve">ACCESORIOS DE FIJACION </v>
      </c>
      <c r="D25" s="291"/>
      <c r="E25" s="97" t="str">
        <f>VLOOKUP(B25,'INSUMOS '!C5:F531,3,FALSE)</f>
        <v>GLB</v>
      </c>
      <c r="F25" s="117">
        <f>VLOOKUP(B25,'INSUMOS '!C5:F531,4,FALSE)</f>
        <v>2000</v>
      </c>
      <c r="G25" s="92">
        <v>1</v>
      </c>
      <c r="H25" s="83">
        <f>+G25*F25</f>
        <v>2000</v>
      </c>
      <c r="I25" s="287"/>
    </row>
    <row r="26" spans="2:9" ht="12">
      <c r="B26" s="89"/>
      <c r="C26" s="89"/>
      <c r="D26" s="89"/>
      <c r="E26" s="89"/>
      <c r="F26" s="89"/>
      <c r="G26" s="258" t="s">
        <v>64</v>
      </c>
      <c r="H26" s="258"/>
      <c r="I26" s="85">
        <f>SUM(H24:H25)</f>
        <v>13550</v>
      </c>
    </row>
    <row r="27" spans="2:9" ht="12">
      <c r="B27" s="89"/>
      <c r="C27" s="89"/>
      <c r="D27" s="89"/>
      <c r="E27" s="89"/>
      <c r="F27" s="89"/>
      <c r="G27" s="99" t="s">
        <v>72</v>
      </c>
      <c r="H27" s="100">
        <v>0.05</v>
      </c>
      <c r="I27" s="120">
        <f>I26*H27</f>
        <v>677.5</v>
      </c>
    </row>
    <row r="28" spans="2:9" ht="12">
      <c r="B28" s="89"/>
      <c r="C28" s="89"/>
      <c r="D28" s="89"/>
      <c r="E28" s="89"/>
      <c r="F28" s="89"/>
      <c r="G28" s="258" t="s">
        <v>73</v>
      </c>
      <c r="H28" s="258"/>
      <c r="I28" s="90">
        <f>SUM(I26:I27)</f>
        <v>14227.5</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t="s">
        <v>274</v>
      </c>
      <c r="C31" s="70" t="str">
        <f>VLOOKUP(B31,'MAQUINARIA Y EQUIPOS  '!C12:F100,2,FALSE)</f>
        <v>CAMIONETA D300</v>
      </c>
      <c r="D31" s="75" t="s">
        <v>1333</v>
      </c>
      <c r="E31" s="70">
        <v>0.2</v>
      </c>
      <c r="F31" s="70">
        <v>19</v>
      </c>
      <c r="G31" s="102">
        <v>1000</v>
      </c>
      <c r="H31" s="103">
        <f>+G31*E31</f>
        <v>200</v>
      </c>
      <c r="I31" s="301"/>
    </row>
    <row r="32" spans="2:9">
      <c r="B32" s="71"/>
      <c r="C32" s="71"/>
      <c r="D32" s="82"/>
      <c r="E32" s="71"/>
      <c r="F32" s="71"/>
      <c r="G32" s="86"/>
      <c r="H32" s="86"/>
      <c r="I32" s="301"/>
    </row>
    <row r="33" spans="2:9" ht="12">
      <c r="B33" s="89"/>
      <c r="C33" s="89"/>
      <c r="D33" s="89"/>
      <c r="E33" s="89"/>
      <c r="F33" s="89"/>
      <c r="G33" s="302" t="s">
        <v>64</v>
      </c>
      <c r="H33" s="302"/>
      <c r="I33" s="104">
        <f>+H31</f>
        <v>200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22.8">
      <c r="B36" s="106" t="s">
        <v>376</v>
      </c>
      <c r="C36" s="106" t="str">
        <f>+VLOOKUP(B36,'MANO DE OBRA '!B23:G46,2,FALSE)</f>
        <v xml:space="preserve"> Cuadrilla EE Electrico (1 oficial+ 1 ayudante)</v>
      </c>
      <c r="D36" s="106">
        <v>1</v>
      </c>
      <c r="E36" s="106" t="str">
        <f>+VLOOKUP(B36,'MANO DE OBRA '!B23:G46,4,FALSE)</f>
        <v>Hora</v>
      </c>
      <c r="F36" s="86">
        <f>+VLOOKUP(B36,'MANO DE OBRA '!B23:G46,3,FALSE)</f>
        <v>48437.5</v>
      </c>
      <c r="G36" s="121">
        <v>0.55000000000000004</v>
      </c>
      <c r="H36" s="94">
        <f>F36*G36*D36</f>
        <v>26640.625000000004</v>
      </c>
      <c r="I36" s="294"/>
    </row>
    <row r="37" spans="2:9" ht="15" customHeight="1">
      <c r="B37" s="106"/>
      <c r="C37" s="106"/>
      <c r="D37" s="106"/>
      <c r="E37" s="106"/>
      <c r="F37" s="86"/>
      <c r="G37" s="121"/>
      <c r="H37" s="94"/>
      <c r="I37" s="294"/>
    </row>
    <row r="38" spans="2:9">
      <c r="B38" s="106"/>
      <c r="C38" s="106"/>
      <c r="D38" s="106"/>
      <c r="E38" s="106"/>
      <c r="F38" s="86"/>
      <c r="G38" s="121"/>
      <c r="H38" s="94"/>
      <c r="I38" s="294"/>
    </row>
    <row r="39" spans="2:9" ht="12">
      <c r="B39" s="108"/>
      <c r="C39" s="109"/>
      <c r="D39" s="109"/>
      <c r="E39" s="109"/>
      <c r="F39" s="110"/>
      <c r="G39" s="110"/>
      <c r="H39" s="111" t="s">
        <v>64</v>
      </c>
      <c r="I39" s="112">
        <f>SUM(H36:H38)</f>
        <v>26640.625000000004</v>
      </c>
    </row>
    <row r="40" spans="2:9" ht="12">
      <c r="B40" s="295" t="s">
        <v>83</v>
      </c>
      <c r="C40" s="296"/>
      <c r="D40" s="297" t="s">
        <v>77</v>
      </c>
      <c r="E40" s="298"/>
      <c r="F40" s="298"/>
      <c r="G40" s="298"/>
      <c r="H40" s="299"/>
      <c r="I40" s="113">
        <f>SUM(I21+I33+I28+I39)</f>
        <v>43189.525000000009</v>
      </c>
    </row>
  </sheetData>
  <mergeCells count="38">
    <mergeCell ref="I35:I38"/>
    <mergeCell ref="B40:C40"/>
    <mergeCell ref="D40:H40"/>
    <mergeCell ref="G26:H26"/>
    <mergeCell ref="G28:H28"/>
    <mergeCell ref="C29:D29"/>
    <mergeCell ref="I30:I32"/>
    <mergeCell ref="G33:H33"/>
    <mergeCell ref="C34:D34"/>
    <mergeCell ref="C23:D23"/>
    <mergeCell ref="I23:I25"/>
    <mergeCell ref="C24:D24"/>
    <mergeCell ref="C25:D25"/>
    <mergeCell ref="C17:D17"/>
    <mergeCell ref="I17:I20"/>
    <mergeCell ref="C18:D18"/>
    <mergeCell ref="C19:D19"/>
    <mergeCell ref="C20:D20"/>
    <mergeCell ref="C22:D22"/>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C4C2-2567-4303-9A78-6AA95D90E6DF}">
  <sheetPr codeName="Hoja59"/>
  <dimension ref="B3:I46"/>
  <sheetViews>
    <sheetView topLeftCell="A25" zoomScale="89" zoomScaleNormal="89" workbookViewId="0">
      <selection activeCell="K27" sqref="K2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10.8</v>
      </c>
      <c r="C13" s="283" t="s">
        <v>1948</v>
      </c>
      <c r="D13" s="284"/>
      <c r="E13" s="284"/>
      <c r="F13" s="285"/>
      <c r="G13" s="286" t="s">
        <v>1530</v>
      </c>
      <c r="H13" s="286"/>
      <c r="I13" s="114">
        <v>358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c r="H19" s="85">
        <f>F19*G19</f>
        <v>0</v>
      </c>
      <c r="I19" s="287"/>
    </row>
    <row r="20" spans="2:9">
      <c r="B20" s="71"/>
      <c r="C20" s="288"/>
      <c r="D20" s="265"/>
      <c r="E20" s="88"/>
      <c r="F20" s="86"/>
      <c r="G20" s="119"/>
      <c r="H20" s="93"/>
      <c r="I20" s="287"/>
    </row>
    <row r="21" spans="2:9" ht="12">
      <c r="B21" s="89"/>
      <c r="C21" s="89"/>
      <c r="D21" s="89"/>
      <c r="E21" s="89"/>
      <c r="F21" s="89"/>
      <c r="G21" s="89"/>
      <c r="H21" s="89" t="s">
        <v>64</v>
      </c>
      <c r="I21" s="90">
        <f>SUM(H18:H20)</f>
        <v>1071.4000000000001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1051</v>
      </c>
      <c r="C24" s="290" t="str">
        <f>VLOOKUP(B24,'INSUMOS '!C4:F530,2,FALSE)</f>
        <v>TUBERIA EMT  1/2"</v>
      </c>
      <c r="D24" s="291"/>
      <c r="E24" s="97" t="str">
        <f>VLOOKUP(B24,'INSUMOS '!C4:F530,3,FALSE)</f>
        <v>ML</v>
      </c>
      <c r="F24" s="117">
        <f>VLOOKUP(B24,'INSUMOS '!C4:F530,4,FALSE)</f>
        <v>11233.33</v>
      </c>
      <c r="G24" s="92">
        <v>3</v>
      </c>
      <c r="H24" s="83">
        <f>+G24*F24</f>
        <v>33699.99</v>
      </c>
      <c r="I24" s="287"/>
    </row>
    <row r="25" spans="2:9">
      <c r="B25" s="71" t="s">
        <v>1040</v>
      </c>
      <c r="C25" s="290" t="str">
        <f>VLOOKUP(B25,'INSUMOS '!C5:F531,2,FALSE)</f>
        <v>TUBERIA PVC SCH 40 1/2</v>
      </c>
      <c r="D25" s="291"/>
      <c r="E25" s="97" t="str">
        <f>VLOOKUP(B25,'INSUMOS '!C5:F531,3,FALSE)</f>
        <v>ml</v>
      </c>
      <c r="F25" s="117">
        <f>VLOOKUP(B25,'INSUMOS '!C5:F531,4,FALSE)</f>
        <v>5236</v>
      </c>
      <c r="G25" s="92">
        <v>1</v>
      </c>
      <c r="H25" s="83">
        <f>+G25*F25</f>
        <v>5236</v>
      </c>
      <c r="I25" s="287"/>
    </row>
    <row r="26" spans="2:9">
      <c r="B26" s="71" t="s">
        <v>1340</v>
      </c>
      <c r="C26" s="290" t="str">
        <f>VLOOKUP(B26,'INSUMOS '!C6:F616,2,FALSE)</f>
        <v>Accesorios emt 1/2</v>
      </c>
      <c r="D26" s="291"/>
      <c r="E26" s="97" t="str">
        <f>VLOOKUP(B26,'INSUMOS '!C6:F616,3,FALSE)</f>
        <v xml:space="preserve">und </v>
      </c>
      <c r="F26" s="117">
        <f>VLOOKUP(B26,'INSUMOS '!C6:F616,4,FALSE)</f>
        <v>2000</v>
      </c>
      <c r="G26" s="92">
        <v>0.8</v>
      </c>
      <c r="H26" s="83">
        <f>+G26*F26</f>
        <v>1600</v>
      </c>
      <c r="I26" s="287"/>
    </row>
    <row r="27" spans="2:9">
      <c r="B27" s="71" t="s">
        <v>1336</v>
      </c>
      <c r="C27" s="290" t="str">
        <f>VLOOKUP(B27,'INSUMOS '!C7:F616,2,FALSE)</f>
        <v>Accesorio pvc sch 40 1/2</v>
      </c>
      <c r="D27" s="291"/>
      <c r="E27" s="97" t="str">
        <f>VLOOKUP(B27,'INSUMOS '!C7:F616,3,FALSE)</f>
        <v xml:space="preserve">und </v>
      </c>
      <c r="F27" s="117">
        <f>VLOOKUP(B27,'INSUMOS '!C7:F616,4,FALSE)</f>
        <v>2000</v>
      </c>
      <c r="G27" s="92">
        <v>0.2</v>
      </c>
      <c r="H27" s="83">
        <f>+G27*F27</f>
        <v>400</v>
      </c>
      <c r="I27" s="287"/>
    </row>
    <row r="28" spans="2:9">
      <c r="B28" s="71" t="s">
        <v>1314</v>
      </c>
      <c r="C28" s="290" t="str">
        <f>VLOOKUP(B28,'INSUMOS '!C8:F534,2,FALSE)</f>
        <v xml:space="preserve">Cable eléctrico de cobre aislado THHN No. 12 AWG </v>
      </c>
      <c r="D28" s="291"/>
      <c r="E28" s="97" t="str">
        <f>VLOOKUP(B28,'INSUMOS '!C8:F534,3,FALSE)</f>
        <v>ml</v>
      </c>
      <c r="F28" s="117">
        <f>VLOOKUP(B28,'INSUMOS '!C8:F534,4,FALSE)</f>
        <v>3000</v>
      </c>
      <c r="G28" s="92">
        <v>12</v>
      </c>
      <c r="H28" s="83">
        <f>+G28*F28</f>
        <v>36000</v>
      </c>
      <c r="I28" s="287"/>
    </row>
    <row r="29" spans="2:9">
      <c r="B29" s="71"/>
      <c r="C29" s="290"/>
      <c r="D29" s="291"/>
      <c r="E29" s="97"/>
      <c r="F29" s="117"/>
      <c r="G29" s="92"/>
      <c r="H29" s="83"/>
      <c r="I29" s="287"/>
    </row>
    <row r="30" spans="2:9">
      <c r="B30" s="71"/>
      <c r="C30" s="290"/>
      <c r="D30" s="291"/>
      <c r="E30" s="97"/>
      <c r="F30" s="117"/>
      <c r="G30" s="92"/>
      <c r="H30" s="83"/>
      <c r="I30" s="287"/>
    </row>
    <row r="31" spans="2:9">
      <c r="B31" s="71"/>
      <c r="C31" s="290"/>
      <c r="D31" s="291"/>
      <c r="E31" s="97"/>
      <c r="F31" s="117"/>
      <c r="G31" s="92"/>
      <c r="H31" s="83"/>
      <c r="I31" s="287"/>
    </row>
    <row r="32" spans="2:9" ht="12">
      <c r="B32" s="89"/>
      <c r="C32" s="89"/>
      <c r="D32" s="89"/>
      <c r="E32" s="89"/>
      <c r="F32" s="89"/>
      <c r="G32" s="258" t="s">
        <v>64</v>
      </c>
      <c r="H32" s="258"/>
      <c r="I32" s="85">
        <f>SUM(H24:H31)</f>
        <v>76935.989999999991</v>
      </c>
    </row>
    <row r="33" spans="2:9" ht="12">
      <c r="B33" s="89"/>
      <c r="C33" s="89"/>
      <c r="D33" s="89"/>
      <c r="E33" s="89"/>
      <c r="F33" s="89"/>
      <c r="G33" s="99" t="s">
        <v>72</v>
      </c>
      <c r="H33" s="100">
        <v>0.05</v>
      </c>
      <c r="I33" s="120">
        <f>I32*H33</f>
        <v>3846.7994999999996</v>
      </c>
    </row>
    <row r="34" spans="2:9" ht="12">
      <c r="B34" s="89"/>
      <c r="C34" s="89"/>
      <c r="D34" s="89"/>
      <c r="E34" s="89"/>
      <c r="F34" s="89"/>
      <c r="G34" s="258" t="s">
        <v>73</v>
      </c>
      <c r="H34" s="258"/>
      <c r="I34" s="90">
        <f>SUM(I32:I33)</f>
        <v>80782.789499999984</v>
      </c>
    </row>
    <row r="35" spans="2:9" ht="12">
      <c r="B35" s="78"/>
      <c r="C35" s="289" t="s">
        <v>74</v>
      </c>
      <c r="D35" s="289"/>
      <c r="E35" s="78"/>
      <c r="F35" s="78"/>
      <c r="G35" s="78"/>
      <c r="H35" s="78"/>
      <c r="I35" s="79"/>
    </row>
    <row r="36" spans="2:9" ht="12">
      <c r="B36" s="70" t="s">
        <v>42</v>
      </c>
      <c r="C36" s="70" t="s">
        <v>58</v>
      </c>
      <c r="D36" s="70" t="s">
        <v>342</v>
      </c>
      <c r="E36" s="70" t="s">
        <v>343</v>
      </c>
      <c r="F36" s="70" t="s">
        <v>344</v>
      </c>
      <c r="G36" s="70" t="s">
        <v>1278</v>
      </c>
      <c r="H36" s="74" t="s">
        <v>61</v>
      </c>
      <c r="I36" s="300"/>
    </row>
    <row r="37" spans="2:9" ht="12">
      <c r="B37" s="70" t="s">
        <v>274</v>
      </c>
      <c r="C37" s="70" t="str">
        <f>VLOOKUP(B37,'MAQUINARIA Y EQUIPOS  '!C12:F100,2,FALSE)</f>
        <v>CAMIONETA D300</v>
      </c>
      <c r="D37" s="75" t="s">
        <v>1333</v>
      </c>
      <c r="E37" s="70">
        <v>0.2</v>
      </c>
      <c r="F37" s="70">
        <v>19</v>
      </c>
      <c r="G37" s="102">
        <v>1000</v>
      </c>
      <c r="H37" s="103">
        <f>+G37*E37</f>
        <v>200</v>
      </c>
      <c r="I37" s="301"/>
    </row>
    <row r="38" spans="2:9">
      <c r="B38" s="71"/>
      <c r="C38" s="71"/>
      <c r="D38" s="82"/>
      <c r="E38" s="71"/>
      <c r="F38" s="71"/>
      <c r="G38" s="86"/>
      <c r="H38" s="86"/>
      <c r="I38" s="301"/>
    </row>
    <row r="39" spans="2:9" ht="12">
      <c r="B39" s="89"/>
      <c r="C39" s="89"/>
      <c r="D39" s="89"/>
      <c r="E39" s="89"/>
      <c r="F39" s="89"/>
      <c r="G39" s="302" t="s">
        <v>64</v>
      </c>
      <c r="H39" s="302"/>
      <c r="I39" s="104">
        <f>+H37</f>
        <v>200</v>
      </c>
    </row>
    <row r="40" spans="2:9" ht="12">
      <c r="B40" s="78"/>
      <c r="C40" s="289" t="s">
        <v>75</v>
      </c>
      <c r="D40" s="289"/>
      <c r="E40" s="78"/>
      <c r="F40" s="78"/>
      <c r="G40" s="78"/>
      <c r="H40" s="78"/>
      <c r="I40" s="79"/>
    </row>
    <row r="41" spans="2:9" ht="12">
      <c r="B41" s="105" t="s">
        <v>42</v>
      </c>
      <c r="C41" s="105" t="s">
        <v>76</v>
      </c>
      <c r="D41" s="105" t="s">
        <v>1225</v>
      </c>
      <c r="E41" s="105" t="s">
        <v>1</v>
      </c>
      <c r="F41" s="105" t="s">
        <v>77</v>
      </c>
      <c r="G41" s="105" t="s">
        <v>78</v>
      </c>
      <c r="H41" s="105" t="s">
        <v>79</v>
      </c>
      <c r="I41" s="294"/>
    </row>
    <row r="42" spans="2:9" ht="30" customHeight="1">
      <c r="B42" s="106" t="s">
        <v>69</v>
      </c>
      <c r="C42" s="106" t="str">
        <f>+VLOOKUP(B42,'MANO DE OBRA '!B23:G46,2,FALSE)</f>
        <v>Electricista</v>
      </c>
      <c r="D42" s="106">
        <v>1</v>
      </c>
      <c r="E42" s="106" t="str">
        <f>+VLOOKUP(B42,'MANO DE OBRA '!B23:G46,4,FALSE)</f>
        <v>Dia</v>
      </c>
      <c r="F42" s="86">
        <f>+VLOOKUP(B42,'MANO DE OBRA '!B23:G46,3,FALSE)</f>
        <v>213000</v>
      </c>
      <c r="G42" s="121">
        <v>0.25</v>
      </c>
      <c r="H42" s="94">
        <f>F42*G42*D42</f>
        <v>53250</v>
      </c>
      <c r="I42" s="294"/>
    </row>
    <row r="43" spans="2:9" ht="30" customHeight="1">
      <c r="B43" s="106" t="s">
        <v>70</v>
      </c>
      <c r="C43" s="106" t="str">
        <f>+VLOOKUP(B43,'MANO DE OBRA '!B24:G47,2,FALSE)</f>
        <v>Ayudante Electrico</v>
      </c>
      <c r="D43" s="106">
        <v>1</v>
      </c>
      <c r="E43" s="106" t="str">
        <f>+VLOOKUP(B43,'MANO DE OBRA '!B24:G47,4,FALSE)</f>
        <v>Dia</v>
      </c>
      <c r="F43" s="86">
        <f>+VLOOKUP(B43,'MANO DE OBRA '!B24:G47,3,FALSE)</f>
        <v>142000</v>
      </c>
      <c r="G43" s="121">
        <v>0.25</v>
      </c>
      <c r="H43" s="94">
        <f>F43*G43*D43</f>
        <v>35500</v>
      </c>
      <c r="I43" s="294"/>
    </row>
    <row r="44" spans="2:9">
      <c r="B44" s="106"/>
      <c r="C44" s="106"/>
      <c r="D44" s="106"/>
      <c r="E44" s="106"/>
      <c r="F44" s="86"/>
      <c r="G44" s="121"/>
      <c r="H44" s="94"/>
      <c r="I44" s="294"/>
    </row>
    <row r="45" spans="2:9" ht="12">
      <c r="B45" s="108"/>
      <c r="C45" s="109"/>
      <c r="D45" s="109"/>
      <c r="E45" s="109"/>
      <c r="F45" s="110"/>
      <c r="G45" s="110"/>
      <c r="H45" s="111" t="s">
        <v>64</v>
      </c>
      <c r="I45" s="112">
        <f>SUM(H42:H44)</f>
        <v>88750</v>
      </c>
    </row>
    <row r="46" spans="2:9" ht="12">
      <c r="B46" s="295" t="s">
        <v>83</v>
      </c>
      <c r="C46" s="296"/>
      <c r="D46" s="297" t="s">
        <v>77</v>
      </c>
      <c r="E46" s="298"/>
      <c r="F46" s="298"/>
      <c r="G46" s="298"/>
      <c r="H46" s="299"/>
      <c r="I46" s="113">
        <f>SUM(I21+I39+I34+I45)</f>
        <v>170804.18949999998</v>
      </c>
    </row>
  </sheetData>
  <mergeCells count="44">
    <mergeCell ref="I41:I44"/>
    <mergeCell ref="B46:C46"/>
    <mergeCell ref="D46:H46"/>
    <mergeCell ref="G32:H32"/>
    <mergeCell ref="G34:H34"/>
    <mergeCell ref="C35:D35"/>
    <mergeCell ref="I36:I38"/>
    <mergeCell ref="G39:H39"/>
    <mergeCell ref="C40:D40"/>
    <mergeCell ref="I17:I20"/>
    <mergeCell ref="C18:D18"/>
    <mergeCell ref="C19:D19"/>
    <mergeCell ref="C20:D20"/>
    <mergeCell ref="C23:D23"/>
    <mergeCell ref="I23:I31"/>
    <mergeCell ref="C24:D24"/>
    <mergeCell ref="C25:D25"/>
    <mergeCell ref="C26:D26"/>
    <mergeCell ref="C27:D27"/>
    <mergeCell ref="C28:D28"/>
    <mergeCell ref="C29:D29"/>
    <mergeCell ref="C30:D30"/>
    <mergeCell ref="C31:D31"/>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78665-583E-49CC-A3E3-49318560E381}">
  <sheetPr codeName="Hoja60"/>
  <dimension ref="B3:I43"/>
  <sheetViews>
    <sheetView topLeftCell="A4" zoomScale="89" zoomScaleNormal="89" workbookViewId="0">
      <selection activeCell="M39" sqref="M3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10.9</v>
      </c>
      <c r="C13" s="283" t="s">
        <v>1400</v>
      </c>
      <c r="D13" s="284"/>
      <c r="E13" s="284"/>
      <c r="F13" s="285"/>
      <c r="G13" s="286" t="s">
        <v>27</v>
      </c>
      <c r="H13" s="286"/>
      <c r="I13" s="114">
        <v>45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0.04</v>
      </c>
      <c r="H19" s="85">
        <f>F19*G19</f>
        <v>420</v>
      </c>
      <c r="I19" s="287"/>
    </row>
    <row r="20" spans="2:9">
      <c r="B20" s="71"/>
      <c r="C20" s="288"/>
      <c r="D20" s="265"/>
      <c r="E20" s="88"/>
      <c r="F20" s="86"/>
      <c r="G20" s="119"/>
      <c r="H20" s="93"/>
      <c r="I20" s="287"/>
    </row>
    <row r="21" spans="2:9" ht="12">
      <c r="B21" s="89"/>
      <c r="C21" s="89"/>
      <c r="D21" s="89"/>
      <c r="E21" s="89"/>
      <c r="F21" s="89"/>
      <c r="G21" s="89"/>
      <c r="H21" s="89" t="s">
        <v>64</v>
      </c>
      <c r="I21" s="90">
        <f>SUM(H18:H20)</f>
        <v>1491.4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1314</v>
      </c>
      <c r="C24" s="290" t="str">
        <f>VLOOKUP(B24,'INSUMOS '!C4:F530,2,FALSE)</f>
        <v xml:space="preserve">Cable eléctrico de cobre aislado THHN No. 12 AWG </v>
      </c>
      <c r="D24" s="291"/>
      <c r="E24" s="97" t="str">
        <f>VLOOKUP(B24,'INSUMOS '!C4:F530,3,FALSE)</f>
        <v>ml</v>
      </c>
      <c r="F24" s="117">
        <f>VLOOKUP(B24,'INSUMOS '!C4:F530,4,FALSE)</f>
        <v>3000</v>
      </c>
      <c r="G24" s="92">
        <v>32</v>
      </c>
      <c r="H24" s="83">
        <f>+G24*F24</f>
        <v>96000</v>
      </c>
      <c r="I24" s="287"/>
    </row>
    <row r="25" spans="2:9">
      <c r="B25" s="71" t="s">
        <v>1350</v>
      </c>
      <c r="C25" s="290" t="str">
        <f>VLOOKUP(B25,'INSUMOS '!C4:F530,2,FALSE)</f>
        <v xml:space="preserve">CABLE ENCAUCHETADO 3X14AWG </v>
      </c>
      <c r="D25" s="291"/>
      <c r="E25" s="97" t="str">
        <f>VLOOKUP(B25,'INSUMOS '!C4:F530,3,FALSE)</f>
        <v xml:space="preserve">ML </v>
      </c>
      <c r="F25" s="117">
        <f>VLOOKUP(B25,'INSUMOS '!C4:F530,4,FALSE)</f>
        <v>7000</v>
      </c>
      <c r="G25" s="92">
        <v>8</v>
      </c>
      <c r="H25" s="83">
        <f>+G25*F25</f>
        <v>56000</v>
      </c>
      <c r="I25" s="287"/>
    </row>
    <row r="26" spans="2:9">
      <c r="B26" s="71" t="s">
        <v>940</v>
      </c>
      <c r="C26" s="290" t="str">
        <f>VLOOKUP(B26,'INSUMOS '!C4:F530,2,FALSE)</f>
        <v>CONECTOR TIPO RESORTE</v>
      </c>
      <c r="D26" s="291"/>
      <c r="E26" s="97" t="str">
        <f>VLOOKUP(B26,'INSUMOS '!C4:F530,3,FALSE)</f>
        <v>UND</v>
      </c>
      <c r="F26" s="117">
        <f>VLOOKUP(B26,'INSUMOS '!C4:F530,4,FALSE)</f>
        <v>2000</v>
      </c>
      <c r="G26" s="92">
        <v>5</v>
      </c>
      <c r="H26" s="83">
        <f>+G26*F26</f>
        <v>10000</v>
      </c>
      <c r="I26" s="287"/>
    </row>
    <row r="27" spans="2:9">
      <c r="B27" s="71" t="s">
        <v>1352</v>
      </c>
      <c r="C27" s="290" t="str">
        <f>VLOOKUP(B27,'INSUMOS '!C4:F530,2,FALSE)</f>
        <v xml:space="preserve">PRENSO ESTOPA </v>
      </c>
      <c r="D27" s="291"/>
      <c r="E27" s="97" t="str">
        <f>VLOOKUP(B27,'INSUMOS '!C4:F530,3,FALSE)</f>
        <v xml:space="preserve">UND </v>
      </c>
      <c r="F27" s="117">
        <f>VLOOKUP(B27,'INSUMOS '!C4:F530,4,FALSE)</f>
        <v>3000</v>
      </c>
      <c r="G27" s="92">
        <v>1</v>
      </c>
      <c r="H27" s="83">
        <f>+G27*F27</f>
        <v>3000</v>
      </c>
      <c r="I27" s="287"/>
    </row>
    <row r="28" spans="2:9">
      <c r="B28" s="71" t="s">
        <v>1328</v>
      </c>
      <c r="C28" s="290" t="str">
        <f>VLOOKUP(B28,'INSUMOS '!C5:F531,2,FALSE)</f>
        <v xml:space="preserve">CAJA 4X4 GALVANIZADA </v>
      </c>
      <c r="D28" s="291"/>
      <c r="E28" s="97" t="str">
        <f>VLOOKUP(B28,'INSUMOS '!C5:F531,3,FALSE)</f>
        <v xml:space="preserve">UND </v>
      </c>
      <c r="F28" s="117">
        <f>VLOOKUP(B28,'INSUMOS '!C5:F531,4,FALSE)</f>
        <v>14280</v>
      </c>
      <c r="G28" s="92">
        <v>1</v>
      </c>
      <c r="H28" s="83">
        <f>+G28*F28</f>
        <v>14280</v>
      </c>
      <c r="I28" s="287"/>
    </row>
    <row r="29" spans="2:9" ht="12">
      <c r="B29" s="89"/>
      <c r="C29" s="89"/>
      <c r="D29" s="89"/>
      <c r="E29" s="89"/>
      <c r="F29" s="89"/>
      <c r="G29" s="258" t="s">
        <v>64</v>
      </c>
      <c r="H29" s="258"/>
      <c r="I29" s="85">
        <f>SUM(H24:H28)</f>
        <v>179280</v>
      </c>
    </row>
    <row r="30" spans="2:9" ht="12">
      <c r="B30" s="89"/>
      <c r="C30" s="89"/>
      <c r="D30" s="89"/>
      <c r="E30" s="89"/>
      <c r="F30" s="89"/>
      <c r="G30" s="99" t="s">
        <v>72</v>
      </c>
      <c r="H30" s="100">
        <v>0.05</v>
      </c>
      <c r="I30" s="120">
        <f>I29*H30</f>
        <v>8964</v>
      </c>
    </row>
    <row r="31" spans="2:9" ht="12">
      <c r="B31" s="89"/>
      <c r="C31" s="89"/>
      <c r="D31" s="89"/>
      <c r="E31" s="89"/>
      <c r="F31" s="89"/>
      <c r="G31" s="258" t="s">
        <v>73</v>
      </c>
      <c r="H31" s="258"/>
      <c r="I31" s="90">
        <f>SUM(I29:I30)</f>
        <v>188244</v>
      </c>
    </row>
    <row r="32" spans="2:9" ht="12">
      <c r="B32" s="78"/>
      <c r="C32" s="289" t="s">
        <v>74</v>
      </c>
      <c r="D32" s="289"/>
      <c r="E32" s="78"/>
      <c r="F32" s="78"/>
      <c r="G32" s="78"/>
      <c r="H32" s="78"/>
      <c r="I32" s="79"/>
    </row>
    <row r="33" spans="2:9" ht="12">
      <c r="B33" s="70" t="s">
        <v>42</v>
      </c>
      <c r="C33" s="70" t="s">
        <v>58</v>
      </c>
      <c r="D33" s="70" t="s">
        <v>342</v>
      </c>
      <c r="E33" s="70" t="s">
        <v>343</v>
      </c>
      <c r="F33" s="70" t="s">
        <v>344</v>
      </c>
      <c r="G33" s="70" t="s">
        <v>1278</v>
      </c>
      <c r="H33" s="74" t="s">
        <v>61</v>
      </c>
      <c r="I33" s="300"/>
    </row>
    <row r="34" spans="2:9" ht="12">
      <c r="B34" s="70" t="s">
        <v>274</v>
      </c>
      <c r="C34" s="70" t="str">
        <f>VLOOKUP(B34,'MAQUINARIA Y EQUIPOS  '!C12:F100,2,FALSE)</f>
        <v>CAMIONETA D300</v>
      </c>
      <c r="D34" s="75" t="s">
        <v>1333</v>
      </c>
      <c r="E34" s="70">
        <v>0.2</v>
      </c>
      <c r="F34" s="70">
        <v>19</v>
      </c>
      <c r="G34" s="102">
        <v>1000</v>
      </c>
      <c r="H34" s="103">
        <f>+G34*E34</f>
        <v>200</v>
      </c>
      <c r="I34" s="301"/>
    </row>
    <row r="35" spans="2:9">
      <c r="B35" s="71"/>
      <c r="C35" s="71"/>
      <c r="D35" s="82"/>
      <c r="E35" s="71"/>
      <c r="F35" s="71"/>
      <c r="G35" s="86"/>
      <c r="H35" s="86"/>
      <c r="I35" s="301"/>
    </row>
    <row r="36" spans="2:9" ht="12">
      <c r="B36" s="89"/>
      <c r="C36" s="89"/>
      <c r="D36" s="89"/>
      <c r="E36" s="89"/>
      <c r="F36" s="89"/>
      <c r="G36" s="302" t="s">
        <v>64</v>
      </c>
      <c r="H36" s="302"/>
      <c r="I36" s="104">
        <f>+H34</f>
        <v>200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30" customHeight="1">
      <c r="B39" s="106" t="s">
        <v>69</v>
      </c>
      <c r="C39" s="106" t="str">
        <f>+VLOOKUP(B39,'MANO DE OBRA '!B23:G46,2,FALSE)</f>
        <v>Electricista</v>
      </c>
      <c r="D39" s="106">
        <v>1</v>
      </c>
      <c r="E39" s="106" t="str">
        <f>+VLOOKUP(B39,'MANO DE OBRA '!B23:G46,4,FALSE)</f>
        <v>Dia</v>
      </c>
      <c r="F39" s="86">
        <f>+VLOOKUP(B39,'MANO DE OBRA '!B23:G46,3,FALSE)</f>
        <v>213000</v>
      </c>
      <c r="G39" s="121">
        <v>0.48</v>
      </c>
      <c r="H39" s="94">
        <f>F39*G39*D39</f>
        <v>102240</v>
      </c>
      <c r="I39" s="294"/>
    </row>
    <row r="40" spans="2:9" ht="30" customHeight="1">
      <c r="B40" s="106" t="s">
        <v>70</v>
      </c>
      <c r="C40" s="106" t="str">
        <f>+VLOOKUP(B40,'MANO DE OBRA '!B24:G47,2,FALSE)</f>
        <v>Ayudante Electrico</v>
      </c>
      <c r="D40" s="106">
        <v>1</v>
      </c>
      <c r="E40" s="106" t="str">
        <f>+VLOOKUP(B40,'MANO DE OBRA '!B24:G47,4,FALSE)</f>
        <v>Dia</v>
      </c>
      <c r="F40" s="86">
        <f>+VLOOKUP(B40,'MANO DE OBRA '!B24:G47,3,FALSE)</f>
        <v>142000</v>
      </c>
      <c r="G40" s="121">
        <v>0.48</v>
      </c>
      <c r="H40" s="94">
        <f>F40*G40*D40</f>
        <v>68160</v>
      </c>
      <c r="I40" s="294"/>
    </row>
    <row r="41" spans="2:9">
      <c r="B41" s="106"/>
      <c r="C41" s="106"/>
      <c r="D41" s="106"/>
      <c r="E41" s="106"/>
      <c r="F41" s="86"/>
      <c r="G41" s="121"/>
      <c r="H41" s="94"/>
      <c r="I41" s="294"/>
    </row>
    <row r="42" spans="2:9" ht="12">
      <c r="B42" s="108"/>
      <c r="C42" s="109"/>
      <c r="D42" s="109"/>
      <c r="E42" s="109"/>
      <c r="F42" s="110"/>
      <c r="G42" s="110"/>
      <c r="H42" s="111" t="s">
        <v>64</v>
      </c>
      <c r="I42" s="112">
        <f>SUM(H39:H41)</f>
        <v>170400</v>
      </c>
    </row>
    <row r="43" spans="2:9" ht="12">
      <c r="B43" s="295" t="s">
        <v>83</v>
      </c>
      <c r="C43" s="296"/>
      <c r="D43" s="297" t="s">
        <v>77</v>
      </c>
      <c r="E43" s="298"/>
      <c r="F43" s="298"/>
      <c r="G43" s="298"/>
      <c r="H43" s="299"/>
      <c r="I43" s="113">
        <f>SUM(I21+I36+I31+I42)</f>
        <v>360335.4</v>
      </c>
    </row>
  </sheetData>
  <mergeCells count="41">
    <mergeCell ref="I38:I41"/>
    <mergeCell ref="B43:C43"/>
    <mergeCell ref="D43:H43"/>
    <mergeCell ref="C26:D26"/>
    <mergeCell ref="C27:D27"/>
    <mergeCell ref="G29:H29"/>
    <mergeCell ref="G31:H31"/>
    <mergeCell ref="C32:D32"/>
    <mergeCell ref="I33:I35"/>
    <mergeCell ref="G36:H36"/>
    <mergeCell ref="C37:D37"/>
    <mergeCell ref="I17:I20"/>
    <mergeCell ref="C18:D18"/>
    <mergeCell ref="C19:D19"/>
    <mergeCell ref="C20:D20"/>
    <mergeCell ref="C23:D23"/>
    <mergeCell ref="I23:I28"/>
    <mergeCell ref="C24:D24"/>
    <mergeCell ref="C25:D25"/>
    <mergeCell ref="C28:D28"/>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C18C-E86C-426B-825E-FFD30A2E0C3D}">
  <sheetPr codeName="Hoja61"/>
  <dimension ref="B3:I40"/>
  <sheetViews>
    <sheetView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3.69921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10.1</v>
      </c>
      <c r="C13" s="283" t="s">
        <v>1949</v>
      </c>
      <c r="D13" s="284"/>
      <c r="E13" s="284"/>
      <c r="F13" s="285"/>
      <c r="G13" s="286" t="s">
        <v>1530</v>
      </c>
      <c r="H13" s="286"/>
      <c r="I13" s="114">
        <v>358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c r="H19" s="85">
        <f>F19*G19</f>
        <v>0</v>
      </c>
      <c r="I19" s="287"/>
    </row>
    <row r="20" spans="2:9">
      <c r="B20" s="71"/>
      <c r="C20" s="288"/>
      <c r="D20" s="265"/>
      <c r="E20" s="88"/>
      <c r="F20" s="86"/>
      <c r="G20" s="119"/>
      <c r="H20" s="93"/>
      <c r="I20" s="287"/>
    </row>
    <row r="21" spans="2:9" ht="12">
      <c r="B21" s="89"/>
      <c r="C21" s="89"/>
      <c r="D21" s="89"/>
      <c r="E21" s="89"/>
      <c r="F21" s="89"/>
      <c r="G21" s="89"/>
      <c r="H21" s="89" t="s">
        <v>64</v>
      </c>
      <c r="I21" s="90">
        <f>SUM(H18:H20)</f>
        <v>1071.4000000000001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1033</v>
      </c>
      <c r="C24" s="290" t="str">
        <f>VLOOKUP(B24,'INSUMOS '!C4:F530,2,FALSE)</f>
        <v>TUBERIA PVC SCH 40  3/4"</v>
      </c>
      <c r="D24" s="291"/>
      <c r="E24" s="97" t="str">
        <f>VLOOKUP(B24,'INSUMOS '!C4:F530,3,FALSE)</f>
        <v>ML</v>
      </c>
      <c r="F24" s="117">
        <f>VLOOKUP(B24,'INSUMOS '!C4:F530,4,FALSE)</f>
        <v>8000</v>
      </c>
      <c r="G24" s="92">
        <v>10</v>
      </c>
      <c r="H24" s="83">
        <f>+G24*F24</f>
        <v>80000</v>
      </c>
      <c r="I24" s="287"/>
    </row>
    <row r="25" spans="2:9">
      <c r="B25" s="71" t="s">
        <v>1349</v>
      </c>
      <c r="C25" s="290" t="str">
        <f>VLOOKUP(B25,'INSUMOS '!C4:F530,2,FALSE)</f>
        <v>Accesorio pvc sch 40 3/4</v>
      </c>
      <c r="D25" s="291"/>
      <c r="E25" s="97" t="str">
        <f>VLOOKUP(B25,'INSUMOS '!C4:F530,3,FALSE)</f>
        <v xml:space="preserve">UND </v>
      </c>
      <c r="F25" s="117">
        <f>VLOOKUP(B25,'INSUMOS '!C4:F530,4,FALSE)</f>
        <v>3500</v>
      </c>
      <c r="G25" s="92">
        <v>0.3</v>
      </c>
      <c r="H25" s="83">
        <f>+G25*F25</f>
        <v>1050</v>
      </c>
      <c r="I25" s="287"/>
    </row>
    <row r="26" spans="2:9" ht="12">
      <c r="B26" s="89"/>
      <c r="C26" s="89"/>
      <c r="D26" s="89"/>
      <c r="E26" s="89"/>
      <c r="F26" s="89"/>
      <c r="G26" s="258" t="s">
        <v>64</v>
      </c>
      <c r="H26" s="258"/>
      <c r="I26" s="85">
        <f>SUM(H24:H25)</f>
        <v>81050</v>
      </c>
    </row>
    <row r="27" spans="2:9" ht="12">
      <c r="B27" s="89"/>
      <c r="C27" s="89"/>
      <c r="D27" s="89"/>
      <c r="E27" s="89"/>
      <c r="F27" s="89"/>
      <c r="G27" s="99" t="s">
        <v>72</v>
      </c>
      <c r="H27" s="100">
        <v>0.05</v>
      </c>
      <c r="I27" s="120">
        <f>I26*H27</f>
        <v>4052.5</v>
      </c>
    </row>
    <row r="28" spans="2:9" ht="12">
      <c r="B28" s="89"/>
      <c r="C28" s="89"/>
      <c r="D28" s="89"/>
      <c r="E28" s="89"/>
      <c r="F28" s="89"/>
      <c r="G28" s="258" t="s">
        <v>73</v>
      </c>
      <c r="H28" s="258"/>
      <c r="I28" s="90">
        <f>SUM(I26:I27)</f>
        <v>85102.5</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t="s">
        <v>274</v>
      </c>
      <c r="C31" s="70" t="str">
        <f>VLOOKUP(B31,'MAQUINARIA Y EQUIPOS  '!C12:F100,2,FALSE)</f>
        <v>CAMIONETA D300</v>
      </c>
      <c r="D31" s="75" t="s">
        <v>1333</v>
      </c>
      <c r="E31" s="70">
        <v>0.2</v>
      </c>
      <c r="F31" s="70">
        <v>19</v>
      </c>
      <c r="G31" s="102">
        <v>1000</v>
      </c>
      <c r="H31" s="103">
        <f>+G31*E31</f>
        <v>200</v>
      </c>
      <c r="I31" s="301"/>
    </row>
    <row r="32" spans="2:9">
      <c r="B32" s="71"/>
      <c r="C32" s="71"/>
      <c r="D32" s="82"/>
      <c r="E32" s="71"/>
      <c r="F32" s="71"/>
      <c r="G32" s="86"/>
      <c r="H32" s="86"/>
      <c r="I32" s="301"/>
    </row>
    <row r="33" spans="2:9" ht="12">
      <c r="B33" s="89"/>
      <c r="C33" s="89"/>
      <c r="D33" s="89"/>
      <c r="E33" s="89"/>
      <c r="F33" s="89"/>
      <c r="G33" s="302" t="s">
        <v>64</v>
      </c>
      <c r="H33" s="302"/>
      <c r="I33" s="104">
        <f>+H31</f>
        <v>200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69</v>
      </c>
      <c r="C36" s="106" t="str">
        <f>+VLOOKUP(B36,'MANO DE OBRA '!B23:G46,2,FALSE)</f>
        <v>Electricista</v>
      </c>
      <c r="D36" s="106">
        <v>1</v>
      </c>
      <c r="E36" s="106" t="str">
        <f>+VLOOKUP(B36,'MANO DE OBRA '!B23:G46,4,FALSE)</f>
        <v>Dia</v>
      </c>
      <c r="F36" s="86">
        <f>+VLOOKUP(B36,'MANO DE OBRA '!B23:G46,3,FALSE)</f>
        <v>213000</v>
      </c>
      <c r="G36" s="121">
        <v>0.25</v>
      </c>
      <c r="H36" s="94">
        <f>F36*G36*D36</f>
        <v>53250</v>
      </c>
      <c r="I36" s="294"/>
    </row>
    <row r="37" spans="2:9" ht="30" customHeight="1">
      <c r="B37" s="106" t="s">
        <v>70</v>
      </c>
      <c r="C37" s="106" t="str">
        <f>+VLOOKUP(B37,'MANO DE OBRA '!B24:G47,2,FALSE)</f>
        <v>Ayudante Electrico</v>
      </c>
      <c r="D37" s="106">
        <v>1</v>
      </c>
      <c r="E37" s="106" t="str">
        <f>+VLOOKUP(B37,'MANO DE OBRA '!B24:G47,4,FALSE)</f>
        <v>Dia</v>
      </c>
      <c r="F37" s="86">
        <f>+VLOOKUP(B37,'MANO DE OBRA '!B24:G47,3,FALSE)</f>
        <v>142000</v>
      </c>
      <c r="G37" s="121">
        <v>0.25</v>
      </c>
      <c r="H37" s="94">
        <f>F37*G37*D37</f>
        <v>35500</v>
      </c>
      <c r="I37" s="294"/>
    </row>
    <row r="38" spans="2:9">
      <c r="B38" s="106"/>
      <c r="C38" s="106"/>
      <c r="D38" s="106"/>
      <c r="E38" s="106"/>
      <c r="F38" s="86"/>
      <c r="G38" s="121"/>
      <c r="H38" s="94"/>
      <c r="I38" s="294"/>
    </row>
    <row r="39" spans="2:9" ht="12">
      <c r="B39" s="108"/>
      <c r="C39" s="109"/>
      <c r="D39" s="109"/>
      <c r="E39" s="109"/>
      <c r="F39" s="110"/>
      <c r="G39" s="110"/>
      <c r="H39" s="111" t="s">
        <v>64</v>
      </c>
      <c r="I39" s="112">
        <f>SUM(H36:H37)</f>
        <v>88750</v>
      </c>
    </row>
    <row r="40" spans="2:9" ht="12">
      <c r="B40" s="295" t="s">
        <v>83</v>
      </c>
      <c r="C40" s="296"/>
      <c r="D40" s="297" t="s">
        <v>77</v>
      </c>
      <c r="E40" s="298"/>
      <c r="F40" s="298"/>
      <c r="G40" s="298"/>
      <c r="H40" s="299"/>
      <c r="I40" s="113">
        <f>SUM(I21+I33+I28+I39)</f>
        <v>175123.9</v>
      </c>
    </row>
  </sheetData>
  <mergeCells count="38">
    <mergeCell ref="I35:I38"/>
    <mergeCell ref="B40:C40"/>
    <mergeCell ref="D40:H40"/>
    <mergeCell ref="G26:H26"/>
    <mergeCell ref="G28:H28"/>
    <mergeCell ref="C29:D29"/>
    <mergeCell ref="I30:I32"/>
    <mergeCell ref="G33:H33"/>
    <mergeCell ref="C34:D34"/>
    <mergeCell ref="C23:D23"/>
    <mergeCell ref="I23:I25"/>
    <mergeCell ref="C24:D24"/>
    <mergeCell ref="C25:D25"/>
    <mergeCell ref="C17:D17"/>
    <mergeCell ref="I17:I20"/>
    <mergeCell ref="C18:D18"/>
    <mergeCell ref="C19:D19"/>
    <mergeCell ref="C20:D20"/>
    <mergeCell ref="C22:D22"/>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35B7-EA58-4CA0-B874-04D1E1D1571B}">
  <sheetPr codeName="Hoja7"/>
  <dimension ref="B3:I41"/>
  <sheetViews>
    <sheetView workbookViewId="0">
      <selection activeCell="L19" sqref="L19"/>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t="e">
        <f>+#REF!</f>
        <v>#REF!</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27" customHeight="1">
      <c r="B13" s="13" t="s">
        <v>17</v>
      </c>
      <c r="C13" s="283" t="s">
        <v>1888</v>
      </c>
      <c r="D13" s="284"/>
      <c r="E13" s="284"/>
      <c r="F13" s="285"/>
      <c r="G13" s="286" t="s">
        <v>2</v>
      </c>
      <c r="H13" s="286"/>
      <c r="I13" s="17">
        <v>60.139800000000001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0.04</v>
      </c>
      <c r="H19" s="116">
        <f>F19*G19</f>
        <v>420</v>
      </c>
      <c r="I19" s="287"/>
    </row>
    <row r="20" spans="2:9">
      <c r="B20" s="71" t="s">
        <v>1263</v>
      </c>
      <c r="C20" s="288" t="str">
        <f>VLOOKUP(B20,'MAQUINARIA Y EQUIPOS  '!C7:F95,2,FALSE)</f>
        <v xml:space="preserve">MARTILLO DEMOLEDOR </v>
      </c>
      <c r="D20" s="265"/>
      <c r="E20" s="88" t="str">
        <f>VLOOKUP(B20,'MAQUINARIA Y EQUIPOS  '!C7:F95,3,FALSE)</f>
        <v>HH</v>
      </c>
      <c r="F20" s="86">
        <f>VLOOKUP(B20,'MAQUINARIA Y EQUIPOS  '!C7:F95,4,FALSE)</f>
        <v>12000</v>
      </c>
      <c r="G20" s="71">
        <v>0.02</v>
      </c>
      <c r="H20" s="130">
        <f>F20*G20</f>
        <v>240</v>
      </c>
      <c r="I20" s="287"/>
    </row>
    <row r="21" spans="2:9" ht="12">
      <c r="B21" s="89"/>
      <c r="C21" s="89"/>
      <c r="D21" s="89"/>
      <c r="E21" s="89"/>
      <c r="F21" s="89"/>
      <c r="G21" s="89"/>
      <c r="H21" s="89" t="s">
        <v>64</v>
      </c>
      <c r="I21" s="90">
        <f>SUM(H18:H20)</f>
        <v>1731.4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t="str">
        <f>VLOOKUP(B26,'INSUMOS '!C4:G951,2,FALSE)</f>
        <v xml:space="preserve">Cinta de enmascarar de alta adherencia </v>
      </c>
      <c r="D26" s="291"/>
      <c r="E26" s="97" t="str">
        <f>VLOOKUP(B26,'INSUMOS '!C4:G951,3,FALSE)</f>
        <v>m</v>
      </c>
      <c r="F26" s="98">
        <f>VLOOKUP(B26,'INSUMOS '!C4:G951,4,FALSE)</f>
        <v>500</v>
      </c>
      <c r="G26" s="71">
        <v>1.35</v>
      </c>
      <c r="H26" s="83">
        <f>+G26*F26</f>
        <v>675</v>
      </c>
      <c r="I26" s="287"/>
    </row>
    <row r="27" spans="2:9">
      <c r="B27" s="71"/>
      <c r="C27" s="292"/>
      <c r="D27" s="293"/>
      <c r="E27" s="91"/>
      <c r="F27" s="94"/>
      <c r="G27" s="92"/>
      <c r="H27" s="83"/>
      <c r="I27" s="287"/>
    </row>
    <row r="28" spans="2:9" ht="12">
      <c r="B28" s="89"/>
      <c r="C28" s="89"/>
      <c r="D28" s="89"/>
      <c r="E28" s="89"/>
      <c r="F28" s="89"/>
      <c r="G28" s="258" t="s">
        <v>64</v>
      </c>
      <c r="H28" s="258"/>
      <c r="I28" s="85">
        <f>SUM(H24:H27)</f>
        <v>9175</v>
      </c>
    </row>
    <row r="29" spans="2:9" ht="12">
      <c r="B29" s="89"/>
      <c r="C29" s="89"/>
      <c r="D29" s="89"/>
      <c r="E29" s="89"/>
      <c r="F29" s="89"/>
      <c r="G29" s="99" t="s">
        <v>72</v>
      </c>
      <c r="H29" s="100">
        <v>0.05</v>
      </c>
      <c r="I29" s="101">
        <f>I28*H29</f>
        <v>458.75</v>
      </c>
    </row>
    <row r="30" spans="2:9" ht="12">
      <c r="B30" s="89"/>
      <c r="C30" s="89"/>
      <c r="D30" s="89"/>
      <c r="E30" s="89"/>
      <c r="F30" s="89"/>
      <c r="G30" s="258" t="s">
        <v>73</v>
      </c>
      <c r="H30" s="258"/>
      <c r="I30" s="90">
        <f>SUM(I28:I29)</f>
        <v>9633.75</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f>0.05*1.3</f>
        <v>6.5000000000000002E-2</v>
      </c>
      <c r="F33" s="70">
        <v>19</v>
      </c>
      <c r="G33" s="136">
        <f>VLOOKUP(B33,'MAQUINARIA Y EQUIPOS  '!C7:F95,4,FALSE)</f>
        <v>1500</v>
      </c>
      <c r="H33" s="103">
        <f>+F33*G33*E33</f>
        <v>1852.5</v>
      </c>
      <c r="I33" s="301"/>
    </row>
    <row r="34" spans="2:9">
      <c r="B34" s="71"/>
      <c r="C34" s="71"/>
      <c r="D34" s="82"/>
      <c r="E34" s="71"/>
      <c r="F34" s="71"/>
      <c r="G34" s="86"/>
      <c r="H34" s="86"/>
      <c r="I34" s="301"/>
    </row>
    <row r="35" spans="2:9" ht="12">
      <c r="B35" s="89"/>
      <c r="C35" s="89"/>
      <c r="D35" s="89"/>
      <c r="E35" s="89"/>
      <c r="F35" s="89"/>
      <c r="G35" s="302" t="s">
        <v>64</v>
      </c>
      <c r="H35" s="302"/>
      <c r="I35" s="104">
        <f>+H33</f>
        <v>1852.5</v>
      </c>
    </row>
    <row r="36" spans="2:9" ht="12">
      <c r="B36" s="78"/>
      <c r="C36" s="289" t="s">
        <v>75</v>
      </c>
      <c r="D36" s="289"/>
      <c r="E36" s="78"/>
      <c r="F36" s="78"/>
      <c r="G36" s="78"/>
      <c r="H36" s="78"/>
      <c r="I36" s="79"/>
    </row>
    <row r="37" spans="2:9" ht="12">
      <c r="B37" s="105" t="s">
        <v>42</v>
      </c>
      <c r="C37" s="105" t="s">
        <v>76</v>
      </c>
      <c r="D37" s="105" t="s">
        <v>1221</v>
      </c>
      <c r="E37" s="105" t="s">
        <v>1</v>
      </c>
      <c r="F37" s="105" t="s">
        <v>77</v>
      </c>
      <c r="G37" s="105" t="s">
        <v>78</v>
      </c>
      <c r="H37" s="105" t="s">
        <v>79</v>
      </c>
      <c r="I37" s="294"/>
    </row>
    <row r="38" spans="2:9" ht="22.8">
      <c r="B38" s="106" t="s">
        <v>359</v>
      </c>
      <c r="C38" s="106" t="str">
        <f>+VLOOKUP(B38,'MANO DE OBRA '!B23:G46,2,FALSE)</f>
        <v xml:space="preserve"> Cuadrilla de construccion 2 (1 oficial+ 2 ayudante)</v>
      </c>
      <c r="D38" s="106">
        <v>1</v>
      </c>
      <c r="E38" s="106" t="s">
        <v>276</v>
      </c>
      <c r="F38" s="86">
        <f>+VLOOKUP(B38,'MANO DE OBRA '!B23:G46,3,FALSE)</f>
        <v>66187.5</v>
      </c>
      <c r="G38" s="107">
        <v>0.28000000000000003</v>
      </c>
      <c r="H38" s="94">
        <f>F38*G38*D38</f>
        <v>18532.5</v>
      </c>
      <c r="I38" s="294"/>
    </row>
    <row r="39" spans="2:9">
      <c r="B39" s="106"/>
      <c r="C39" s="106"/>
      <c r="D39" s="106"/>
      <c r="E39" s="106"/>
      <c r="F39" s="86"/>
      <c r="G39" s="107"/>
      <c r="H39" s="94"/>
      <c r="I39" s="294"/>
    </row>
    <row r="40" spans="2:9" ht="12">
      <c r="B40" s="108"/>
      <c r="C40" s="109"/>
      <c r="D40" s="109"/>
      <c r="E40" s="109"/>
      <c r="F40" s="110"/>
      <c r="G40" s="110"/>
      <c r="H40" s="111" t="s">
        <v>64</v>
      </c>
      <c r="I40" s="112">
        <f>SUM(H38:H39)</f>
        <v>18532.5</v>
      </c>
    </row>
    <row r="41" spans="2:9" ht="12">
      <c r="B41" s="295" t="s">
        <v>83</v>
      </c>
      <c r="C41" s="296"/>
      <c r="D41" s="297" t="s">
        <v>77</v>
      </c>
      <c r="E41" s="298"/>
      <c r="F41" s="298"/>
      <c r="G41" s="298"/>
      <c r="H41" s="299"/>
      <c r="I41" s="113">
        <f>SUM(I21+I35+I30+I40)</f>
        <v>31750.15</v>
      </c>
    </row>
  </sheetData>
  <mergeCells count="40">
    <mergeCell ref="I37:I39"/>
    <mergeCell ref="B41:C41"/>
    <mergeCell ref="D41:H41"/>
    <mergeCell ref="C27:D27"/>
    <mergeCell ref="G28:H28"/>
    <mergeCell ref="G30:H30"/>
    <mergeCell ref="C31:D31"/>
    <mergeCell ref="C36:D36"/>
    <mergeCell ref="I32:I34"/>
    <mergeCell ref="G35:H35"/>
    <mergeCell ref="C17:D17"/>
    <mergeCell ref="I17:I20"/>
    <mergeCell ref="C18:D18"/>
    <mergeCell ref="C20:D20"/>
    <mergeCell ref="C22:D22"/>
    <mergeCell ref="C19:D19"/>
    <mergeCell ref="C23:D23"/>
    <mergeCell ref="I23:I27"/>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248B-EB35-4098-91F4-168370140941}">
  <sheetPr codeName="Hoja62"/>
  <dimension ref="B3:I39"/>
  <sheetViews>
    <sheetView topLeftCell="A16" zoomScale="89" zoomScaleNormal="89" workbookViewId="0">
      <selection activeCell="L19" sqref="L1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10.11</v>
      </c>
      <c r="C13" s="283" t="s">
        <v>1950</v>
      </c>
      <c r="D13" s="284"/>
      <c r="E13" s="284"/>
      <c r="F13" s="285"/>
      <c r="G13" s="286" t="s">
        <v>170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c r="H19" s="85">
        <f>F19*G19</f>
        <v>0</v>
      </c>
      <c r="I19" s="287"/>
    </row>
    <row r="20" spans="2:9">
      <c r="B20" s="71"/>
      <c r="C20" s="288"/>
      <c r="D20" s="265"/>
      <c r="E20" s="88"/>
      <c r="F20" s="86"/>
      <c r="G20" s="119"/>
      <c r="H20" s="93"/>
      <c r="I20" s="287"/>
    </row>
    <row r="21" spans="2:9" ht="12">
      <c r="B21" s="89"/>
      <c r="C21" s="89"/>
      <c r="D21" s="89"/>
      <c r="E21" s="89"/>
      <c r="F21" s="89"/>
      <c r="G21" s="89"/>
      <c r="H21" s="89" t="s">
        <v>64</v>
      </c>
      <c r="I21" s="90">
        <f>SUM(H18:H20)</f>
        <v>1071.4000000000001</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1354</v>
      </c>
      <c r="C24" s="290" t="str">
        <f>VLOOKUP(B24,'INSUMOS '!C4:F530,2,FALSE)</f>
        <v>TABLERO SQUARE D, 12 CIRCUITOS, TRIFASICO</v>
      </c>
      <c r="D24" s="291"/>
      <c r="E24" s="97" t="str">
        <f>VLOOKUP(B24,'INSUMOS '!C4:F530,3,FALSE)</f>
        <v xml:space="preserve">UND </v>
      </c>
      <c r="F24" s="117">
        <f>VLOOKUP(B24,'INSUMOS '!C4:F530,4,FALSE)</f>
        <v>250000</v>
      </c>
      <c r="G24" s="92">
        <v>1</v>
      </c>
      <c r="H24" s="83">
        <f>+G24*F24</f>
        <v>250000</v>
      </c>
      <c r="I24" s="287"/>
    </row>
    <row r="25" spans="2:9" ht="12">
      <c r="B25" s="89"/>
      <c r="C25" s="89"/>
      <c r="D25" s="89"/>
      <c r="E25" s="89"/>
      <c r="F25" s="89"/>
      <c r="G25" s="258" t="s">
        <v>64</v>
      </c>
      <c r="H25" s="258"/>
      <c r="I25" s="85">
        <f>SUM(H24:H24)</f>
        <v>250000</v>
      </c>
    </row>
    <row r="26" spans="2:9" ht="12">
      <c r="B26" s="89"/>
      <c r="C26" s="89"/>
      <c r="D26" s="89"/>
      <c r="E26" s="89"/>
      <c r="F26" s="89"/>
      <c r="G26" s="99" t="s">
        <v>72</v>
      </c>
      <c r="H26" s="100">
        <v>0.05</v>
      </c>
      <c r="I26" s="120">
        <f>I25*H26</f>
        <v>12500</v>
      </c>
    </row>
    <row r="27" spans="2:9" ht="12">
      <c r="B27" s="89"/>
      <c r="C27" s="89"/>
      <c r="D27" s="89"/>
      <c r="E27" s="89"/>
      <c r="F27" s="89"/>
      <c r="G27" s="258" t="s">
        <v>73</v>
      </c>
      <c r="H27" s="258"/>
      <c r="I27" s="90">
        <f>SUM(I25:I26)</f>
        <v>262500</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t="s">
        <v>274</v>
      </c>
      <c r="C30" s="70" t="str">
        <f>VLOOKUP(B30,'MAQUINARIA Y EQUIPOS  '!C12:F100,2,FALSE)</f>
        <v>CAMIONETA D300</v>
      </c>
      <c r="D30" s="75" t="s">
        <v>1333</v>
      </c>
      <c r="E30" s="70">
        <v>0.5</v>
      </c>
      <c r="F30" s="70">
        <v>19</v>
      </c>
      <c r="G30" s="102">
        <v>1000</v>
      </c>
      <c r="H30" s="103">
        <f>+G30*E30</f>
        <v>500</v>
      </c>
      <c r="I30" s="301"/>
    </row>
    <row r="31" spans="2:9">
      <c r="B31" s="71"/>
      <c r="C31" s="71"/>
      <c r="D31" s="82"/>
      <c r="E31" s="71"/>
      <c r="F31" s="71"/>
      <c r="G31" s="86"/>
      <c r="H31" s="86"/>
      <c r="I31" s="301"/>
    </row>
    <row r="32" spans="2:9" ht="12">
      <c r="B32" s="89"/>
      <c r="C32" s="89"/>
      <c r="D32" s="89"/>
      <c r="E32" s="89"/>
      <c r="F32" s="89"/>
      <c r="G32" s="302" t="s">
        <v>64</v>
      </c>
      <c r="H32" s="302"/>
      <c r="I32" s="104">
        <f>+H30</f>
        <v>500</v>
      </c>
    </row>
    <row r="33" spans="2:9" ht="12">
      <c r="B33" s="78"/>
      <c r="C33" s="289" t="s">
        <v>75</v>
      </c>
      <c r="D33" s="289"/>
      <c r="E33" s="78"/>
      <c r="F33" s="78"/>
      <c r="G33" s="78"/>
      <c r="H33" s="78"/>
      <c r="I33" s="79"/>
    </row>
    <row r="34" spans="2:9" ht="12">
      <c r="B34" s="105" t="s">
        <v>42</v>
      </c>
      <c r="C34" s="105" t="s">
        <v>76</v>
      </c>
      <c r="D34" s="105" t="s">
        <v>1225</v>
      </c>
      <c r="E34" s="105" t="s">
        <v>1</v>
      </c>
      <c r="F34" s="105" t="s">
        <v>77</v>
      </c>
      <c r="G34" s="105" t="s">
        <v>78</v>
      </c>
      <c r="H34" s="105" t="s">
        <v>79</v>
      </c>
      <c r="I34" s="294"/>
    </row>
    <row r="35" spans="2:9" ht="30" customHeight="1">
      <c r="B35" s="106" t="s">
        <v>69</v>
      </c>
      <c r="C35" s="106" t="str">
        <f>+VLOOKUP(B35,'MANO DE OBRA '!B23:G46,2,FALSE)</f>
        <v>Electricista</v>
      </c>
      <c r="D35" s="106">
        <v>1</v>
      </c>
      <c r="E35" s="106" t="str">
        <f>+VLOOKUP(B35,'MANO DE OBRA '!B23:G46,4,FALSE)</f>
        <v>Dia</v>
      </c>
      <c r="F35" s="86">
        <f>+VLOOKUP(B35,'MANO DE OBRA '!B23:G46,3,FALSE)</f>
        <v>213000</v>
      </c>
      <c r="G35" s="121">
        <v>0.7</v>
      </c>
      <c r="H35" s="94">
        <f>F35*G35*D35</f>
        <v>149100</v>
      </c>
      <c r="I35" s="294"/>
    </row>
    <row r="36" spans="2:9" ht="30" customHeight="1">
      <c r="B36" s="106" t="s">
        <v>70</v>
      </c>
      <c r="C36" s="106" t="str">
        <f>+VLOOKUP(B36,'MANO DE OBRA '!B24:G47,2,FALSE)</f>
        <v>Ayudante Electrico</v>
      </c>
      <c r="D36" s="106">
        <v>1</v>
      </c>
      <c r="E36" s="106" t="str">
        <f>+VLOOKUP(B36,'MANO DE OBRA '!B24:G47,4,FALSE)</f>
        <v>Dia</v>
      </c>
      <c r="F36" s="86">
        <f>+VLOOKUP(B36,'MANO DE OBRA '!B24:G47,3,FALSE)</f>
        <v>142000</v>
      </c>
      <c r="G36" s="121">
        <v>0.7</v>
      </c>
      <c r="H36" s="94">
        <f>F36*G36*D36</f>
        <v>99400</v>
      </c>
      <c r="I36" s="294"/>
    </row>
    <row r="37" spans="2:9">
      <c r="B37" s="106"/>
      <c r="C37" s="106"/>
      <c r="D37" s="106"/>
      <c r="E37" s="106"/>
      <c r="F37" s="86"/>
      <c r="G37" s="121"/>
      <c r="H37" s="94"/>
      <c r="I37" s="294"/>
    </row>
    <row r="38" spans="2:9" ht="12">
      <c r="B38" s="108"/>
      <c r="C38" s="109"/>
      <c r="D38" s="109"/>
      <c r="E38" s="109"/>
      <c r="F38" s="110"/>
      <c r="G38" s="110"/>
      <c r="H38" s="111" t="s">
        <v>64</v>
      </c>
      <c r="I38" s="112">
        <f>SUM(H35:H36)</f>
        <v>248500</v>
      </c>
    </row>
    <row r="39" spans="2:9" ht="12">
      <c r="B39" s="295" t="s">
        <v>83</v>
      </c>
      <c r="C39" s="296"/>
      <c r="D39" s="297" t="s">
        <v>77</v>
      </c>
      <c r="E39" s="298"/>
      <c r="F39" s="298"/>
      <c r="G39" s="298"/>
      <c r="H39" s="299"/>
      <c r="I39" s="113">
        <f>SUM(I21+I32+I27+I38)</f>
        <v>512571.4</v>
      </c>
    </row>
  </sheetData>
  <mergeCells count="37">
    <mergeCell ref="I17:I20"/>
    <mergeCell ref="C18:D18"/>
    <mergeCell ref="C19:D19"/>
    <mergeCell ref="C20:D20"/>
    <mergeCell ref="B39:C39"/>
    <mergeCell ref="D39:H39"/>
    <mergeCell ref="C23:D23"/>
    <mergeCell ref="I23:I24"/>
    <mergeCell ref="C24:D24"/>
    <mergeCell ref="G25:H25"/>
    <mergeCell ref="G27:H27"/>
    <mergeCell ref="C28:D28"/>
    <mergeCell ref="I29:I31"/>
    <mergeCell ref="G32:H32"/>
    <mergeCell ref="C33:D33"/>
    <mergeCell ref="I34:I37"/>
    <mergeCell ref="C22:D22"/>
    <mergeCell ref="C13:F13"/>
    <mergeCell ref="G13:H13"/>
    <mergeCell ref="C14:E14"/>
    <mergeCell ref="F14:H14"/>
    <mergeCell ref="C15:E15"/>
    <mergeCell ref="F15:H15"/>
    <mergeCell ref="C17:D17"/>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72BD0-0A70-4188-9044-98B0A3C8271D}">
  <sheetPr codeName="Hoja63"/>
  <dimension ref="B3:L45"/>
  <sheetViews>
    <sheetView topLeftCell="A13" zoomScale="89" zoomScaleNormal="89" workbookViewId="0">
      <selection activeCell="K27" sqref="K2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4.296875" style="11" bestFit="1" customWidth="1"/>
    <col min="10" max="10" width="11.3984375" style="11"/>
    <col min="11" max="11" width="11.69921875" style="11" bestFit="1" customWidth="1"/>
    <col min="12"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10.119999999999999</v>
      </c>
      <c r="C13" s="283" t="s">
        <v>1951</v>
      </c>
      <c r="D13" s="284"/>
      <c r="E13" s="284"/>
      <c r="F13" s="285"/>
      <c r="G13" s="286" t="s">
        <v>170</v>
      </c>
      <c r="H13" s="286"/>
      <c r="I13" s="114">
        <v>7</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0.57999999999999996</v>
      </c>
      <c r="H19" s="85">
        <v>6193.5</v>
      </c>
      <c r="I19" s="287"/>
    </row>
    <row r="20" spans="2:9">
      <c r="B20" s="71"/>
      <c r="C20" s="288"/>
      <c r="D20" s="265"/>
      <c r="E20" s="88"/>
      <c r="F20" s="86"/>
      <c r="G20" s="119"/>
      <c r="H20" s="93"/>
      <c r="I20" s="287"/>
    </row>
    <row r="21" spans="2:9" ht="12">
      <c r="B21" s="89"/>
      <c r="C21" s="89"/>
      <c r="D21" s="89"/>
      <c r="E21" s="89"/>
      <c r="F21" s="89"/>
      <c r="G21" s="89"/>
      <c r="H21" s="89" t="s">
        <v>64</v>
      </c>
      <c r="I21" s="90">
        <f>SUM(H18:H20)</f>
        <v>7264.9</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1040</v>
      </c>
      <c r="C24" s="290" t="str">
        <f>VLOOKUP(B24,'INSUMOS '!C2:F529,2,FALSE)</f>
        <v>TUBERIA PVC SCH 40 1/2</v>
      </c>
      <c r="D24" s="291"/>
      <c r="E24" s="97" t="str">
        <f>VLOOKUP(B24,'INSUMOS '!C2:F529,3,FALSE)</f>
        <v>ml</v>
      </c>
      <c r="F24" s="117">
        <f>VLOOKUP(B24,'INSUMOS '!C2:F529,4,FALSE)</f>
        <v>5236</v>
      </c>
      <c r="G24" s="92">
        <v>3</v>
      </c>
      <c r="H24" s="83">
        <f t="shared" ref="H24:H30" si="0">+G24*F24</f>
        <v>15708</v>
      </c>
      <c r="I24" s="287"/>
    </row>
    <row r="25" spans="2:9">
      <c r="B25" s="71" t="s">
        <v>1336</v>
      </c>
      <c r="C25" s="290" t="str">
        <f>VLOOKUP(B25,'INSUMOS '!C2:F529,2,FALSE)</f>
        <v>Accesorio pvc sch 40 1/2</v>
      </c>
      <c r="D25" s="291"/>
      <c r="E25" s="97" t="str">
        <f>VLOOKUP(B25,'INSUMOS '!C2:F529,3,FALSE)</f>
        <v xml:space="preserve">und </v>
      </c>
      <c r="F25" s="117">
        <f>VLOOKUP(B25,'INSUMOS '!C2:F529,4,FALSE)</f>
        <v>2000</v>
      </c>
      <c r="G25" s="92">
        <v>0.3</v>
      </c>
      <c r="H25" s="83">
        <f t="shared" si="0"/>
        <v>600</v>
      </c>
      <c r="I25" s="287"/>
    </row>
    <row r="26" spans="2:9">
      <c r="B26" s="71" t="s">
        <v>1328</v>
      </c>
      <c r="C26" s="290" t="str">
        <f>VLOOKUP(B26,'INSUMOS '!C2:F529,2,FALSE)</f>
        <v xml:space="preserve">CAJA 4X4 GALVANIZADA </v>
      </c>
      <c r="D26" s="291"/>
      <c r="E26" s="97" t="str">
        <f>VLOOKUP(B26,'INSUMOS '!C2:F529,3,FALSE)</f>
        <v xml:space="preserve">UND </v>
      </c>
      <c r="F26" s="117">
        <f>VLOOKUP(B26,'INSUMOS '!C2:F529,4,FALSE)</f>
        <v>14280</v>
      </c>
      <c r="G26" s="92">
        <v>0.3</v>
      </c>
      <c r="H26" s="83">
        <f t="shared" si="0"/>
        <v>4284</v>
      </c>
      <c r="I26" s="287"/>
    </row>
    <row r="27" spans="2:9">
      <c r="B27" s="71" t="s">
        <v>1356</v>
      </c>
      <c r="C27" s="290" t="str">
        <f>VLOOKUP(B27,'INSUMOS '!C3:F530,2,FALSE)</f>
        <v xml:space="preserve">SUMPLEMENTO PVC 4X4 A 4X2 </v>
      </c>
      <c r="D27" s="291"/>
      <c r="E27" s="97" t="str">
        <f>VLOOKUP(B27,'INSUMOS '!C3:F530,3,FALSE)</f>
        <v xml:space="preserve">UND </v>
      </c>
      <c r="F27" s="117">
        <f>VLOOKUP(B27,'INSUMOS '!C3:F530,4,FALSE)</f>
        <v>350</v>
      </c>
      <c r="G27" s="92">
        <v>1</v>
      </c>
      <c r="H27" s="83">
        <f t="shared" si="0"/>
        <v>350</v>
      </c>
      <c r="I27" s="287"/>
    </row>
    <row r="28" spans="2:9">
      <c r="B28" s="71" t="s">
        <v>944</v>
      </c>
      <c r="C28" s="290" t="str">
        <f>VLOOKUP(B28,'INSUMOS '!C3:F530,2,FALSE)</f>
        <v>TOMACORRIENTE TIPO DOBLE PT. 220 VOLT.</v>
      </c>
      <c r="D28" s="291"/>
      <c r="E28" s="97" t="str">
        <f>VLOOKUP(B28,'INSUMOS '!C3:F530,3,FALSE)</f>
        <v>UND</v>
      </c>
      <c r="F28" s="117">
        <f>VLOOKUP(B28,'INSUMOS '!C3:F530,4,FALSE)</f>
        <v>40000</v>
      </c>
      <c r="G28" s="92">
        <v>1</v>
      </c>
      <c r="H28" s="83">
        <f t="shared" si="0"/>
        <v>40000</v>
      </c>
      <c r="I28" s="287"/>
    </row>
    <row r="29" spans="2:9">
      <c r="B29" s="71" t="s">
        <v>1314</v>
      </c>
      <c r="C29" s="290" t="str">
        <f>VLOOKUP(B29,'INSUMOS '!C3:F530,2,FALSE)</f>
        <v xml:space="preserve">Cable eléctrico de cobre aislado THHN No. 12 AWG </v>
      </c>
      <c r="D29" s="291"/>
      <c r="E29" s="97" t="str">
        <f>VLOOKUP(B29,'INSUMOS '!C3:F530,3,FALSE)</f>
        <v>ml</v>
      </c>
      <c r="F29" s="117">
        <f>VLOOKUP(B29,'INSUMOS '!C3:F530,4,FALSE)</f>
        <v>3000</v>
      </c>
      <c r="G29" s="92">
        <v>10</v>
      </c>
      <c r="H29" s="83">
        <f t="shared" si="0"/>
        <v>30000</v>
      </c>
      <c r="I29" s="287"/>
    </row>
    <row r="30" spans="2:9">
      <c r="B30" s="71" t="s">
        <v>940</v>
      </c>
      <c r="C30" s="290" t="str">
        <f>VLOOKUP(B30,'INSUMOS '!C4:F530,2,FALSE)</f>
        <v>CONECTOR TIPO RESORTE</v>
      </c>
      <c r="D30" s="291"/>
      <c r="E30" s="97" t="str">
        <f>VLOOKUP(B30,'INSUMOS '!C4:F530,3,FALSE)</f>
        <v>UND</v>
      </c>
      <c r="F30" s="117">
        <f>VLOOKUP(B30,'INSUMOS '!C4:F530,4,FALSE)</f>
        <v>2000</v>
      </c>
      <c r="G30" s="92">
        <v>3</v>
      </c>
      <c r="H30" s="83">
        <f t="shared" si="0"/>
        <v>6000</v>
      </c>
      <c r="I30" s="287"/>
    </row>
    <row r="31" spans="2:9" ht="12">
      <c r="B31" s="89"/>
      <c r="C31" s="89"/>
      <c r="D31" s="89"/>
      <c r="E31" s="89"/>
      <c r="F31" s="89"/>
      <c r="G31" s="258" t="s">
        <v>64</v>
      </c>
      <c r="H31" s="258"/>
      <c r="I31" s="85">
        <f>SUM(H24:H30)</f>
        <v>96942</v>
      </c>
    </row>
    <row r="32" spans="2:9" ht="12">
      <c r="B32" s="89"/>
      <c r="C32" s="89"/>
      <c r="D32" s="89"/>
      <c r="E32" s="89"/>
      <c r="F32" s="89"/>
      <c r="G32" s="99" t="s">
        <v>72</v>
      </c>
      <c r="H32" s="100">
        <v>0.05</v>
      </c>
      <c r="I32" s="120">
        <f>I31*H32</f>
        <v>4847.1000000000004</v>
      </c>
    </row>
    <row r="33" spans="2:12" ht="12">
      <c r="B33" s="89"/>
      <c r="C33" s="89"/>
      <c r="D33" s="89"/>
      <c r="E33" s="89"/>
      <c r="F33" s="89"/>
      <c r="G33" s="258" t="s">
        <v>73</v>
      </c>
      <c r="H33" s="258"/>
      <c r="I33" s="90">
        <f>SUM(I31:I32)</f>
        <v>101789.1</v>
      </c>
    </row>
    <row r="34" spans="2:12" ht="12">
      <c r="B34" s="78"/>
      <c r="C34" s="289" t="s">
        <v>74</v>
      </c>
      <c r="D34" s="289"/>
      <c r="E34" s="78"/>
      <c r="F34" s="78"/>
      <c r="G34" s="78"/>
      <c r="H34" s="78"/>
      <c r="I34" s="79"/>
    </row>
    <row r="35" spans="2:12" ht="12">
      <c r="B35" s="70" t="s">
        <v>42</v>
      </c>
      <c r="C35" s="70" t="s">
        <v>58</v>
      </c>
      <c r="D35" s="70" t="s">
        <v>342</v>
      </c>
      <c r="E35" s="70" t="s">
        <v>343</v>
      </c>
      <c r="F35" s="70" t="s">
        <v>344</v>
      </c>
      <c r="G35" s="70" t="s">
        <v>1278</v>
      </c>
      <c r="H35" s="74" t="s">
        <v>61</v>
      </c>
      <c r="I35" s="300"/>
    </row>
    <row r="36" spans="2:12" ht="12">
      <c r="B36" s="70" t="s">
        <v>274</v>
      </c>
      <c r="C36" s="70" t="str">
        <f>VLOOKUP(B36,'MAQUINARIA Y EQUIPOS  '!C12:F100,2,FALSE)</f>
        <v>CAMIONETA D300</v>
      </c>
      <c r="D36" s="75" t="s">
        <v>1333</v>
      </c>
      <c r="E36" s="70">
        <v>0.2</v>
      </c>
      <c r="F36" s="70">
        <v>19</v>
      </c>
      <c r="G36" s="102">
        <v>1000</v>
      </c>
      <c r="H36" s="103">
        <f>+G36*E36</f>
        <v>200</v>
      </c>
      <c r="I36" s="301"/>
    </row>
    <row r="37" spans="2:12">
      <c r="B37" s="71"/>
      <c r="C37" s="71"/>
      <c r="D37" s="82"/>
      <c r="E37" s="71"/>
      <c r="F37" s="71"/>
      <c r="G37" s="86"/>
      <c r="H37" s="86"/>
      <c r="I37" s="301"/>
    </row>
    <row r="38" spans="2:12" ht="12">
      <c r="B38" s="89"/>
      <c r="C38" s="89"/>
      <c r="D38" s="89"/>
      <c r="E38" s="89"/>
      <c r="F38" s="89"/>
      <c r="G38" s="302" t="s">
        <v>64</v>
      </c>
      <c r="H38" s="302"/>
      <c r="I38" s="104">
        <f>+H36</f>
        <v>200</v>
      </c>
    </row>
    <row r="39" spans="2:12" ht="12">
      <c r="B39" s="78"/>
      <c r="C39" s="289" t="s">
        <v>75</v>
      </c>
      <c r="D39" s="289"/>
      <c r="E39" s="78"/>
      <c r="F39" s="78"/>
      <c r="G39" s="78"/>
      <c r="H39" s="78"/>
      <c r="I39" s="79"/>
    </row>
    <row r="40" spans="2:12" ht="12">
      <c r="B40" s="105" t="s">
        <v>42</v>
      </c>
      <c r="C40" s="105"/>
      <c r="D40" s="105" t="s">
        <v>1225</v>
      </c>
      <c r="E40" s="105" t="s">
        <v>1</v>
      </c>
      <c r="F40" s="105" t="s">
        <v>77</v>
      </c>
      <c r="G40" s="105" t="s">
        <v>78</v>
      </c>
      <c r="H40" s="105" t="s">
        <v>79</v>
      </c>
      <c r="I40" s="294"/>
    </row>
    <row r="41" spans="2:12" ht="30" customHeight="1">
      <c r="B41" s="106" t="s">
        <v>69</v>
      </c>
      <c r="C41" s="106" t="str">
        <f>+VLOOKUP(B41,'MANO DE OBRA '!B23:G46,2,FALSE)</f>
        <v>Electricista</v>
      </c>
      <c r="D41" s="106">
        <v>1</v>
      </c>
      <c r="E41" s="106" t="str">
        <f>+VLOOKUP(B41,'MANO DE OBRA '!B23:G46,4,FALSE)</f>
        <v>Dia</v>
      </c>
      <c r="F41" s="86">
        <f>+VLOOKUP(B41,'MANO DE OBRA '!B23:G46,3,FALSE)</f>
        <v>213000</v>
      </c>
      <c r="G41" s="121">
        <v>0.4</v>
      </c>
      <c r="H41" s="94">
        <f>F41*G41*D41</f>
        <v>85200</v>
      </c>
      <c r="I41" s="294"/>
    </row>
    <row r="42" spans="2:12" ht="30" customHeight="1">
      <c r="B42" s="106" t="s">
        <v>70</v>
      </c>
      <c r="C42" s="106" t="str">
        <f>+VLOOKUP(B42,'MANO DE OBRA '!B24:G47,2,FALSE)</f>
        <v>Ayudante Electrico</v>
      </c>
      <c r="D42" s="106">
        <v>1</v>
      </c>
      <c r="E42" s="106" t="str">
        <f>+VLOOKUP(B42,'MANO DE OBRA '!B24:G47,4,FALSE)</f>
        <v>Dia</v>
      </c>
      <c r="F42" s="86">
        <f>+VLOOKUP(B42,'MANO DE OBRA '!B24:G47,3,FALSE)</f>
        <v>142000</v>
      </c>
      <c r="G42" s="121">
        <v>0.4</v>
      </c>
      <c r="H42" s="94">
        <f>F42*G42*D42</f>
        <v>56800</v>
      </c>
      <c r="I42" s="294"/>
    </row>
    <row r="43" spans="2:12">
      <c r="B43" s="106"/>
      <c r="C43" s="106"/>
      <c r="D43" s="106"/>
      <c r="E43" s="106"/>
      <c r="F43" s="86"/>
      <c r="G43" s="121"/>
      <c r="H43" s="94"/>
      <c r="I43" s="294"/>
    </row>
    <row r="44" spans="2:12" ht="12">
      <c r="B44" s="108"/>
      <c r="C44" s="109"/>
      <c r="D44" s="109"/>
      <c r="E44" s="109"/>
      <c r="F44" s="110"/>
      <c r="G44" s="110"/>
      <c r="H44" s="111" t="s">
        <v>64</v>
      </c>
      <c r="I44" s="112">
        <f>SUM(H41:H42)</f>
        <v>142000</v>
      </c>
      <c r="L44" s="53"/>
    </row>
    <row r="45" spans="2:12" ht="12">
      <c r="B45" s="295" t="s">
        <v>83</v>
      </c>
      <c r="C45" s="296"/>
      <c r="D45" s="297" t="s">
        <v>77</v>
      </c>
      <c r="E45" s="298"/>
      <c r="F45" s="298"/>
      <c r="G45" s="298"/>
      <c r="H45" s="299"/>
      <c r="I45" s="113">
        <f>SUM(I21+I38+I33+I44)</f>
        <v>251254</v>
      </c>
      <c r="K45" s="43"/>
    </row>
  </sheetData>
  <mergeCells count="43">
    <mergeCell ref="B45:C45"/>
    <mergeCell ref="D45:H45"/>
    <mergeCell ref="C23:D23"/>
    <mergeCell ref="I23:I30"/>
    <mergeCell ref="C30:D30"/>
    <mergeCell ref="G31:H31"/>
    <mergeCell ref="G33:H33"/>
    <mergeCell ref="C34:D34"/>
    <mergeCell ref="C27:D27"/>
    <mergeCell ref="C24:D24"/>
    <mergeCell ref="C25:D25"/>
    <mergeCell ref="C26:D26"/>
    <mergeCell ref="C28:D28"/>
    <mergeCell ref="C29:D29"/>
    <mergeCell ref="I35:I37"/>
    <mergeCell ref="G38:H38"/>
    <mergeCell ref="I17:I20"/>
    <mergeCell ref="C18:D18"/>
    <mergeCell ref="C19:D19"/>
    <mergeCell ref="C20:D20"/>
    <mergeCell ref="I40:I43"/>
    <mergeCell ref="C39:D39"/>
    <mergeCell ref="C22:D22"/>
    <mergeCell ref="C17:D17"/>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FA5B-8B0D-4DC1-A03D-073497788F37}">
  <sheetPr codeName="Hoja176"/>
  <dimension ref="B3:L44"/>
  <sheetViews>
    <sheetView topLeftCell="A6" zoomScale="89" zoomScaleNormal="89" workbookViewId="0">
      <selection activeCell="L40" sqref="L4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0" width="11.3984375" style="11"/>
    <col min="11" max="11" width="11.69921875" style="11" bestFit="1" customWidth="1"/>
    <col min="12"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75" customHeight="1">
      <c r="B13" s="17">
        <v>10.130000000000001</v>
      </c>
      <c r="C13" s="322" t="s">
        <v>2136</v>
      </c>
      <c r="D13" s="323"/>
      <c r="E13" s="323"/>
      <c r="F13" s="324"/>
      <c r="G13" s="286" t="s">
        <v>136</v>
      </c>
      <c r="H13" s="286"/>
      <c r="I13" s="220">
        <v>1</v>
      </c>
    </row>
    <row r="14" spans="2:9" ht="12">
      <c r="B14" s="70"/>
      <c r="C14" s="286"/>
      <c r="D14" s="286"/>
      <c r="E14" s="286"/>
      <c r="F14" s="286" t="s">
        <v>55</v>
      </c>
      <c r="G14" s="286"/>
      <c r="H14" s="286"/>
      <c r="I14" s="186"/>
    </row>
    <row r="15" spans="2:9" ht="12">
      <c r="B15" s="71"/>
      <c r="C15" s="258"/>
      <c r="D15" s="258"/>
      <c r="E15" s="258"/>
      <c r="F15" s="258" t="s">
        <v>56</v>
      </c>
      <c r="G15" s="258"/>
      <c r="H15" s="258"/>
      <c r="I15" s="187"/>
    </row>
    <row r="16" spans="2:9" ht="12">
      <c r="B16" s="78"/>
      <c r="C16" s="78" t="s">
        <v>57</v>
      </c>
      <c r="D16" s="78"/>
      <c r="E16" s="78"/>
      <c r="F16" s="78"/>
      <c r="G16" s="78"/>
      <c r="H16" s="78"/>
      <c r="I16" s="221"/>
    </row>
    <row r="17" spans="2:9" ht="13.2">
      <c r="B17" s="218" t="s">
        <v>42</v>
      </c>
      <c r="C17" s="317" t="s">
        <v>58</v>
      </c>
      <c r="D17" s="317"/>
      <c r="E17" s="317" t="s">
        <v>1</v>
      </c>
      <c r="F17" s="317"/>
      <c r="G17" s="218" t="s">
        <v>60</v>
      </c>
      <c r="H17" s="218" t="s">
        <v>61</v>
      </c>
      <c r="I17" s="319"/>
    </row>
    <row r="18" spans="2:9" ht="13.2">
      <c r="B18" s="215" t="s">
        <v>2137</v>
      </c>
      <c r="C18" s="318" t="s">
        <v>2138</v>
      </c>
      <c r="D18" s="318"/>
      <c r="E18" s="316" t="s">
        <v>197</v>
      </c>
      <c r="F18" s="316"/>
      <c r="G18" s="215">
        <v>1</v>
      </c>
      <c r="H18" s="216">
        <v>300000</v>
      </c>
      <c r="I18" s="320"/>
    </row>
    <row r="19" spans="2:9" ht="12.75" customHeight="1">
      <c r="B19" s="215" t="s">
        <v>2139</v>
      </c>
      <c r="C19" s="318" t="s">
        <v>2140</v>
      </c>
      <c r="D19" s="318"/>
      <c r="E19" s="316" t="s">
        <v>303</v>
      </c>
      <c r="F19" s="316"/>
      <c r="G19" s="215">
        <v>12</v>
      </c>
      <c r="H19" s="216">
        <v>3120000</v>
      </c>
      <c r="I19" s="320"/>
    </row>
    <row r="20" spans="2:9" ht="12.75" customHeight="1">
      <c r="B20" s="215" t="s">
        <v>2141</v>
      </c>
      <c r="C20" s="318" t="s">
        <v>2142</v>
      </c>
      <c r="D20" s="318"/>
      <c r="E20" s="316" t="s">
        <v>303</v>
      </c>
      <c r="F20" s="316"/>
      <c r="G20" s="215">
        <v>6</v>
      </c>
      <c r="H20" s="216">
        <v>270000</v>
      </c>
      <c r="I20" s="321"/>
    </row>
    <row r="21" spans="2:9" ht="12">
      <c r="B21" s="89"/>
      <c r="C21" s="89"/>
      <c r="D21" s="89"/>
      <c r="E21" s="89"/>
      <c r="F21" s="89"/>
      <c r="G21" s="89"/>
      <c r="H21" s="71" t="s">
        <v>64</v>
      </c>
      <c r="I21" s="222">
        <f>SUM(H18:H20)</f>
        <v>3690000</v>
      </c>
    </row>
    <row r="22" spans="2:9" ht="12">
      <c r="B22" s="78"/>
      <c r="C22" s="279" t="s">
        <v>65</v>
      </c>
      <c r="D22" s="279"/>
      <c r="E22" s="78"/>
      <c r="F22" s="78"/>
      <c r="G22" s="78"/>
      <c r="H22" s="78"/>
      <c r="I22" s="221"/>
    </row>
    <row r="23" spans="2:9" ht="13.2">
      <c r="B23" s="218" t="s">
        <v>42</v>
      </c>
      <c r="C23" s="317" t="s">
        <v>58</v>
      </c>
      <c r="D23" s="317"/>
      <c r="E23" s="317" t="s">
        <v>1</v>
      </c>
      <c r="F23" s="317"/>
      <c r="G23" s="218" t="s">
        <v>67</v>
      </c>
      <c r="H23" s="218" t="s">
        <v>61</v>
      </c>
      <c r="I23" s="319"/>
    </row>
    <row r="24" spans="2:9" ht="13.2">
      <c r="B24" s="215" t="s">
        <v>2143</v>
      </c>
      <c r="C24" s="318" t="s">
        <v>2144</v>
      </c>
      <c r="D24" s="318"/>
      <c r="E24" s="316" t="s">
        <v>780</v>
      </c>
      <c r="F24" s="316"/>
      <c r="G24" s="215">
        <v>1</v>
      </c>
      <c r="H24" s="216">
        <v>360000000</v>
      </c>
      <c r="I24" s="320"/>
    </row>
    <row r="25" spans="2:9" ht="12.75" customHeight="1">
      <c r="B25" s="215" t="s">
        <v>2145</v>
      </c>
      <c r="C25" s="318" t="s">
        <v>2146</v>
      </c>
      <c r="D25" s="318"/>
      <c r="E25" s="316" t="s">
        <v>197</v>
      </c>
      <c r="F25" s="316"/>
      <c r="G25" s="215">
        <v>1</v>
      </c>
      <c r="H25" s="216">
        <v>5500000</v>
      </c>
      <c r="I25" s="320"/>
    </row>
    <row r="26" spans="2:9" ht="20.25" customHeight="1">
      <c r="B26" s="215" t="s">
        <v>2147</v>
      </c>
      <c r="C26" s="318" t="s">
        <v>2148</v>
      </c>
      <c r="D26" s="318"/>
      <c r="E26" s="316" t="s">
        <v>197</v>
      </c>
      <c r="F26" s="316"/>
      <c r="G26" s="215">
        <v>1</v>
      </c>
      <c r="H26" s="216">
        <v>2000000</v>
      </c>
      <c r="I26" s="320"/>
    </row>
    <row r="27" spans="2:9" ht="12" customHeight="1">
      <c r="B27" s="215" t="s">
        <v>2149</v>
      </c>
      <c r="C27" s="318" t="s">
        <v>2150</v>
      </c>
      <c r="D27" s="318"/>
      <c r="E27" s="316" t="s">
        <v>197</v>
      </c>
      <c r="F27" s="316"/>
      <c r="G27" s="215">
        <v>1</v>
      </c>
      <c r="H27" s="216">
        <v>5500000</v>
      </c>
      <c r="I27" s="320"/>
    </row>
    <row r="28" spans="2:9" ht="12" customHeight="1">
      <c r="B28" s="215" t="s">
        <v>2151</v>
      </c>
      <c r="C28" s="318" t="s">
        <v>2152</v>
      </c>
      <c r="D28" s="318"/>
      <c r="E28" s="316" t="s">
        <v>197</v>
      </c>
      <c r="F28" s="316"/>
      <c r="G28" s="215">
        <v>1</v>
      </c>
      <c r="H28" s="216">
        <v>3000000</v>
      </c>
      <c r="I28" s="320"/>
    </row>
    <row r="29" spans="2:9" ht="23.85" customHeight="1">
      <c r="B29" s="215" t="s">
        <v>2153</v>
      </c>
      <c r="C29" s="318" t="s">
        <v>2154</v>
      </c>
      <c r="D29" s="318"/>
      <c r="E29" s="316" t="s">
        <v>197</v>
      </c>
      <c r="F29" s="316"/>
      <c r="G29" s="215">
        <v>1</v>
      </c>
      <c r="H29" s="216">
        <v>4000000</v>
      </c>
      <c r="I29" s="320"/>
    </row>
    <row r="30" spans="2:9" ht="12">
      <c r="B30" s="89"/>
      <c r="C30" s="89"/>
      <c r="D30" s="89"/>
      <c r="E30" s="89"/>
      <c r="F30" s="89"/>
      <c r="G30" s="288" t="s">
        <v>64</v>
      </c>
      <c r="H30" s="265"/>
      <c r="I30" s="116">
        <f>SUM(H24:H29)</f>
        <v>380000000</v>
      </c>
    </row>
    <row r="31" spans="2:9" ht="12">
      <c r="B31" s="89"/>
      <c r="C31" s="89"/>
      <c r="D31" s="89"/>
      <c r="E31" s="89"/>
      <c r="F31" s="89"/>
      <c r="G31" s="99" t="s">
        <v>72</v>
      </c>
      <c r="H31" s="100">
        <v>0.05</v>
      </c>
      <c r="I31" s="223">
        <f>I30*H31</f>
        <v>19000000</v>
      </c>
    </row>
    <row r="32" spans="2:9" ht="12">
      <c r="B32" s="89"/>
      <c r="C32" s="89"/>
      <c r="D32" s="89"/>
      <c r="E32" s="89"/>
      <c r="F32" s="89"/>
      <c r="G32" s="288" t="s">
        <v>73</v>
      </c>
      <c r="H32" s="265"/>
      <c r="I32" s="222">
        <f>SUM(I30:I31)</f>
        <v>399000000</v>
      </c>
    </row>
    <row r="33" spans="2:12" ht="12">
      <c r="B33" s="78"/>
      <c r="C33" s="279" t="s">
        <v>74</v>
      </c>
      <c r="D33" s="279"/>
      <c r="E33" s="78"/>
      <c r="F33" s="78"/>
      <c r="G33" s="78"/>
      <c r="H33" s="78"/>
      <c r="I33" s="221"/>
    </row>
    <row r="34" spans="2:12" ht="26.4">
      <c r="B34" s="218" t="s">
        <v>42</v>
      </c>
      <c r="C34" s="317" t="s">
        <v>58</v>
      </c>
      <c r="D34" s="317"/>
      <c r="E34" s="218" t="s">
        <v>136</v>
      </c>
      <c r="F34" s="218" t="s">
        <v>0</v>
      </c>
      <c r="G34" s="219" t="s">
        <v>2155</v>
      </c>
      <c r="H34" s="218" t="s">
        <v>61</v>
      </c>
      <c r="I34" s="319"/>
    </row>
    <row r="35" spans="2:12" ht="13.2">
      <c r="B35" s="215" t="s">
        <v>2156</v>
      </c>
      <c r="C35" s="318" t="s">
        <v>2157</v>
      </c>
      <c r="D35" s="318"/>
      <c r="E35" s="215" t="s">
        <v>2158</v>
      </c>
      <c r="F35" s="215">
        <v>1</v>
      </c>
      <c r="G35" s="215" t="s">
        <v>2159</v>
      </c>
      <c r="H35" s="216">
        <f>1*220*20000</f>
        <v>4400000</v>
      </c>
      <c r="I35" s="320"/>
    </row>
    <row r="36" spans="2:12">
      <c r="B36" s="89"/>
      <c r="C36" s="89"/>
      <c r="D36" s="89"/>
      <c r="E36" s="89"/>
      <c r="F36" s="89"/>
      <c r="G36" s="258" t="s">
        <v>64</v>
      </c>
      <c r="H36" s="258"/>
      <c r="I36" s="321"/>
    </row>
    <row r="37" spans="2:12" ht="12">
      <c r="B37" s="78"/>
      <c r="C37" s="279" t="s">
        <v>75</v>
      </c>
      <c r="D37" s="279"/>
      <c r="E37" s="78"/>
      <c r="F37" s="78"/>
      <c r="G37" s="78"/>
      <c r="H37" s="78"/>
      <c r="I37" s="224">
        <f>+H35</f>
        <v>4400000</v>
      </c>
    </row>
    <row r="38" spans="2:12" ht="23.85" customHeight="1">
      <c r="B38" s="218" t="s">
        <v>42</v>
      </c>
      <c r="C38" s="218" t="s">
        <v>58</v>
      </c>
      <c r="D38" s="218" t="s">
        <v>1225</v>
      </c>
      <c r="E38" s="218" t="s">
        <v>1</v>
      </c>
      <c r="F38" s="219" t="s">
        <v>77</v>
      </c>
      <c r="G38" s="218" t="s">
        <v>78</v>
      </c>
      <c r="H38" s="218" t="s">
        <v>79</v>
      </c>
      <c r="I38" s="221"/>
    </row>
    <row r="39" spans="2:12" ht="39.6">
      <c r="B39" s="215" t="s">
        <v>2160</v>
      </c>
      <c r="C39" s="214" t="s">
        <v>2161</v>
      </c>
      <c r="D39" s="215">
        <v>1</v>
      </c>
      <c r="E39" s="215" t="s">
        <v>303</v>
      </c>
      <c r="F39" s="216">
        <v>95000</v>
      </c>
      <c r="G39" s="215">
        <v>48</v>
      </c>
      <c r="H39" s="216">
        <f>D39*F39*G39</f>
        <v>4560000</v>
      </c>
      <c r="I39" s="314"/>
    </row>
    <row r="40" spans="2:12" ht="26.4">
      <c r="B40" s="215" t="s">
        <v>2162</v>
      </c>
      <c r="C40" s="214" t="s">
        <v>2163</v>
      </c>
      <c r="D40" s="215">
        <v>1</v>
      </c>
      <c r="E40" s="215" t="s">
        <v>303</v>
      </c>
      <c r="F40" s="216">
        <v>45000</v>
      </c>
      <c r="G40" s="215">
        <v>20</v>
      </c>
      <c r="H40" s="216">
        <f>D40*F40*G40</f>
        <v>900000</v>
      </c>
      <c r="I40" s="315"/>
    </row>
    <row r="41" spans="2:12" ht="39.6">
      <c r="B41" s="215" t="s">
        <v>2164</v>
      </c>
      <c r="C41" s="214" t="s">
        <v>2165</v>
      </c>
      <c r="D41" s="215">
        <v>1</v>
      </c>
      <c r="E41" s="215" t="s">
        <v>303</v>
      </c>
      <c r="F41" s="216">
        <v>120000</v>
      </c>
      <c r="G41" s="215">
        <v>12.5</v>
      </c>
      <c r="H41" s="216">
        <f>D41*F41*G41</f>
        <v>1500000</v>
      </c>
      <c r="I41" s="315"/>
    </row>
    <row r="42" spans="2:12" ht="12">
      <c r="B42" s="108"/>
      <c r="C42" s="109"/>
      <c r="D42" s="109"/>
      <c r="E42" s="109"/>
      <c r="F42" s="110"/>
      <c r="G42" s="110"/>
      <c r="H42" s="111" t="s">
        <v>64</v>
      </c>
      <c r="I42" s="225">
        <f>SUM(H39:H41)</f>
        <v>6960000</v>
      </c>
    </row>
    <row r="43" spans="2:12" ht="15" customHeight="1">
      <c r="B43" s="311" t="s">
        <v>77</v>
      </c>
      <c r="C43" s="312"/>
      <c r="D43" s="312"/>
      <c r="E43" s="312"/>
      <c r="F43" s="312"/>
      <c r="G43" s="312"/>
      <c r="H43" s="313"/>
      <c r="I43" s="227">
        <f>SUM(I21+I37+I32+I42)</f>
        <v>414050000</v>
      </c>
      <c r="L43" s="53"/>
    </row>
    <row r="44" spans="2:12">
      <c r="K44" s="43"/>
    </row>
  </sheetData>
  <mergeCells count="54">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I17:I20"/>
    <mergeCell ref="C18:D18"/>
    <mergeCell ref="C19:D19"/>
    <mergeCell ref="C20:D20"/>
    <mergeCell ref="C33:D33"/>
    <mergeCell ref="C22:D22"/>
    <mergeCell ref="E17:F17"/>
    <mergeCell ref="C17:D17"/>
    <mergeCell ref="I34:I36"/>
    <mergeCell ref="G36:H36"/>
    <mergeCell ref="C37:D37"/>
    <mergeCell ref="C23:D23"/>
    <mergeCell ref="I23:I29"/>
    <mergeCell ref="C24:D24"/>
    <mergeCell ref="C25:D25"/>
    <mergeCell ref="C26:D26"/>
    <mergeCell ref="C27:D27"/>
    <mergeCell ref="C28:D28"/>
    <mergeCell ref="C29:D29"/>
    <mergeCell ref="B43:H43"/>
    <mergeCell ref="I39:I41"/>
    <mergeCell ref="E18:F18"/>
    <mergeCell ref="E19:F19"/>
    <mergeCell ref="E20:F20"/>
    <mergeCell ref="E24:F24"/>
    <mergeCell ref="E25:F25"/>
    <mergeCell ref="E23:F23"/>
    <mergeCell ref="C34:D34"/>
    <mergeCell ref="C35:D35"/>
    <mergeCell ref="E29:F29"/>
    <mergeCell ref="E26:F26"/>
    <mergeCell ref="E27:F27"/>
    <mergeCell ref="E28:F28"/>
    <mergeCell ref="G30:H30"/>
    <mergeCell ref="G32:H32"/>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612D-98A0-48EB-9ECF-2EED38AEC72D}">
  <sheetPr codeName="Hoja178"/>
  <dimension ref="B3:L44"/>
  <sheetViews>
    <sheetView topLeftCell="A10" zoomScale="89" zoomScaleNormal="89" workbookViewId="0">
      <selection activeCell="K20" sqref="K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0" width="11.3984375" style="11"/>
    <col min="11" max="11" width="11.69921875" style="11" bestFit="1" customWidth="1"/>
    <col min="12" max="16384" width="11.3984375" style="11"/>
  </cols>
  <sheetData>
    <row r="3" spans="2:9" ht="12" customHeight="1">
      <c r="B3" s="258" t="s">
        <v>2004</v>
      </c>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10</v>
      </c>
      <c r="E9" s="276" t="s">
        <v>25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75" customHeight="1">
      <c r="B13" s="17">
        <v>10.130000000000001</v>
      </c>
      <c r="C13" s="322" t="s">
        <v>2136</v>
      </c>
      <c r="D13" s="323"/>
      <c r="E13" s="323"/>
      <c r="F13" s="324"/>
      <c r="G13" s="286" t="s">
        <v>136</v>
      </c>
      <c r="H13" s="286"/>
      <c r="I13" s="220">
        <v>1</v>
      </c>
    </row>
    <row r="14" spans="2:9" ht="12">
      <c r="B14" s="70"/>
      <c r="C14" s="286"/>
      <c r="D14" s="286"/>
      <c r="E14" s="286"/>
      <c r="F14" s="286" t="s">
        <v>55</v>
      </c>
      <c r="G14" s="286"/>
      <c r="H14" s="286"/>
      <c r="I14" s="186"/>
    </row>
    <row r="15" spans="2:9" ht="12">
      <c r="B15" s="71"/>
      <c r="C15" s="258"/>
      <c r="D15" s="258"/>
      <c r="E15" s="258"/>
      <c r="F15" s="258" t="s">
        <v>56</v>
      </c>
      <c r="G15" s="258"/>
      <c r="H15" s="258"/>
      <c r="I15" s="187"/>
    </row>
    <row r="16" spans="2:9" ht="12">
      <c r="B16" s="78"/>
      <c r="C16" s="78" t="s">
        <v>57</v>
      </c>
      <c r="D16" s="78"/>
      <c r="E16" s="78"/>
      <c r="F16" s="78"/>
      <c r="G16" s="78"/>
      <c r="H16" s="78"/>
      <c r="I16" s="221"/>
    </row>
    <row r="17" spans="2:9" ht="13.2">
      <c r="B17" s="218" t="s">
        <v>42</v>
      </c>
      <c r="C17" s="317" t="s">
        <v>58</v>
      </c>
      <c r="D17" s="317"/>
      <c r="E17" s="317" t="s">
        <v>1</v>
      </c>
      <c r="F17" s="317"/>
      <c r="G17" s="218" t="s">
        <v>60</v>
      </c>
      <c r="H17" s="218" t="s">
        <v>61</v>
      </c>
      <c r="I17" s="319"/>
    </row>
    <row r="18" spans="2:9" ht="13.2">
      <c r="B18" s="215" t="s">
        <v>2137</v>
      </c>
      <c r="C18" s="322" t="s">
        <v>2138</v>
      </c>
      <c r="D18" s="324"/>
      <c r="E18" s="328" t="s">
        <v>197</v>
      </c>
      <c r="F18" s="329"/>
      <c r="G18" s="215">
        <v>1</v>
      </c>
      <c r="H18" s="217">
        <v>250000</v>
      </c>
      <c r="I18" s="320"/>
    </row>
    <row r="19" spans="2:9" ht="13.2">
      <c r="B19" s="215" t="s">
        <v>2139</v>
      </c>
      <c r="C19" s="322" t="s">
        <v>2166</v>
      </c>
      <c r="D19" s="324"/>
      <c r="E19" s="328" t="s">
        <v>303</v>
      </c>
      <c r="F19" s="329"/>
      <c r="G19" s="215">
        <v>6</v>
      </c>
      <c r="H19" s="217">
        <v>900000</v>
      </c>
      <c r="I19" s="320"/>
    </row>
    <row r="20" spans="2:9" ht="13.2">
      <c r="B20" s="215" t="s">
        <v>2141</v>
      </c>
      <c r="C20" s="322" t="s">
        <v>2167</v>
      </c>
      <c r="D20" s="324"/>
      <c r="E20" s="328" t="s">
        <v>303</v>
      </c>
      <c r="F20" s="329"/>
      <c r="G20" s="215">
        <v>4</v>
      </c>
      <c r="H20" s="217">
        <v>240000</v>
      </c>
      <c r="I20" s="321"/>
    </row>
    <row r="21" spans="2:9" ht="12">
      <c r="B21" s="89"/>
      <c r="C21" s="89"/>
      <c r="D21" s="89"/>
      <c r="E21" s="89"/>
      <c r="F21" s="89"/>
      <c r="G21" s="89"/>
      <c r="H21" s="71" t="s">
        <v>64</v>
      </c>
      <c r="I21" s="222">
        <f>SUM(H18:H20)</f>
        <v>1390000</v>
      </c>
    </row>
    <row r="22" spans="2:9" ht="12">
      <c r="B22" s="78"/>
      <c r="C22" s="279" t="s">
        <v>65</v>
      </c>
      <c r="D22" s="279"/>
      <c r="E22" s="78"/>
      <c r="F22" s="78"/>
      <c r="G22" s="78"/>
      <c r="H22" s="78"/>
      <c r="I22" s="221"/>
    </row>
    <row r="23" spans="2:9" ht="13.2">
      <c r="B23" s="218" t="s">
        <v>42</v>
      </c>
      <c r="C23" s="317" t="s">
        <v>58</v>
      </c>
      <c r="D23" s="317"/>
      <c r="E23" s="317" t="s">
        <v>1</v>
      </c>
      <c r="F23" s="317"/>
      <c r="G23" s="218" t="s">
        <v>67</v>
      </c>
      <c r="H23" s="218" t="s">
        <v>61</v>
      </c>
      <c r="I23" s="319"/>
    </row>
    <row r="24" spans="2:9" ht="13.2">
      <c r="B24" s="215" t="s">
        <v>2143</v>
      </c>
      <c r="C24" s="322" t="s">
        <v>2168</v>
      </c>
      <c r="D24" s="324"/>
      <c r="E24" s="328" t="s">
        <v>390</v>
      </c>
      <c r="F24" s="329"/>
      <c r="G24" s="215">
        <v>1</v>
      </c>
      <c r="H24" s="217">
        <v>279500000</v>
      </c>
      <c r="I24" s="320"/>
    </row>
    <row r="25" spans="2:9" ht="13.2">
      <c r="B25" s="215" t="s">
        <v>2145</v>
      </c>
      <c r="C25" s="322" t="s">
        <v>2169</v>
      </c>
      <c r="D25" s="324"/>
      <c r="E25" s="328" t="s">
        <v>197</v>
      </c>
      <c r="F25" s="329"/>
      <c r="G25" s="215">
        <v>1</v>
      </c>
      <c r="H25" s="217">
        <v>8000000</v>
      </c>
      <c r="I25" s="320"/>
    </row>
    <row r="26" spans="2:9" ht="20.25" customHeight="1">
      <c r="B26" s="215" t="s">
        <v>2147</v>
      </c>
      <c r="C26" s="322" t="s">
        <v>2170</v>
      </c>
      <c r="D26" s="324"/>
      <c r="E26" s="328" t="s">
        <v>197</v>
      </c>
      <c r="F26" s="329"/>
      <c r="G26" s="215">
        <v>1</v>
      </c>
      <c r="H26" s="217">
        <v>5500000</v>
      </c>
      <c r="I26" s="320"/>
    </row>
    <row r="27" spans="2:9" ht="12" customHeight="1">
      <c r="B27" s="215" t="s">
        <v>2149</v>
      </c>
      <c r="C27" s="322" t="s">
        <v>2171</v>
      </c>
      <c r="D27" s="324"/>
      <c r="E27" s="328" t="s">
        <v>197</v>
      </c>
      <c r="F27" s="329"/>
      <c r="G27" s="215">
        <v>1</v>
      </c>
      <c r="H27" s="217">
        <v>2000000</v>
      </c>
      <c r="I27" s="320"/>
    </row>
    <row r="28" spans="2:9" ht="12" customHeight="1">
      <c r="B28" s="215" t="s">
        <v>2151</v>
      </c>
      <c r="C28" s="322" t="s">
        <v>2172</v>
      </c>
      <c r="D28" s="324"/>
      <c r="E28" s="328" t="s">
        <v>197</v>
      </c>
      <c r="F28" s="329"/>
      <c r="G28" s="215">
        <v>1</v>
      </c>
      <c r="H28" s="217">
        <v>1000000</v>
      </c>
      <c r="I28" s="320"/>
    </row>
    <row r="29" spans="2:9" ht="12">
      <c r="B29" s="89"/>
      <c r="C29" s="89"/>
      <c r="D29" s="89"/>
      <c r="E29" s="89"/>
      <c r="F29" s="89"/>
      <c r="G29" s="288" t="s">
        <v>64</v>
      </c>
      <c r="H29" s="265"/>
      <c r="I29" s="116">
        <f>SUM(H24:H28)</f>
        <v>296000000</v>
      </c>
    </row>
    <row r="30" spans="2:9" ht="12">
      <c r="B30" s="89"/>
      <c r="C30" s="89"/>
      <c r="D30" s="89"/>
      <c r="E30" s="89"/>
      <c r="F30" s="89"/>
      <c r="G30" s="99" t="s">
        <v>72</v>
      </c>
      <c r="H30" s="100">
        <v>0.05</v>
      </c>
      <c r="I30" s="223">
        <f>I29*H30</f>
        <v>14800000</v>
      </c>
    </row>
    <row r="31" spans="2:9" ht="12">
      <c r="B31" s="89"/>
      <c r="C31" s="89"/>
      <c r="D31" s="89"/>
      <c r="E31" s="89"/>
      <c r="F31" s="89"/>
      <c r="G31" s="288" t="s">
        <v>73</v>
      </c>
      <c r="H31" s="265"/>
      <c r="I31" s="222">
        <f>SUM(I29:I30)</f>
        <v>310800000</v>
      </c>
    </row>
    <row r="32" spans="2:9" ht="12">
      <c r="B32" s="78"/>
      <c r="C32" s="279" t="s">
        <v>74</v>
      </c>
      <c r="D32" s="279"/>
      <c r="E32" s="78"/>
      <c r="F32" s="78"/>
      <c r="G32" s="78"/>
      <c r="H32" s="78"/>
      <c r="I32" s="221"/>
    </row>
    <row r="33" spans="2:12" ht="26.4">
      <c r="B33" s="218" t="s">
        <v>42</v>
      </c>
      <c r="C33" s="317" t="s">
        <v>58</v>
      </c>
      <c r="D33" s="317"/>
      <c r="E33" s="218" t="s">
        <v>136</v>
      </c>
      <c r="F33" s="218" t="s">
        <v>0</v>
      </c>
      <c r="G33" s="219" t="s">
        <v>2155</v>
      </c>
      <c r="H33" s="218" t="s">
        <v>61</v>
      </c>
      <c r="I33" s="319"/>
    </row>
    <row r="34" spans="2:12" ht="12.75" customHeight="1">
      <c r="B34" s="215" t="s">
        <v>2156</v>
      </c>
      <c r="C34" s="325" t="s">
        <v>2173</v>
      </c>
      <c r="D34" s="326"/>
      <c r="E34" s="215" t="s">
        <v>2158</v>
      </c>
      <c r="F34" s="215">
        <v>1</v>
      </c>
      <c r="G34" s="215" t="s">
        <v>2174</v>
      </c>
      <c r="H34" s="216">
        <f>1*150*15000</f>
        <v>2250000</v>
      </c>
      <c r="I34" s="320"/>
    </row>
    <row r="35" spans="2:12">
      <c r="B35" s="89"/>
      <c r="C35" s="89"/>
      <c r="D35" s="89"/>
      <c r="E35" s="89"/>
      <c r="F35" s="89"/>
      <c r="G35" s="258" t="s">
        <v>64</v>
      </c>
      <c r="H35" s="258"/>
      <c r="I35" s="321"/>
    </row>
    <row r="36" spans="2:12" ht="12">
      <c r="B36" s="78"/>
      <c r="C36" s="279" t="s">
        <v>75</v>
      </c>
      <c r="D36" s="279"/>
      <c r="E36" s="78"/>
      <c r="F36" s="78"/>
      <c r="G36" s="78"/>
      <c r="H36" s="78"/>
      <c r="I36" s="224">
        <f>+H34</f>
        <v>2250000</v>
      </c>
    </row>
    <row r="37" spans="2:12" ht="23.85" customHeight="1">
      <c r="B37" s="218" t="s">
        <v>42</v>
      </c>
      <c r="C37" s="218" t="s">
        <v>58</v>
      </c>
      <c r="D37" s="218" t="s">
        <v>1225</v>
      </c>
      <c r="E37" s="218" t="s">
        <v>1</v>
      </c>
      <c r="F37" s="219" t="s">
        <v>77</v>
      </c>
      <c r="G37" s="218" t="s">
        <v>78</v>
      </c>
      <c r="H37" s="218" t="s">
        <v>79</v>
      </c>
      <c r="I37" s="221"/>
    </row>
    <row r="38" spans="2:12" ht="26.4">
      <c r="B38" s="215" t="s">
        <v>2160</v>
      </c>
      <c r="C38" s="214" t="s">
        <v>2175</v>
      </c>
      <c r="D38" s="215">
        <v>1</v>
      </c>
      <c r="E38" s="215" t="s">
        <v>303</v>
      </c>
      <c r="F38" s="216">
        <v>100000</v>
      </c>
      <c r="G38" s="215">
        <v>40</v>
      </c>
      <c r="H38" s="216">
        <f>D38*F38*G38</f>
        <v>4000000</v>
      </c>
      <c r="I38" s="314"/>
    </row>
    <row r="39" spans="2:12" ht="39.6">
      <c r="B39" s="215" t="s">
        <v>2162</v>
      </c>
      <c r="C39" s="214" t="s">
        <v>2176</v>
      </c>
      <c r="D39" s="215">
        <v>1</v>
      </c>
      <c r="E39" s="215" t="s">
        <v>303</v>
      </c>
      <c r="F39" s="216">
        <v>140000</v>
      </c>
      <c r="G39" s="215">
        <v>20</v>
      </c>
      <c r="H39" s="216">
        <f>D39*F39*G39</f>
        <v>2800000</v>
      </c>
      <c r="I39" s="315"/>
    </row>
    <row r="40" spans="2:12" ht="26.4">
      <c r="B40" s="215" t="s">
        <v>2164</v>
      </c>
      <c r="C40" s="214" t="s">
        <v>2177</v>
      </c>
      <c r="D40" s="215">
        <v>1</v>
      </c>
      <c r="E40" s="215" t="s">
        <v>303</v>
      </c>
      <c r="F40" s="216">
        <v>47125</v>
      </c>
      <c r="G40" s="215">
        <v>40</v>
      </c>
      <c r="H40" s="216">
        <f>D40*F40*G40</f>
        <v>1885000</v>
      </c>
      <c r="I40" s="315"/>
    </row>
    <row r="41" spans="2:12" ht="13.2">
      <c r="B41" s="228"/>
      <c r="C41" s="229"/>
      <c r="D41" s="228"/>
      <c r="E41" s="228"/>
      <c r="F41" s="230"/>
      <c r="G41" s="228"/>
      <c r="H41" s="232"/>
      <c r="I41" s="231"/>
    </row>
    <row r="42" spans="2:12" ht="12">
      <c r="B42" s="108"/>
      <c r="C42" s="109"/>
      <c r="D42" s="109"/>
      <c r="E42" s="109"/>
      <c r="F42" s="110"/>
      <c r="G42" s="110"/>
      <c r="H42" s="233" t="s">
        <v>64</v>
      </c>
      <c r="I42" s="226">
        <f>SUM(H38:H40)</f>
        <v>8685000</v>
      </c>
    </row>
    <row r="43" spans="2:12" ht="15" customHeight="1">
      <c r="B43" s="327" t="s">
        <v>77</v>
      </c>
      <c r="C43" s="327"/>
      <c r="D43" s="327"/>
      <c r="E43" s="327"/>
      <c r="F43" s="327"/>
      <c r="G43" s="327"/>
      <c r="H43" s="327"/>
      <c r="I43" s="227">
        <f>SUM(I21+I36+I31+I42)</f>
        <v>323125000</v>
      </c>
      <c r="L43" s="53"/>
    </row>
    <row r="44" spans="2:12">
      <c r="K44" s="43"/>
    </row>
  </sheetData>
  <mergeCells count="52">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17:D17"/>
    <mergeCell ref="E17:F17"/>
    <mergeCell ref="I17:I20"/>
    <mergeCell ref="C18:D18"/>
    <mergeCell ref="E18:F18"/>
    <mergeCell ref="C19:D19"/>
    <mergeCell ref="E19:F19"/>
    <mergeCell ref="C20:D20"/>
    <mergeCell ref="E20:F20"/>
    <mergeCell ref="I23:I28"/>
    <mergeCell ref="C24:D24"/>
    <mergeCell ref="E24:F24"/>
    <mergeCell ref="C25:D25"/>
    <mergeCell ref="E25:F25"/>
    <mergeCell ref="C26:D26"/>
    <mergeCell ref="E26:F26"/>
    <mergeCell ref="C27:D27"/>
    <mergeCell ref="E27:F27"/>
    <mergeCell ref="C28:D28"/>
    <mergeCell ref="E28:F28"/>
    <mergeCell ref="C22:D22"/>
    <mergeCell ref="C23:D23"/>
    <mergeCell ref="E23:F23"/>
    <mergeCell ref="B43:H43"/>
    <mergeCell ref="C36:D36"/>
    <mergeCell ref="I38:I40"/>
    <mergeCell ref="G29:H29"/>
    <mergeCell ref="G31:H31"/>
    <mergeCell ref="C32:D32"/>
    <mergeCell ref="C33:D33"/>
    <mergeCell ref="I33:I35"/>
    <mergeCell ref="C34:D34"/>
    <mergeCell ref="G35:H35"/>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B6A67-9A73-4873-A038-1758E66943C8}">
  <sheetPr codeName="Hoja64"/>
  <dimension ref="B3:L39"/>
  <sheetViews>
    <sheetView topLeftCell="A19" zoomScale="89" zoomScaleNormal="89" workbookViewId="0">
      <selection activeCell="L22" sqref="L22"/>
    </sheetView>
  </sheetViews>
  <sheetFormatPr baseColWidth="10" defaultColWidth="11.3984375" defaultRowHeight="11.4"/>
  <cols>
    <col min="1" max="2" width="11.3984375" style="11"/>
    <col min="3" max="3" width="40.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1" width="13.09765625" style="11" bestFit="1" customWidth="1"/>
    <col min="12"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11</v>
      </c>
      <c r="E9" s="276" t="s">
        <v>31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11.1</v>
      </c>
      <c r="C13" s="283" t="s">
        <v>1952</v>
      </c>
      <c r="D13" s="284"/>
      <c r="E13" s="284"/>
      <c r="F13" s="285"/>
      <c r="G13" s="286" t="s">
        <v>170</v>
      </c>
      <c r="H13" s="286"/>
      <c r="I13" s="114">
        <v>16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0.03</v>
      </c>
      <c r="H19" s="85">
        <v>394.38</v>
      </c>
      <c r="I19" s="287"/>
    </row>
    <row r="20" spans="2:9" ht="12">
      <c r="B20" s="89"/>
      <c r="C20" s="89"/>
      <c r="D20" s="89"/>
      <c r="E20" s="89"/>
      <c r="F20" s="89"/>
      <c r="G20" s="89"/>
      <c r="H20" s="89" t="s">
        <v>64</v>
      </c>
      <c r="I20" s="90">
        <f>SUM(H18:H19)</f>
        <v>1465.7800000000002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1360</v>
      </c>
      <c r="C23" s="290" t="str">
        <f>+VLOOKUP(B23,'INSUMOS '!C531:G605,2,FALSE)</f>
        <v>Parlante para montaje en cielo raso, con transformadores de baja saturación y baja pérdida de 70/100 V y bypass de 16</v>
      </c>
      <c r="D23" s="291"/>
      <c r="E23" s="97" t="str">
        <f>+VLOOKUP(B23,'INSUMOS '!C531:G605,3,FALSE)</f>
        <v xml:space="preserve">UND </v>
      </c>
      <c r="F23" s="117">
        <f>+VLOOKUP(B23,'INSUMOS '!C531:G605,4,FALSE)</f>
        <v>1300000</v>
      </c>
      <c r="G23" s="92">
        <v>1</v>
      </c>
      <c r="H23" s="83">
        <f>+G23*F23</f>
        <v>1300000</v>
      </c>
      <c r="I23" s="287"/>
    </row>
    <row r="24" spans="2:9">
      <c r="B24" s="71" t="s">
        <v>1361</v>
      </c>
      <c r="C24" s="290" t="str">
        <f>+VLOOKUP(B24,'INSUMOS '!C532:G606,2,FALSE)</f>
        <v xml:space="preserve">CONSUMIBLES </v>
      </c>
      <c r="D24" s="291"/>
      <c r="E24" s="97" t="str">
        <f>+VLOOKUP(B24,'INSUMOS '!C532:G606,3,FALSE)</f>
        <v xml:space="preserve">UND </v>
      </c>
      <c r="F24" s="117">
        <f>+VLOOKUP(B24,'INSUMOS '!C532:G606,4,FALSE)</f>
        <v>75119</v>
      </c>
      <c r="G24" s="92">
        <v>1.0449999999999999</v>
      </c>
      <c r="H24" s="83">
        <f>+G24*F24</f>
        <v>78499.354999999996</v>
      </c>
      <c r="I24" s="287"/>
    </row>
    <row r="25" spans="2:9" ht="12">
      <c r="B25" s="89"/>
      <c r="C25" s="89"/>
      <c r="D25" s="89"/>
      <c r="E25" s="89"/>
      <c r="F25" s="89"/>
      <c r="G25" s="258" t="s">
        <v>64</v>
      </c>
      <c r="H25" s="258"/>
      <c r="I25" s="85">
        <f>SUM(H23:H24)</f>
        <v>1378499.355</v>
      </c>
    </row>
    <row r="26" spans="2:9" ht="12">
      <c r="B26" s="89"/>
      <c r="C26" s="89"/>
      <c r="D26" s="89"/>
      <c r="E26" s="89"/>
      <c r="F26" s="89"/>
      <c r="G26" s="99" t="s">
        <v>72</v>
      </c>
      <c r="H26" s="100">
        <v>0.05</v>
      </c>
      <c r="I26" s="120">
        <f>I25*H26</f>
        <v>68924.967749999996</v>
      </c>
    </row>
    <row r="27" spans="2:9" ht="12">
      <c r="B27" s="89"/>
      <c r="C27" s="89"/>
      <c r="D27" s="89"/>
      <c r="E27" s="89"/>
      <c r="F27" s="89"/>
      <c r="G27" s="258" t="s">
        <v>73</v>
      </c>
      <c r="H27" s="258"/>
      <c r="I27" s="90">
        <f>SUM(I25:I26)</f>
        <v>1447424.3227500001</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t="s">
        <v>274</v>
      </c>
      <c r="C30" s="70" t="str">
        <f>VLOOKUP(B30,'MAQUINARIA Y EQUIPOS  '!C12:F100,2,FALSE)</f>
        <v>CAMIONETA D300</v>
      </c>
      <c r="D30" s="75" t="s">
        <v>342</v>
      </c>
      <c r="E30" s="70">
        <v>1</v>
      </c>
      <c r="F30" s="70">
        <v>19</v>
      </c>
      <c r="G30" s="102">
        <v>151500</v>
      </c>
      <c r="H30" s="103">
        <f>+G30*E30</f>
        <v>151500</v>
      </c>
      <c r="I30" s="301"/>
    </row>
    <row r="31" spans="2:9">
      <c r="B31" s="71"/>
      <c r="C31" s="71"/>
      <c r="D31" s="82"/>
      <c r="E31" s="71"/>
      <c r="F31" s="71"/>
      <c r="G31" s="86"/>
      <c r="H31" s="86"/>
      <c r="I31" s="301"/>
    </row>
    <row r="32" spans="2:9" ht="12">
      <c r="B32" s="89"/>
      <c r="C32" s="89"/>
      <c r="D32" s="89"/>
      <c r="E32" s="89"/>
      <c r="F32" s="89"/>
      <c r="G32" s="302" t="s">
        <v>64</v>
      </c>
      <c r="H32" s="302"/>
      <c r="I32" s="104">
        <f>+H30</f>
        <v>151500</v>
      </c>
    </row>
    <row r="33" spans="2:12" ht="12">
      <c r="B33" s="78"/>
      <c r="C33" s="289" t="s">
        <v>75</v>
      </c>
      <c r="D33" s="289"/>
      <c r="E33" s="78"/>
      <c r="F33" s="78"/>
      <c r="G33" s="78"/>
      <c r="H33" s="78"/>
      <c r="I33" s="79"/>
    </row>
    <row r="34" spans="2:12" ht="12">
      <c r="B34" s="105" t="s">
        <v>42</v>
      </c>
      <c r="C34" s="105" t="s">
        <v>76</v>
      </c>
      <c r="D34" s="105" t="s">
        <v>1225</v>
      </c>
      <c r="E34" s="105" t="s">
        <v>1</v>
      </c>
      <c r="F34" s="105" t="s">
        <v>77</v>
      </c>
      <c r="G34" s="105" t="s">
        <v>78</v>
      </c>
      <c r="H34" s="105" t="s">
        <v>79</v>
      </c>
      <c r="I34" s="294"/>
    </row>
    <row r="35" spans="2:12" ht="30" customHeight="1">
      <c r="B35" s="106" t="s">
        <v>69</v>
      </c>
      <c r="C35" s="106" t="str">
        <f>+VLOOKUP(B35,'MANO DE OBRA '!B23:G46,2,FALSE)</f>
        <v>Electricista</v>
      </c>
      <c r="D35" s="106">
        <v>1</v>
      </c>
      <c r="E35" s="106" t="str">
        <f>+VLOOKUP(B35,'MANO DE OBRA '!B23:G46,4,FALSE)</f>
        <v>Dia</v>
      </c>
      <c r="F35" s="86">
        <f>+VLOOKUP(B35,'MANO DE OBRA '!B23:G46,3,FALSE)</f>
        <v>213000</v>
      </c>
      <c r="G35" s="121">
        <v>0.8</v>
      </c>
      <c r="H35" s="94">
        <f>F35*G35*D35</f>
        <v>170400</v>
      </c>
      <c r="I35" s="294"/>
    </row>
    <row r="36" spans="2:12" ht="30" customHeight="1">
      <c r="B36" s="106" t="s">
        <v>70</v>
      </c>
      <c r="C36" s="106" t="str">
        <f>+VLOOKUP(B36,'MANO DE OBRA '!B24:G47,2,FALSE)</f>
        <v>Ayudante Electrico</v>
      </c>
      <c r="D36" s="106">
        <v>1</v>
      </c>
      <c r="E36" s="106" t="str">
        <f>+VLOOKUP(B36,'MANO DE OBRA '!B24:G47,4,FALSE)</f>
        <v>Dia</v>
      </c>
      <c r="F36" s="86">
        <f>+VLOOKUP(B36,'MANO DE OBRA '!B24:G47,3,FALSE)</f>
        <v>142000</v>
      </c>
      <c r="G36" s="121">
        <v>0.8</v>
      </c>
      <c r="H36" s="94">
        <f>F36*G36*D36</f>
        <v>113600</v>
      </c>
      <c r="I36" s="294"/>
    </row>
    <row r="37" spans="2:12">
      <c r="B37" s="106"/>
      <c r="C37" s="106"/>
      <c r="D37" s="106"/>
      <c r="E37" s="106"/>
      <c r="F37" s="86"/>
      <c r="G37" s="121"/>
      <c r="H37" s="94"/>
      <c r="I37" s="294"/>
    </row>
    <row r="38" spans="2:12" ht="12">
      <c r="B38" s="108"/>
      <c r="C38" s="109"/>
      <c r="D38" s="109"/>
      <c r="E38" s="109"/>
      <c r="F38" s="110"/>
      <c r="G38" s="110"/>
      <c r="H38" s="111" t="s">
        <v>64</v>
      </c>
      <c r="I38" s="112">
        <f>SUM(H35:H37)</f>
        <v>284000</v>
      </c>
      <c r="L38" s="53"/>
    </row>
    <row r="39" spans="2:12" ht="12">
      <c r="B39" s="295" t="s">
        <v>83</v>
      </c>
      <c r="C39" s="296"/>
      <c r="D39" s="297" t="s">
        <v>77</v>
      </c>
      <c r="E39" s="298"/>
      <c r="F39" s="298"/>
      <c r="G39" s="298"/>
      <c r="H39" s="299"/>
      <c r="I39" s="113">
        <f>SUM(I20+I32+I27+I38)</f>
        <v>1884390.1027500001</v>
      </c>
      <c r="K39" s="43"/>
    </row>
  </sheetData>
  <mergeCells count="37">
    <mergeCell ref="I34:I37"/>
    <mergeCell ref="B39:C39"/>
    <mergeCell ref="D39:H39"/>
    <mergeCell ref="G25:H25"/>
    <mergeCell ref="G27:H27"/>
    <mergeCell ref="C28:D28"/>
    <mergeCell ref="I29:I31"/>
    <mergeCell ref="G32:H32"/>
    <mergeCell ref="C33:D33"/>
    <mergeCell ref="C22:D22"/>
    <mergeCell ref="I22:I24"/>
    <mergeCell ref="C23:D23"/>
    <mergeCell ref="C24:D24"/>
    <mergeCell ref="C17:D17"/>
    <mergeCell ref="I17:I19"/>
    <mergeCell ref="C18:D18"/>
    <mergeCell ref="C19:D19"/>
    <mergeCell ref="C21:D21"/>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671EA-1DA2-4B46-84BD-7E0D7B4A599C}">
  <sheetPr codeName="Hoja65"/>
  <dimension ref="B3:L48"/>
  <sheetViews>
    <sheetView topLeftCell="A25" zoomScale="89" zoomScaleNormal="89" workbookViewId="0">
      <selection activeCell="O21" sqref="O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11</v>
      </c>
      <c r="E9" s="276" t="s">
        <v>31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11.2</v>
      </c>
      <c r="C13" s="283" t="s">
        <v>1953</v>
      </c>
      <c r="D13" s="284"/>
      <c r="E13" s="284"/>
      <c r="F13" s="285"/>
      <c r="G13" s="286" t="s">
        <v>27</v>
      </c>
      <c r="H13" s="286"/>
      <c r="I13" s="114">
        <v>75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0.03</v>
      </c>
      <c r="H19" s="85">
        <v>147</v>
      </c>
      <c r="I19" s="287"/>
    </row>
    <row r="20" spans="2:9" ht="12">
      <c r="B20" s="89"/>
      <c r="C20" s="89"/>
      <c r="D20" s="89"/>
      <c r="E20" s="89"/>
      <c r="F20" s="89"/>
      <c r="G20" s="89"/>
      <c r="H20" s="89" t="s">
        <v>64</v>
      </c>
      <c r="I20" s="90">
        <f>SUM(H18:H19)</f>
        <v>1218.4000000000001</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1363</v>
      </c>
      <c r="C23" s="290" t="str">
        <f>+VLOOKUP(B23,'INSUMOS '!C531:G605,2,FALSE)</f>
        <v>TUBERIA IMC DE 3/4</v>
      </c>
      <c r="D23" s="291"/>
      <c r="E23" s="97" t="str">
        <f>+VLOOKUP(B23,'INSUMOS '!C531:G605,3,FALSE)</f>
        <v xml:space="preserve">ML </v>
      </c>
      <c r="F23" s="117">
        <f>+VLOOKUP(B23,'INSUMOS '!C531:G605,4,FALSE)</f>
        <v>17583.330000000002</v>
      </c>
      <c r="G23" s="92">
        <v>1</v>
      </c>
      <c r="H23" s="83">
        <f t="shared" ref="H23:H33" si="0">+G23*F23</f>
        <v>17583.330000000002</v>
      </c>
      <c r="I23" s="287"/>
    </row>
    <row r="24" spans="2:9">
      <c r="B24" s="71" t="s">
        <v>1365</v>
      </c>
      <c r="C24" s="290" t="str">
        <f>+VLOOKUP(B24,'INSUMOS '!C531:G605,2,FALSE)</f>
        <v>CURVA IMC DE 3/4</v>
      </c>
      <c r="D24" s="291"/>
      <c r="E24" s="97" t="str">
        <f>+VLOOKUP(B24,'INSUMOS '!C531:G605,3,FALSE)</f>
        <v xml:space="preserve">UND </v>
      </c>
      <c r="F24" s="117">
        <f>+VLOOKUP(B24,'INSUMOS '!C531:G605,4,FALSE)</f>
        <v>7000</v>
      </c>
      <c r="G24" s="92">
        <v>0.06</v>
      </c>
      <c r="H24" s="83">
        <f t="shared" si="0"/>
        <v>420</v>
      </c>
      <c r="I24" s="287"/>
    </row>
    <row r="25" spans="2:9">
      <c r="B25" s="71" t="s">
        <v>1367</v>
      </c>
      <c r="C25" s="290" t="str">
        <f>+VLOOKUP(B25,'INSUMOS '!C531:G605,2,FALSE)</f>
        <v>UNION IMC 3/4</v>
      </c>
      <c r="D25" s="291"/>
      <c r="E25" s="97" t="str">
        <f>+VLOOKUP(B25,'INSUMOS '!C531:G605,3,FALSE)</f>
        <v xml:space="preserve">UND </v>
      </c>
      <c r="F25" s="117">
        <f>+VLOOKUP(B25,'INSUMOS '!C531:G605,4,FALSE)</f>
        <v>2500</v>
      </c>
      <c r="G25" s="92">
        <v>0.33</v>
      </c>
      <c r="H25" s="83">
        <f t="shared" si="0"/>
        <v>825</v>
      </c>
      <c r="I25" s="287"/>
    </row>
    <row r="26" spans="2:9">
      <c r="B26" s="71" t="s">
        <v>1369</v>
      </c>
      <c r="C26" s="290" t="str">
        <f>+VLOOKUP(B26,'INSUMOS '!C531:G605,2,FALSE)</f>
        <v>CONECTOR IMC de 3/4"</v>
      </c>
      <c r="D26" s="291"/>
      <c r="E26" s="97" t="str">
        <f>+VLOOKUP(B26,'INSUMOS '!C531:G605,3,FALSE)</f>
        <v xml:space="preserve">UND </v>
      </c>
      <c r="F26" s="117">
        <f>+VLOOKUP(B26,'INSUMOS '!C531:G605,4,FALSE)</f>
        <v>12019</v>
      </c>
      <c r="G26" s="92">
        <v>0.2</v>
      </c>
      <c r="H26" s="83">
        <f t="shared" si="0"/>
        <v>2403.8000000000002</v>
      </c>
      <c r="I26" s="287"/>
    </row>
    <row r="27" spans="2:9">
      <c r="B27" s="71" t="s">
        <v>1371</v>
      </c>
      <c r="C27" s="290" t="str">
        <f>+VLOOKUP(B27,'INSUMOS '!C531:G605,2,FALSE)</f>
        <v xml:space="preserve">CAJA 4X4 EMT RAWELT CON TAPA </v>
      </c>
      <c r="D27" s="291"/>
      <c r="E27" s="97" t="str">
        <f>+VLOOKUP(B27,'INSUMOS '!C531:G605,3,FALSE)</f>
        <v xml:space="preserve">UD </v>
      </c>
      <c r="F27" s="117">
        <f>+VLOOKUP(B27,'INSUMOS '!C531:G605,4,FALSE)</f>
        <v>26000</v>
      </c>
      <c r="G27" s="92">
        <v>7.0000000000000007E-2</v>
      </c>
      <c r="H27" s="83">
        <f t="shared" si="0"/>
        <v>1820.0000000000002</v>
      </c>
      <c r="I27" s="287"/>
    </row>
    <row r="28" spans="2:9">
      <c r="B28" s="71" t="s">
        <v>1374</v>
      </c>
      <c r="C28" s="290" t="str">
        <f>+VLOOKUP(B28,'INSUMOS '!C531:G605,2,FALSE)</f>
        <v>PERNO MULTIUSOS 3/8</v>
      </c>
      <c r="D28" s="291"/>
      <c r="E28" s="97" t="str">
        <f>+VLOOKUP(B28,'INSUMOS '!C531:G605,3,FALSE)</f>
        <v xml:space="preserve">UND </v>
      </c>
      <c r="F28" s="117">
        <f>+VLOOKUP(B28,'INSUMOS '!C531:G605,4,FALSE)</f>
        <v>1000</v>
      </c>
      <c r="G28" s="92">
        <v>0.67</v>
      </c>
      <c r="H28" s="83">
        <f t="shared" si="0"/>
        <v>670</v>
      </c>
      <c r="I28" s="287"/>
    </row>
    <row r="29" spans="2:9">
      <c r="B29" s="71" t="s">
        <v>1377</v>
      </c>
      <c r="C29" s="290" t="str">
        <f>+VLOOKUP(B29,'INSUMOS '!C531:G605,2,FALSE)</f>
        <v>VARILLA ROSCADA 3/8 X 1M</v>
      </c>
      <c r="D29" s="291"/>
      <c r="E29" s="97" t="str">
        <f>+VLOOKUP(B29,'INSUMOS '!C531:G605,3,FALSE)</f>
        <v>ML</v>
      </c>
      <c r="F29" s="117">
        <f>+VLOOKUP(B29,'INSUMOS '!C531:G605,4,FALSE)</f>
        <v>12000</v>
      </c>
      <c r="G29" s="92">
        <v>0.22</v>
      </c>
      <c r="H29" s="83">
        <f t="shared" si="0"/>
        <v>2640</v>
      </c>
      <c r="I29" s="287"/>
    </row>
    <row r="30" spans="2:9">
      <c r="B30" s="71" t="s">
        <v>1378</v>
      </c>
      <c r="C30" s="290" t="str">
        <f>+VLOOKUP(B30,'INSUMOS '!C529:G603,2,FALSE)</f>
        <v>GRAPA TIPO CHANNEL PARA TUBO DE 3/4" COMPLETA CON TORNILLO Y TUERCA</v>
      </c>
      <c r="D30" s="291"/>
      <c r="E30" s="97" t="str">
        <f>+VLOOKUP(B30,'INSUMOS '!C529:G603,3,FALSE)</f>
        <v xml:space="preserve">UND </v>
      </c>
      <c r="F30" s="117">
        <f>+VLOOKUP(B30,'INSUMOS '!C529:G603,4,FALSE)</f>
        <v>2000</v>
      </c>
      <c r="G30" s="92">
        <v>0.67</v>
      </c>
      <c r="H30" s="83">
        <f t="shared" si="0"/>
        <v>1340</v>
      </c>
      <c r="I30" s="287"/>
    </row>
    <row r="31" spans="2:9">
      <c r="B31" s="71" t="s">
        <v>1380</v>
      </c>
      <c r="C31" s="290" t="str">
        <f>+VLOOKUP(B31,'INSUMOS '!C539:G650,2,FALSE)</f>
        <v>RIEL CHANNEL RANURADO</v>
      </c>
      <c r="D31" s="291"/>
      <c r="E31" s="97" t="str">
        <f>+VLOOKUP(B31,'INSUMOS '!C537:G611,3,FALSE)</f>
        <v>ML</v>
      </c>
      <c r="F31" s="117">
        <f>+VLOOKUP(B31,'INSUMOS '!C537:G611,4,FALSE)</f>
        <v>23000</v>
      </c>
      <c r="G31" s="92">
        <v>7.0000000000000007E-2</v>
      </c>
      <c r="H31" s="83">
        <f t="shared" si="0"/>
        <v>1610.0000000000002</v>
      </c>
      <c r="I31" s="287"/>
    </row>
    <row r="32" spans="2:9">
      <c r="B32" s="71" t="s">
        <v>1382</v>
      </c>
      <c r="C32" s="290" t="str">
        <f>+VLOOKUP(B32,'INSUMOS '!C539:G650,2,FALSE)</f>
        <v>TUERCA Y ARANDELA PARA VARILLA 3/8</v>
      </c>
      <c r="D32" s="291"/>
      <c r="E32" s="97" t="str">
        <f>+VLOOKUP(B32,'INSUMOS '!C537:G611,3,FALSE)</f>
        <v xml:space="preserve">UND </v>
      </c>
      <c r="F32" s="117">
        <f>+VLOOKUP(B32,'INSUMOS '!C537:G611,4,FALSE)</f>
        <v>500</v>
      </c>
      <c r="G32" s="92">
        <v>0.67</v>
      </c>
      <c r="H32" s="83">
        <f t="shared" si="0"/>
        <v>335</v>
      </c>
      <c r="I32" s="287"/>
    </row>
    <row r="33" spans="2:12">
      <c r="B33" s="71" t="s">
        <v>1384</v>
      </c>
      <c r="C33" s="290" t="str">
        <f>+VLOOKUP(B33,'INSUMOS '!C539:G650,2,FALSE)</f>
        <v>MARCACIÓN DE TUBERÍA CON PAPEL CONTACT DE COLOR SISTEMA</v>
      </c>
      <c r="D33" s="291"/>
      <c r="E33" s="97" t="str">
        <f>+VLOOKUP(B33,'INSUMOS '!C537:G611,3,FALSE)</f>
        <v xml:space="preserve">UND </v>
      </c>
      <c r="F33" s="117">
        <f>+VLOOKUP(B33,'INSUMOS '!C537:G611,4,FALSE)</f>
        <v>600</v>
      </c>
      <c r="G33" s="92">
        <v>1</v>
      </c>
      <c r="H33" s="83">
        <f t="shared" si="0"/>
        <v>600</v>
      </c>
      <c r="I33" s="287"/>
    </row>
    <row r="34" spans="2:12" ht="12">
      <c r="B34" s="89"/>
      <c r="C34" s="89"/>
      <c r="D34" s="89"/>
      <c r="E34" s="89"/>
      <c r="F34" s="89"/>
      <c r="G34" s="258" t="s">
        <v>64</v>
      </c>
      <c r="H34" s="258"/>
      <c r="I34" s="85">
        <f>SUM(H23:H33)</f>
        <v>30247.13</v>
      </c>
    </row>
    <row r="35" spans="2:12" ht="12">
      <c r="B35" s="89"/>
      <c r="C35" s="89"/>
      <c r="D35" s="89"/>
      <c r="E35" s="89"/>
      <c r="F35" s="89"/>
      <c r="G35" s="99" t="s">
        <v>72</v>
      </c>
      <c r="H35" s="100">
        <v>0.05</v>
      </c>
      <c r="I35" s="120">
        <f>I34*H35</f>
        <v>1512.3565000000001</v>
      </c>
    </row>
    <row r="36" spans="2:12" ht="12">
      <c r="B36" s="89"/>
      <c r="C36" s="89"/>
      <c r="D36" s="89"/>
      <c r="E36" s="89"/>
      <c r="F36" s="89"/>
      <c r="G36" s="258" t="s">
        <v>73</v>
      </c>
      <c r="H36" s="258"/>
      <c r="I36" s="90">
        <f>SUM(I34:I35)</f>
        <v>31759.486500000003</v>
      </c>
    </row>
    <row r="37" spans="2:12" ht="12">
      <c r="B37" s="78"/>
      <c r="C37" s="289" t="s">
        <v>74</v>
      </c>
      <c r="D37" s="289"/>
      <c r="E37" s="78"/>
      <c r="F37" s="78"/>
      <c r="G37" s="78"/>
      <c r="H37" s="78"/>
      <c r="I37" s="79"/>
    </row>
    <row r="38" spans="2:12" ht="12">
      <c r="B38" s="70" t="s">
        <v>42</v>
      </c>
      <c r="C38" s="70" t="s">
        <v>58</v>
      </c>
      <c r="D38" s="70" t="s">
        <v>342</v>
      </c>
      <c r="E38" s="70" t="s">
        <v>343</v>
      </c>
      <c r="F38" s="70" t="s">
        <v>344</v>
      </c>
      <c r="G38" s="70" t="s">
        <v>1278</v>
      </c>
      <c r="H38" s="74" t="s">
        <v>61</v>
      </c>
      <c r="I38" s="300"/>
    </row>
    <row r="39" spans="2:12" ht="12">
      <c r="B39" s="70" t="s">
        <v>274</v>
      </c>
      <c r="C39" s="70" t="str">
        <f>VLOOKUP(B39,'MAQUINARIA Y EQUIPOS  '!C12:F100,2,FALSE)</f>
        <v>CAMIONETA D300</v>
      </c>
      <c r="D39" s="75" t="s">
        <v>342</v>
      </c>
      <c r="E39" s="70">
        <v>1</v>
      </c>
      <c r="F39" s="70">
        <v>19</v>
      </c>
      <c r="G39" s="102">
        <v>17675</v>
      </c>
      <c r="H39" s="103">
        <f>+G39*E39</f>
        <v>17675</v>
      </c>
      <c r="I39" s="301"/>
    </row>
    <row r="40" spans="2:12">
      <c r="B40" s="71"/>
      <c r="C40" s="71"/>
      <c r="D40" s="82"/>
      <c r="E40" s="71"/>
      <c r="F40" s="71"/>
      <c r="G40" s="86"/>
      <c r="H40" s="86"/>
      <c r="I40" s="301"/>
    </row>
    <row r="41" spans="2:12" ht="12">
      <c r="B41" s="89"/>
      <c r="C41" s="89"/>
      <c r="D41" s="89"/>
      <c r="E41" s="89"/>
      <c r="F41" s="89"/>
      <c r="G41" s="302" t="s">
        <v>64</v>
      </c>
      <c r="H41" s="302"/>
      <c r="I41" s="104">
        <f>+H39</f>
        <v>17675</v>
      </c>
    </row>
    <row r="42" spans="2:12" ht="12">
      <c r="B42" s="78"/>
      <c r="C42" s="289" t="s">
        <v>75</v>
      </c>
      <c r="D42" s="289"/>
      <c r="E42" s="78"/>
      <c r="F42" s="78"/>
      <c r="G42" s="78"/>
      <c r="H42" s="78"/>
      <c r="I42" s="79"/>
    </row>
    <row r="43" spans="2:12" ht="12">
      <c r="B43" s="105" t="s">
        <v>42</v>
      </c>
      <c r="C43" s="105" t="s">
        <v>76</v>
      </c>
      <c r="D43" s="105" t="s">
        <v>1225</v>
      </c>
      <c r="E43" s="105" t="s">
        <v>1</v>
      </c>
      <c r="F43" s="105" t="s">
        <v>77</v>
      </c>
      <c r="G43" s="105" t="s">
        <v>78</v>
      </c>
      <c r="H43" s="105" t="s">
        <v>79</v>
      </c>
      <c r="I43" s="294"/>
    </row>
    <row r="44" spans="2:12" ht="30" customHeight="1">
      <c r="B44" s="106" t="s">
        <v>359</v>
      </c>
      <c r="C44" s="106" t="str">
        <f>+VLOOKUP(B44,'MANO DE OBRA '!B23:G46,2,FALSE)</f>
        <v xml:space="preserve"> Cuadrilla de construccion 2 (1 oficial+ 2 ayudante)</v>
      </c>
      <c r="D44" s="106">
        <v>1</v>
      </c>
      <c r="E44" s="106" t="str">
        <f>+VLOOKUP(B44,'MANO DE OBRA '!B23:G46,4,FALSE)</f>
        <v>Hora</v>
      </c>
      <c r="F44" s="86">
        <f>+VLOOKUP(B44,'MANO DE OBRA '!B23:G46,3,FALSE)</f>
        <v>66187.5</v>
      </c>
      <c r="G44" s="121">
        <v>0.60899999999999999</v>
      </c>
      <c r="H44" s="94">
        <f>F44*G44*D44</f>
        <v>40308.1875</v>
      </c>
      <c r="I44" s="294"/>
    </row>
    <row r="45" spans="2:12" ht="30" customHeight="1">
      <c r="B45" s="106"/>
      <c r="C45" s="106"/>
      <c r="D45" s="106"/>
      <c r="E45" s="106"/>
      <c r="F45" s="86"/>
      <c r="G45" s="121"/>
      <c r="H45" s="94"/>
      <c r="I45" s="294"/>
    </row>
    <row r="46" spans="2:12">
      <c r="B46" s="106"/>
      <c r="C46" s="106"/>
      <c r="D46" s="106"/>
      <c r="E46" s="106"/>
      <c r="F46" s="86"/>
      <c r="G46" s="121"/>
      <c r="H46" s="94"/>
      <c r="I46" s="294"/>
    </row>
    <row r="47" spans="2:12" ht="12">
      <c r="B47" s="108"/>
      <c r="C47" s="109"/>
      <c r="D47" s="109"/>
      <c r="E47" s="109"/>
      <c r="F47" s="110"/>
      <c r="G47" s="110"/>
      <c r="H47" s="111" t="s">
        <v>64</v>
      </c>
      <c r="I47" s="112">
        <f>SUM(H44:H46)</f>
        <v>40308.1875</v>
      </c>
      <c r="L47" s="53"/>
    </row>
    <row r="48" spans="2:12" ht="12">
      <c r="B48" s="295" t="s">
        <v>83</v>
      </c>
      <c r="C48" s="296"/>
      <c r="D48" s="297" t="s">
        <v>77</v>
      </c>
      <c r="E48" s="298"/>
      <c r="F48" s="298"/>
      <c r="G48" s="298"/>
      <c r="H48" s="299"/>
      <c r="I48" s="113">
        <f>SUM(I20+I41+I36+I47)</f>
        <v>90961.074000000008</v>
      </c>
    </row>
  </sheetData>
  <mergeCells count="46">
    <mergeCell ref="C42:D42"/>
    <mergeCell ref="C28:D28"/>
    <mergeCell ref="C29:D29"/>
    <mergeCell ref="C31:D31"/>
    <mergeCell ref="C30:D30"/>
    <mergeCell ref="C32:D32"/>
    <mergeCell ref="I43:I46"/>
    <mergeCell ref="B48:C48"/>
    <mergeCell ref="D48:H48"/>
    <mergeCell ref="C22:D22"/>
    <mergeCell ref="I22:I33"/>
    <mergeCell ref="C23:D23"/>
    <mergeCell ref="G34:H34"/>
    <mergeCell ref="G36:H36"/>
    <mergeCell ref="C24:D24"/>
    <mergeCell ref="C25:D25"/>
    <mergeCell ref="C26:D26"/>
    <mergeCell ref="C27:D27"/>
    <mergeCell ref="C33:D33"/>
    <mergeCell ref="C37:D37"/>
    <mergeCell ref="I38:I40"/>
    <mergeCell ref="G41:H41"/>
    <mergeCell ref="C17:D17"/>
    <mergeCell ref="I17:I19"/>
    <mergeCell ref="C18:D18"/>
    <mergeCell ref="C19:D19"/>
    <mergeCell ref="C21:D21"/>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D79A9-E102-48BD-BEEC-686311083615}">
  <sheetPr codeName="Hoja66"/>
  <dimension ref="B3:M39"/>
  <sheetViews>
    <sheetView topLeftCell="A15" zoomScale="89" zoomScaleNormal="89" workbookViewId="0">
      <selection activeCell="K19" sqref="K19:K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bestFit="1" customWidth="1"/>
    <col min="10" max="10" width="11.3984375" style="11"/>
    <col min="11" max="11" width="14.09765625" style="11" bestFit="1" customWidth="1"/>
    <col min="12"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11</v>
      </c>
      <c r="E9" s="276" t="s">
        <v>31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1.75" customHeight="1">
      <c r="B13" s="17">
        <v>11.3</v>
      </c>
      <c r="C13" s="283" t="s">
        <v>1954</v>
      </c>
      <c r="D13" s="284"/>
      <c r="E13" s="284"/>
      <c r="F13" s="285"/>
      <c r="G13" s="286" t="s">
        <v>170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1</v>
      </c>
      <c r="H19" s="85">
        <f>F19*G19</f>
        <v>10500</v>
      </c>
      <c r="I19" s="287"/>
    </row>
    <row r="20" spans="2:9" ht="12">
      <c r="B20" s="89"/>
      <c r="C20" s="89"/>
      <c r="D20" s="89"/>
      <c r="E20" s="89"/>
      <c r="F20" s="89"/>
      <c r="G20" s="89"/>
      <c r="H20" s="89" t="s">
        <v>64</v>
      </c>
      <c r="I20" s="90">
        <f>SUM(H18:H19)</f>
        <v>11571.4</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1386</v>
      </c>
      <c r="C23" s="290" t="str">
        <f>+VLOOKUP(B23,'INSUMOS '!C531:G605,2,FALSE)</f>
        <v xml:space="preserve">MONITOR INTERACTIVO DE 86 CON CAMARA </v>
      </c>
      <c r="D23" s="291"/>
      <c r="E23" s="97" t="str">
        <f>+VLOOKUP(B23,'INSUMOS '!C531:G605,3,FALSE)</f>
        <v xml:space="preserve">UND </v>
      </c>
      <c r="F23" s="117">
        <f>+VLOOKUP(B23,'INSUMOS '!C531:G605,4,FALSE)*1.19</f>
        <v>49765800</v>
      </c>
      <c r="G23" s="92">
        <v>1</v>
      </c>
      <c r="H23" s="83">
        <f>+G23*F23</f>
        <v>49765800</v>
      </c>
      <c r="I23" s="287"/>
    </row>
    <row r="24" spans="2:9">
      <c r="B24" s="71"/>
      <c r="C24" s="290"/>
      <c r="D24" s="291"/>
      <c r="E24" s="97"/>
      <c r="F24" s="117"/>
      <c r="G24" s="92"/>
      <c r="H24" s="83"/>
      <c r="I24" s="287"/>
    </row>
    <row r="25" spans="2:9" ht="12">
      <c r="B25" s="89"/>
      <c r="C25" s="89"/>
      <c r="D25" s="89"/>
      <c r="E25" s="89"/>
      <c r="F25" s="89"/>
      <c r="G25" s="258" t="s">
        <v>64</v>
      </c>
      <c r="H25" s="258"/>
      <c r="I25" s="85">
        <f>SUM(H23:H24)</f>
        <v>49765800</v>
      </c>
    </row>
    <row r="26" spans="2:9" ht="12">
      <c r="B26" s="89"/>
      <c r="C26" s="89"/>
      <c r="D26" s="89"/>
      <c r="E26" s="89"/>
      <c r="F26" s="89"/>
      <c r="G26" s="99" t="s">
        <v>72</v>
      </c>
      <c r="H26" s="100"/>
      <c r="I26" s="120">
        <f>I25*H26</f>
        <v>0</v>
      </c>
    </row>
    <row r="27" spans="2:9" ht="12">
      <c r="B27" s="89"/>
      <c r="C27" s="89"/>
      <c r="D27" s="89"/>
      <c r="E27" s="89"/>
      <c r="F27" s="89"/>
      <c r="G27" s="258" t="s">
        <v>73</v>
      </c>
      <c r="H27" s="258"/>
      <c r="I27" s="90">
        <f>SUM(I25:I26)</f>
        <v>49765800</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c r="C30" s="70"/>
      <c r="D30" s="75"/>
      <c r="E30" s="70"/>
      <c r="F30" s="70"/>
      <c r="G30" s="102"/>
      <c r="H30" s="103"/>
      <c r="I30" s="301"/>
    </row>
    <row r="31" spans="2:9">
      <c r="B31" s="71"/>
      <c r="C31" s="71"/>
      <c r="D31" s="82"/>
      <c r="E31" s="71"/>
      <c r="F31" s="71"/>
      <c r="G31" s="86"/>
      <c r="H31" s="86"/>
      <c r="I31" s="301"/>
    </row>
    <row r="32" spans="2:9" ht="12">
      <c r="B32" s="89"/>
      <c r="C32" s="89"/>
      <c r="D32" s="89"/>
      <c r="E32" s="89"/>
      <c r="F32" s="89"/>
      <c r="G32" s="302" t="s">
        <v>64</v>
      </c>
      <c r="H32" s="302"/>
      <c r="I32" s="104">
        <f>+H30</f>
        <v>0</v>
      </c>
    </row>
    <row r="33" spans="2:13" ht="12">
      <c r="B33" s="78"/>
      <c r="C33" s="289" t="s">
        <v>75</v>
      </c>
      <c r="D33" s="289"/>
      <c r="E33" s="78"/>
      <c r="F33" s="78"/>
      <c r="G33" s="78"/>
      <c r="H33" s="78"/>
      <c r="I33" s="79"/>
    </row>
    <row r="34" spans="2:13" ht="12">
      <c r="B34" s="105" t="s">
        <v>42</v>
      </c>
      <c r="C34" s="105" t="s">
        <v>76</v>
      </c>
      <c r="D34" s="105" t="s">
        <v>1225</v>
      </c>
      <c r="E34" s="105" t="s">
        <v>1</v>
      </c>
      <c r="F34" s="105" t="s">
        <v>77</v>
      </c>
      <c r="G34" s="105" t="s">
        <v>78</v>
      </c>
      <c r="H34" s="105" t="s">
        <v>79</v>
      </c>
      <c r="I34" s="294"/>
    </row>
    <row r="35" spans="2:13" ht="30" customHeight="1">
      <c r="B35" s="106" t="s">
        <v>69</v>
      </c>
      <c r="C35" s="106" t="str">
        <f>+VLOOKUP(B35,'MANO DE OBRA '!B23:G46,2,FALSE)</f>
        <v>Electricista</v>
      </c>
      <c r="D35" s="106">
        <v>1</v>
      </c>
      <c r="E35" s="106" t="str">
        <f>+VLOOKUP(B35,'MANO DE OBRA '!B23:G46,4,FALSE)</f>
        <v>Dia</v>
      </c>
      <c r="F35" s="86">
        <f>+VLOOKUP(B35,'MANO DE OBRA '!B23:G46,3,FALSE)</f>
        <v>213000</v>
      </c>
      <c r="G35" s="121">
        <v>1.5</v>
      </c>
      <c r="H35" s="94">
        <f>F35*G35*D35</f>
        <v>319500</v>
      </c>
      <c r="I35" s="294"/>
    </row>
    <row r="36" spans="2:13" ht="30" customHeight="1">
      <c r="B36" s="106" t="s">
        <v>70</v>
      </c>
      <c r="C36" s="106" t="str">
        <f>+VLOOKUP(B36,'MANO DE OBRA '!B24:G47,2,FALSE)</f>
        <v>Ayudante Electrico</v>
      </c>
      <c r="D36" s="106">
        <v>1</v>
      </c>
      <c r="E36" s="106" t="str">
        <f>+VLOOKUP(B36,'MANO DE OBRA '!B24:G47,4,FALSE)</f>
        <v>Dia</v>
      </c>
      <c r="F36" s="86">
        <f>+VLOOKUP(B36,'MANO DE OBRA '!B24:G47,3,FALSE)</f>
        <v>142000</v>
      </c>
      <c r="G36" s="121">
        <v>1.5</v>
      </c>
      <c r="H36" s="94">
        <f>F36*G36*D36</f>
        <v>213000</v>
      </c>
      <c r="I36" s="294"/>
    </row>
    <row r="37" spans="2:13">
      <c r="B37" s="106"/>
      <c r="C37" s="106"/>
      <c r="D37" s="106"/>
      <c r="E37" s="106"/>
      <c r="F37" s="86"/>
      <c r="G37" s="121"/>
      <c r="H37" s="94"/>
      <c r="I37" s="294"/>
    </row>
    <row r="38" spans="2:13" ht="12">
      <c r="B38" s="108"/>
      <c r="C38" s="109"/>
      <c r="D38" s="109"/>
      <c r="E38" s="109"/>
      <c r="F38" s="110"/>
      <c r="G38" s="110"/>
      <c r="H38" s="111" t="s">
        <v>64</v>
      </c>
      <c r="I38" s="112">
        <f>SUM(H35:H37)</f>
        <v>532500</v>
      </c>
      <c r="L38" s="53"/>
    </row>
    <row r="39" spans="2:13" ht="12">
      <c r="B39" s="295" t="s">
        <v>83</v>
      </c>
      <c r="C39" s="296"/>
      <c r="D39" s="297" t="s">
        <v>77</v>
      </c>
      <c r="E39" s="298"/>
      <c r="F39" s="298"/>
      <c r="G39" s="298"/>
      <c r="H39" s="299"/>
      <c r="I39" s="113">
        <f>SUM(I20+I32+I27+I38)</f>
        <v>50309871.399999999</v>
      </c>
      <c r="K39" s="43"/>
      <c r="M39" s="53"/>
    </row>
  </sheetData>
  <mergeCells count="37">
    <mergeCell ref="G32:H32"/>
    <mergeCell ref="C33:D33"/>
    <mergeCell ref="I34:I37"/>
    <mergeCell ref="B39:C39"/>
    <mergeCell ref="D39:H39"/>
    <mergeCell ref="G25:H25"/>
    <mergeCell ref="G27:H27"/>
    <mergeCell ref="C28:D28"/>
    <mergeCell ref="I29:I31"/>
    <mergeCell ref="C17:D17"/>
    <mergeCell ref="I17:I19"/>
    <mergeCell ref="C18:D18"/>
    <mergeCell ref="C19:D19"/>
    <mergeCell ref="C21:D21"/>
    <mergeCell ref="C22:D22"/>
    <mergeCell ref="I22:I24"/>
    <mergeCell ref="C23:D23"/>
    <mergeCell ref="C24:D24"/>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BAF4-CCD5-404B-8D47-FA103B81D4A0}">
  <sheetPr codeName="Hoja67"/>
  <dimension ref="B3:M40"/>
  <sheetViews>
    <sheetView topLeftCell="A20" zoomScale="89" zoomScaleNormal="89" workbookViewId="0">
      <selection activeCell="L39" sqref="L39"/>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1" width="14.09765625" style="11" bestFit="1" customWidth="1"/>
    <col min="12" max="12" width="13.09765625" style="11" bestFit="1" customWidth="1"/>
    <col min="13"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11</v>
      </c>
      <c r="E9" s="276" t="s">
        <v>31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2" customHeight="1">
      <c r="B13" s="17">
        <v>11.4</v>
      </c>
      <c r="C13" s="283" t="s">
        <v>1955</v>
      </c>
      <c r="D13" s="284"/>
      <c r="E13" s="284"/>
      <c r="F13" s="285"/>
      <c r="G13" s="286" t="s">
        <v>170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3" ht="12">
      <c r="B17" s="70" t="s">
        <v>42</v>
      </c>
      <c r="C17" s="286" t="s">
        <v>58</v>
      </c>
      <c r="D17" s="286"/>
      <c r="E17" s="70" t="s">
        <v>1</v>
      </c>
      <c r="F17" s="80" t="s">
        <v>59</v>
      </c>
      <c r="G17" s="70" t="s">
        <v>60</v>
      </c>
      <c r="H17" s="80" t="s">
        <v>61</v>
      </c>
      <c r="I17" s="287"/>
    </row>
    <row r="18" spans="2:13">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13">
      <c r="B19" s="71" t="s">
        <v>1267</v>
      </c>
      <c r="C19" s="288" t="str">
        <f>VLOOKUP(B19,'MAQUINARIA Y EQUIPOS  '!C8:F96,2,FALSE)</f>
        <v xml:space="preserve">Pluma grua </v>
      </c>
      <c r="D19" s="265"/>
      <c r="E19" s="71" t="str">
        <f>VLOOKUP(B19,'MAQUINARIA Y EQUIPOS  '!C8:F96,3,FALSE)</f>
        <v>HH</v>
      </c>
      <c r="F19" s="83">
        <f>VLOOKUP(B19,'MAQUINARIA Y EQUIPOS  '!C8:F96,4,FALSE)</f>
        <v>10500</v>
      </c>
      <c r="G19" s="122">
        <v>0.1</v>
      </c>
      <c r="H19" s="85">
        <f>F19*G19</f>
        <v>1050</v>
      </c>
      <c r="I19" s="287"/>
    </row>
    <row r="20" spans="2:13" ht="12">
      <c r="B20" s="89"/>
      <c r="C20" s="89"/>
      <c r="D20" s="89"/>
      <c r="E20" s="89"/>
      <c r="F20" s="89"/>
      <c r="G20" s="89"/>
      <c r="H20" s="89" t="s">
        <v>64</v>
      </c>
      <c r="I20" s="90">
        <f>SUM(H18:H19)</f>
        <v>2121.4</v>
      </c>
    </row>
    <row r="21" spans="2:13" ht="12">
      <c r="B21" s="78"/>
      <c r="C21" s="289" t="s">
        <v>65</v>
      </c>
      <c r="D21" s="289"/>
      <c r="E21" s="78"/>
      <c r="F21" s="78"/>
      <c r="G21" s="78"/>
      <c r="H21" s="78"/>
      <c r="I21" s="79"/>
    </row>
    <row r="22" spans="2:13" ht="12">
      <c r="B22" s="70" t="s">
        <v>42</v>
      </c>
      <c r="C22" s="286" t="s">
        <v>58</v>
      </c>
      <c r="D22" s="286"/>
      <c r="E22" s="70" t="s">
        <v>1</v>
      </c>
      <c r="F22" s="80" t="s">
        <v>66</v>
      </c>
      <c r="G22" s="70" t="s">
        <v>67</v>
      </c>
      <c r="H22" s="70" t="s">
        <v>61</v>
      </c>
      <c r="I22" s="287"/>
    </row>
    <row r="23" spans="2:13">
      <c r="B23" s="71"/>
      <c r="C23" s="290" t="s">
        <v>1552</v>
      </c>
      <c r="D23" s="291"/>
      <c r="E23" s="97" t="s">
        <v>1299</v>
      </c>
      <c r="F23" s="43">
        <v>1676966.85</v>
      </c>
      <c r="G23" s="92">
        <v>1</v>
      </c>
      <c r="H23" s="83">
        <f>+G23*F23</f>
        <v>1676966.85</v>
      </c>
      <c r="I23" s="287"/>
    </row>
    <row r="24" spans="2:13">
      <c r="B24" s="71"/>
      <c r="C24" s="290"/>
      <c r="D24" s="291"/>
      <c r="E24" s="97"/>
      <c r="F24" s="117"/>
      <c r="G24" s="92"/>
      <c r="H24" s="83"/>
      <c r="I24" s="287"/>
    </row>
    <row r="25" spans="2:13">
      <c r="B25" s="71"/>
      <c r="C25" s="290"/>
      <c r="D25" s="291"/>
      <c r="E25" s="97"/>
      <c r="F25" s="117"/>
      <c r="G25" s="92"/>
      <c r="H25" s="83"/>
      <c r="I25" s="287"/>
    </row>
    <row r="26" spans="2:13" ht="12">
      <c r="B26" s="89"/>
      <c r="C26" s="89"/>
      <c r="D26" s="89"/>
      <c r="E26" s="89"/>
      <c r="F26" s="89"/>
      <c r="G26" s="258" t="s">
        <v>64</v>
      </c>
      <c r="H26" s="258"/>
      <c r="I26" s="85">
        <f>SUM(H23:H25)</f>
        <v>1676966.85</v>
      </c>
    </row>
    <row r="27" spans="2:13" ht="12">
      <c r="B27" s="89"/>
      <c r="C27" s="89"/>
      <c r="D27" s="89"/>
      <c r="E27" s="89"/>
      <c r="F27" s="89"/>
      <c r="G27" s="99" t="s">
        <v>72</v>
      </c>
      <c r="H27" s="100"/>
      <c r="I27" s="120">
        <f>I26*H27</f>
        <v>0</v>
      </c>
      <c r="L27" s="173"/>
    </row>
    <row r="28" spans="2:13" ht="15">
      <c r="B28" s="89"/>
      <c r="C28" s="89"/>
      <c r="D28" s="89"/>
      <c r="E28" s="89"/>
      <c r="F28" s="89"/>
      <c r="G28" s="258" t="s">
        <v>73</v>
      </c>
      <c r="H28" s="258"/>
      <c r="I28" s="90">
        <f>SUM(I26:I27)</f>
        <v>1676966.85</v>
      </c>
      <c r="K28"/>
      <c r="L28"/>
      <c r="M28"/>
    </row>
    <row r="29" spans="2:13" ht="15">
      <c r="B29" s="78"/>
      <c r="C29" s="289" t="s">
        <v>74</v>
      </c>
      <c r="D29" s="289"/>
      <c r="E29" s="78"/>
      <c r="F29" s="78"/>
      <c r="G29" s="78"/>
      <c r="H29" s="78"/>
      <c r="I29" s="79"/>
      <c r="K29"/>
      <c r="L29"/>
      <c r="M29"/>
    </row>
    <row r="30" spans="2:13" ht="13.8">
      <c r="B30" s="70" t="s">
        <v>42</v>
      </c>
      <c r="C30" s="70" t="s">
        <v>58</v>
      </c>
      <c r="D30" s="70" t="s">
        <v>342</v>
      </c>
      <c r="E30" s="70" t="s">
        <v>343</v>
      </c>
      <c r="F30" s="70" t="s">
        <v>344</v>
      </c>
      <c r="G30" s="70" t="s">
        <v>1278</v>
      </c>
      <c r="H30" s="74" t="s">
        <v>61</v>
      </c>
      <c r="I30" s="300"/>
      <c r="K30"/>
      <c r="L30"/>
      <c r="M30"/>
    </row>
    <row r="31" spans="2:13" ht="13.8">
      <c r="B31" s="70" t="s">
        <v>274</v>
      </c>
      <c r="C31" s="70" t="str">
        <f>VLOOKUP(B31,'MAQUINARIA Y EQUIPOS  '!C12:F100,2,FALSE)</f>
        <v>CAMIONETA D300</v>
      </c>
      <c r="D31" s="75" t="s">
        <v>342</v>
      </c>
      <c r="E31" s="70">
        <v>1</v>
      </c>
      <c r="F31" s="70">
        <v>19</v>
      </c>
      <c r="G31" s="102">
        <v>17675</v>
      </c>
      <c r="H31" s="103">
        <f>+G31*E31</f>
        <v>17675</v>
      </c>
      <c r="I31" s="301"/>
      <c r="K31"/>
      <c r="L31"/>
      <c r="M31"/>
    </row>
    <row r="32" spans="2:13" ht="13.8">
      <c r="B32" s="71"/>
      <c r="C32" s="71"/>
      <c r="D32" s="82"/>
      <c r="E32" s="71"/>
      <c r="F32" s="71"/>
      <c r="G32" s="86"/>
      <c r="H32" s="86"/>
      <c r="I32" s="301"/>
      <c r="K32"/>
      <c r="L32"/>
      <c r="M32"/>
    </row>
    <row r="33" spans="2:13" ht="15">
      <c r="B33" s="89"/>
      <c r="C33" s="89"/>
      <c r="D33" s="89"/>
      <c r="E33" s="89"/>
      <c r="F33" s="89"/>
      <c r="G33" s="302" t="s">
        <v>64</v>
      </c>
      <c r="H33" s="302"/>
      <c r="I33" s="104">
        <f>+H31</f>
        <v>17675</v>
      </c>
      <c r="K33"/>
      <c r="L33"/>
      <c r="M33"/>
    </row>
    <row r="34" spans="2:13" ht="15">
      <c r="B34" s="78"/>
      <c r="C34" s="289" t="s">
        <v>75</v>
      </c>
      <c r="D34" s="289"/>
      <c r="E34" s="78"/>
      <c r="F34" s="78"/>
      <c r="G34" s="78"/>
      <c r="H34" s="78"/>
      <c r="I34" s="79"/>
      <c r="K34"/>
      <c r="L34"/>
      <c r="M34"/>
    </row>
    <row r="35" spans="2:13" ht="13.8">
      <c r="B35" s="105" t="s">
        <v>42</v>
      </c>
      <c r="C35" s="105" t="s">
        <v>76</v>
      </c>
      <c r="D35" s="105" t="s">
        <v>1225</v>
      </c>
      <c r="E35" s="105" t="s">
        <v>1</v>
      </c>
      <c r="F35" s="105" t="s">
        <v>77</v>
      </c>
      <c r="G35" s="105" t="s">
        <v>78</v>
      </c>
      <c r="H35" s="105" t="s">
        <v>79</v>
      </c>
      <c r="I35" s="294"/>
      <c r="K35"/>
      <c r="L35"/>
      <c r="M35"/>
    </row>
    <row r="36" spans="2:13" ht="30" customHeight="1">
      <c r="B36" s="106" t="s">
        <v>359</v>
      </c>
      <c r="C36" s="106" t="str">
        <f>+VLOOKUP(B36,'MANO DE OBRA '!B23:G46,2,FALSE)</f>
        <v xml:space="preserve"> Cuadrilla de construccion 2 (1 oficial+ 2 ayudante)</v>
      </c>
      <c r="D36" s="106">
        <v>1</v>
      </c>
      <c r="E36" s="106" t="str">
        <f>+VLOOKUP(B36,'MANO DE OBRA '!B23:G46,4,FALSE)</f>
        <v>Hora</v>
      </c>
      <c r="F36" s="86">
        <f>+VLOOKUP(B36,'MANO DE OBRA '!B23:G46,3,FALSE)</f>
        <v>66187.5</v>
      </c>
      <c r="G36" s="121">
        <v>0.9</v>
      </c>
      <c r="H36" s="94">
        <f>F36*G36*D36</f>
        <v>59568.75</v>
      </c>
      <c r="I36" s="294"/>
      <c r="K36"/>
      <c r="L36"/>
      <c r="M36"/>
    </row>
    <row r="37" spans="2:13" ht="30" customHeight="1">
      <c r="B37" s="106"/>
      <c r="C37" s="106"/>
      <c r="D37" s="106"/>
      <c r="E37" s="106"/>
      <c r="F37" s="86"/>
      <c r="G37" s="121"/>
      <c r="H37" s="94"/>
      <c r="I37" s="294"/>
      <c r="K37"/>
      <c r="L37"/>
      <c r="M37"/>
    </row>
    <row r="38" spans="2:13">
      <c r="B38" s="106"/>
      <c r="C38" s="106"/>
      <c r="D38" s="106"/>
      <c r="E38" s="106"/>
      <c r="F38" s="86"/>
      <c r="G38" s="121"/>
      <c r="H38" s="94"/>
      <c r="I38" s="294"/>
    </row>
    <row r="39" spans="2:13" ht="12">
      <c r="B39" s="108"/>
      <c r="C39" s="109"/>
      <c r="D39" s="109"/>
      <c r="E39" s="109"/>
      <c r="F39" s="110"/>
      <c r="G39" s="110"/>
      <c r="H39" s="111" t="s">
        <v>64</v>
      </c>
      <c r="I39" s="112">
        <f>SUM(H36:H37)</f>
        <v>59568.75</v>
      </c>
      <c r="M39" s="53"/>
    </row>
    <row r="40" spans="2:13" ht="12">
      <c r="B40" s="295" t="s">
        <v>83</v>
      </c>
      <c r="C40" s="296"/>
      <c r="D40" s="297" t="s">
        <v>77</v>
      </c>
      <c r="E40" s="298"/>
      <c r="F40" s="298"/>
      <c r="G40" s="298"/>
      <c r="H40" s="299"/>
      <c r="I40" s="113">
        <f>SUM(I20+I33+I28+I39)</f>
        <v>1756332</v>
      </c>
      <c r="K40" s="248"/>
      <c r="M40" s="53"/>
    </row>
  </sheetData>
  <mergeCells count="38">
    <mergeCell ref="G33:H33"/>
    <mergeCell ref="C34:D34"/>
    <mergeCell ref="I35:I38"/>
    <mergeCell ref="B40:C40"/>
    <mergeCell ref="D40:H40"/>
    <mergeCell ref="G26:H26"/>
    <mergeCell ref="G28:H28"/>
    <mergeCell ref="C29:D29"/>
    <mergeCell ref="I30:I32"/>
    <mergeCell ref="C17:D17"/>
    <mergeCell ref="I17:I19"/>
    <mergeCell ref="C18:D18"/>
    <mergeCell ref="C19:D19"/>
    <mergeCell ref="C21:D21"/>
    <mergeCell ref="C22:D22"/>
    <mergeCell ref="I22:I25"/>
    <mergeCell ref="C23:D23"/>
    <mergeCell ref="C24:D24"/>
    <mergeCell ref="C25:D25"/>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B2693-19DB-46C4-8DB2-0DE7230DA1A2}">
  <sheetPr codeName="Hoja68"/>
  <dimension ref="B3:M38"/>
  <sheetViews>
    <sheetView topLeftCell="A16" zoomScale="89" zoomScaleNormal="89" workbookViewId="0">
      <selection activeCell="O13" sqref="O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1" width="13.09765625" style="11" bestFit="1" customWidth="1"/>
    <col min="12"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9" customHeight="1">
      <c r="B13" s="17">
        <v>1.1000000000000001</v>
      </c>
      <c r="C13" s="283" t="s">
        <v>1956</v>
      </c>
      <c r="D13" s="284"/>
      <c r="E13" s="284"/>
      <c r="F13" s="285"/>
      <c r="G13" s="286" t="s">
        <v>170</v>
      </c>
      <c r="H13" s="286"/>
      <c r="I13" s="114">
        <v>13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0.3</v>
      </c>
      <c r="H19" s="85">
        <v>3309.38</v>
      </c>
      <c r="I19" s="287"/>
    </row>
    <row r="20" spans="2:9" ht="12">
      <c r="B20" s="89"/>
      <c r="C20" s="89"/>
      <c r="D20" s="89"/>
      <c r="E20" s="89"/>
      <c r="F20" s="89"/>
      <c r="G20" s="89"/>
      <c r="H20" s="89" t="s">
        <v>64</v>
      </c>
      <c r="I20" s="90">
        <f>SUM(H18:H19)</f>
        <v>3523.6600000000003</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1388</v>
      </c>
      <c r="C23" s="290" t="str">
        <f>+VLOOKUP(B23,'INSUMOS '!C531:G605,2,FALSE)</f>
        <v>Mesa Gora de 75x75cm con superficie en formica compacta para exteriores.</v>
      </c>
      <c r="D23" s="291"/>
      <c r="E23" s="97" t="str">
        <f>+VLOOKUP(B23,'INSUMOS '!C531:G605,3,FALSE)</f>
        <v xml:space="preserve">und </v>
      </c>
      <c r="F23" s="117">
        <f>+VLOOKUP(B23,'INSUMOS '!C531:G605,4,FALSE)*1.2</f>
        <v>1680000</v>
      </c>
      <c r="G23" s="92">
        <v>1</v>
      </c>
      <c r="H23" s="83">
        <f>+G23*F23</f>
        <v>1680000</v>
      </c>
      <c r="I23" s="287"/>
    </row>
    <row r="24" spans="2:9" ht="12">
      <c r="B24" s="89"/>
      <c r="C24" s="89"/>
      <c r="D24" s="89"/>
      <c r="E24" s="89"/>
      <c r="F24" s="89"/>
      <c r="G24" s="258" t="s">
        <v>64</v>
      </c>
      <c r="H24" s="258"/>
      <c r="I24" s="85">
        <f>SUM(H23:H23)</f>
        <v>1680000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1680000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13" ht="12">
      <c r="B33" s="105" t="s">
        <v>42</v>
      </c>
      <c r="C33" s="105" t="s">
        <v>76</v>
      </c>
      <c r="D33" s="105" t="s">
        <v>1225</v>
      </c>
      <c r="E33" s="105" t="s">
        <v>1</v>
      </c>
      <c r="F33" s="105" t="s">
        <v>77</v>
      </c>
      <c r="G33" s="105" t="s">
        <v>78</v>
      </c>
      <c r="H33" s="105" t="s">
        <v>79</v>
      </c>
      <c r="I33" s="294"/>
    </row>
    <row r="34" spans="2:13" ht="30" customHeight="1">
      <c r="B34" s="106" t="s">
        <v>359</v>
      </c>
      <c r="C34" s="106" t="str">
        <f>+VLOOKUP(B34,'MANO DE OBRA '!B23:G46,2,FALSE)</f>
        <v xml:space="preserve"> Cuadrilla de construccion 2 (1 oficial+ 2 ayudante)</v>
      </c>
      <c r="D34" s="106">
        <v>1</v>
      </c>
      <c r="E34" s="106" t="str">
        <f>+VLOOKUP(B34,'MANO DE OBRA '!B23:G46,4,FALSE)</f>
        <v>Hora</v>
      </c>
      <c r="F34" s="86">
        <f>+VLOOKUP(B34,'MANO DE OBRA '!B23:G46,3,FALSE)</f>
        <v>66187.5</v>
      </c>
      <c r="G34" s="121">
        <v>0.95</v>
      </c>
      <c r="H34" s="94">
        <f>F34*G34*D34</f>
        <v>62878.125</v>
      </c>
      <c r="I34" s="294"/>
    </row>
    <row r="35" spans="2:13" ht="30" customHeight="1">
      <c r="B35" s="106"/>
      <c r="C35" s="106"/>
      <c r="D35" s="106"/>
      <c r="E35" s="106"/>
      <c r="F35" s="86"/>
      <c r="G35" s="121"/>
      <c r="H35" s="94"/>
      <c r="I35" s="294"/>
    </row>
    <row r="36" spans="2:13">
      <c r="B36" s="106"/>
      <c r="C36" s="106"/>
      <c r="D36" s="106"/>
      <c r="E36" s="106"/>
      <c r="F36" s="86"/>
      <c r="G36" s="121"/>
      <c r="H36" s="94"/>
      <c r="I36" s="294"/>
    </row>
    <row r="37" spans="2:13" ht="12">
      <c r="B37" s="108"/>
      <c r="C37" s="109"/>
      <c r="D37" s="109"/>
      <c r="E37" s="109"/>
      <c r="F37" s="110"/>
      <c r="G37" s="110"/>
      <c r="H37" s="111" t="s">
        <v>64</v>
      </c>
      <c r="I37" s="112">
        <f>SUM(H34:H36)</f>
        <v>62878.125</v>
      </c>
    </row>
    <row r="38" spans="2:13" ht="12">
      <c r="B38" s="295" t="s">
        <v>83</v>
      </c>
      <c r="C38" s="296"/>
      <c r="D38" s="297" t="s">
        <v>77</v>
      </c>
      <c r="E38" s="298"/>
      <c r="F38" s="298"/>
      <c r="G38" s="298"/>
      <c r="H38" s="299"/>
      <c r="I38" s="113">
        <f>SUM(I20+I31+I26+I37)</f>
        <v>1747401.7849999999</v>
      </c>
      <c r="K38" s="43"/>
      <c r="M38" s="53"/>
    </row>
  </sheetData>
  <mergeCells count="36">
    <mergeCell ref="I33:I36"/>
    <mergeCell ref="B38:C38"/>
    <mergeCell ref="D38:H38"/>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63194-AA4B-4C38-B276-0C712F9D8538}">
  <sheetPr codeName="Hoja69"/>
  <dimension ref="B3:M38"/>
  <sheetViews>
    <sheetView topLeftCell="A14" zoomScale="89" zoomScaleNormal="89" workbookViewId="0">
      <selection activeCell="N43" sqref="N4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0.75" customHeight="1">
      <c r="B13" s="17">
        <v>12.2</v>
      </c>
      <c r="C13" s="283" t="s">
        <v>1957</v>
      </c>
      <c r="D13" s="284"/>
      <c r="E13" s="284"/>
      <c r="F13" s="285"/>
      <c r="G13" s="286" t="s">
        <v>170</v>
      </c>
      <c r="H13" s="286"/>
      <c r="I13" s="114">
        <v>38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7.0000000000000007E-2</v>
      </c>
      <c r="H19" s="85">
        <v>726.56</v>
      </c>
      <c r="I19" s="287"/>
    </row>
    <row r="20" spans="2:9" ht="12">
      <c r="B20" s="89"/>
      <c r="C20" s="89"/>
      <c r="D20" s="89"/>
      <c r="E20" s="89"/>
      <c r="F20" s="89"/>
      <c r="G20" s="89"/>
      <c r="H20" s="89" t="s">
        <v>64</v>
      </c>
      <c r="I20" s="90">
        <f>SUM(H18:H19)</f>
        <v>940.83999999999992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1390</v>
      </c>
      <c r="C23" s="290" t="str">
        <f>+VLOOKUP(B23,'INSUMOS '!C531:G605,2,FALSE)</f>
        <v>Silla My Way</v>
      </c>
      <c r="D23" s="291"/>
      <c r="E23" s="97" t="str">
        <f>+VLOOKUP(B23,'INSUMOS '!C531:G605,3,FALSE)</f>
        <v xml:space="preserve">UND </v>
      </c>
      <c r="F23" s="117">
        <f>+VLOOKUP(B23,'INSUMOS '!C531:G605,4,FALSE)*1.2</f>
        <v>324156</v>
      </c>
      <c r="G23" s="92">
        <v>1</v>
      </c>
      <c r="H23" s="83">
        <f>+G23*F23</f>
        <v>324156</v>
      </c>
      <c r="I23" s="287"/>
    </row>
    <row r="24" spans="2:9" ht="12">
      <c r="B24" s="89"/>
      <c r="C24" s="89"/>
      <c r="D24" s="89"/>
      <c r="E24" s="89"/>
      <c r="F24" s="89"/>
      <c r="G24" s="258" t="s">
        <v>64</v>
      </c>
      <c r="H24" s="258"/>
      <c r="I24" s="85">
        <f>SUM(H23:H23)</f>
        <v>324156</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324156</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13" ht="12">
      <c r="B33" s="105" t="s">
        <v>42</v>
      </c>
      <c r="C33" s="105" t="s">
        <v>76</v>
      </c>
      <c r="D33" s="105" t="s">
        <v>1225</v>
      </c>
      <c r="E33" s="105" t="s">
        <v>1</v>
      </c>
      <c r="F33" s="105" t="s">
        <v>77</v>
      </c>
      <c r="G33" s="105" t="s">
        <v>78</v>
      </c>
      <c r="H33" s="105" t="s">
        <v>79</v>
      </c>
      <c r="I33" s="294"/>
    </row>
    <row r="34" spans="2:13"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0.22</v>
      </c>
      <c r="H34" s="94">
        <f>F34*G34*D34</f>
        <v>10656.25</v>
      </c>
      <c r="I34" s="294"/>
    </row>
    <row r="35" spans="2:13" ht="30" customHeight="1">
      <c r="B35" s="106"/>
      <c r="C35" s="106"/>
      <c r="D35" s="106"/>
      <c r="E35" s="106"/>
      <c r="F35" s="86"/>
      <c r="G35" s="121"/>
      <c r="H35" s="94"/>
      <c r="I35" s="294"/>
    </row>
    <row r="36" spans="2:13">
      <c r="B36" s="106"/>
      <c r="C36" s="106"/>
      <c r="D36" s="106"/>
      <c r="E36" s="106"/>
      <c r="F36" s="86"/>
      <c r="G36" s="121"/>
      <c r="H36" s="94"/>
      <c r="I36" s="294"/>
    </row>
    <row r="37" spans="2:13" ht="12">
      <c r="B37" s="108"/>
      <c r="C37" s="109"/>
      <c r="D37" s="109"/>
      <c r="E37" s="109"/>
      <c r="F37" s="110"/>
      <c r="G37" s="110"/>
      <c r="H37" s="111" t="s">
        <v>64</v>
      </c>
      <c r="I37" s="112">
        <f>SUM(H34:H36)</f>
        <v>10656.25</v>
      </c>
    </row>
    <row r="38" spans="2:13" ht="12">
      <c r="B38" s="295" t="s">
        <v>83</v>
      </c>
      <c r="C38" s="296"/>
      <c r="D38" s="297" t="s">
        <v>77</v>
      </c>
      <c r="E38" s="298"/>
      <c r="F38" s="298"/>
      <c r="G38" s="298"/>
      <c r="H38" s="299"/>
      <c r="I38" s="113">
        <f>SUM(I20+I31+I26+I37)</f>
        <v>336753.09</v>
      </c>
      <c r="M38" s="53"/>
    </row>
  </sheetData>
  <mergeCells count="36">
    <mergeCell ref="I33:I36"/>
    <mergeCell ref="B38:C38"/>
    <mergeCell ref="D38:H38"/>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406F-7857-4965-B9FF-5AA96777C5DE}">
  <sheetPr codeName="Hoja8"/>
  <dimension ref="B3:I41"/>
  <sheetViews>
    <sheetView workbookViewId="0">
      <selection activeCell="K26" sqref="K26"/>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t="e">
        <f>+#REF!</f>
        <v>#REF!</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3.5" customHeight="1">
      <c r="B13" s="13" t="s">
        <v>21</v>
      </c>
      <c r="C13" s="283" t="s">
        <v>1889</v>
      </c>
      <c r="D13" s="284"/>
      <c r="E13" s="284"/>
      <c r="F13" s="285"/>
      <c r="G13" s="286" t="s">
        <v>2</v>
      </c>
      <c r="H13" s="286"/>
      <c r="I13" s="17">
        <v>60.139800000000001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0.08</v>
      </c>
      <c r="H19" s="116">
        <f>F19*G19</f>
        <v>840</v>
      </c>
      <c r="I19" s="287"/>
    </row>
    <row r="20" spans="2:9">
      <c r="B20" s="71" t="s">
        <v>1263</v>
      </c>
      <c r="C20" s="258" t="str">
        <f>VLOOKUP(B20,'MAQUINARIA Y EQUIPOS  '!C7:F95,2,FALSE)</f>
        <v xml:space="preserve">MARTILLO DEMOLEDOR </v>
      </c>
      <c r="D20" s="258"/>
      <c r="E20" s="88" t="str">
        <f>VLOOKUP(B20,'MAQUINARIA Y EQUIPOS  '!C7:F95,3,FALSE)</f>
        <v>HH</v>
      </c>
      <c r="F20" s="86">
        <f>VLOOKUP(B20,'MAQUINARIA Y EQUIPOS  '!C7:F95,4,FALSE)</f>
        <v>12000</v>
      </c>
      <c r="G20" s="71">
        <v>0.02</v>
      </c>
      <c r="H20" s="130">
        <f>F20*G20</f>
        <v>240</v>
      </c>
      <c r="I20" s="287"/>
    </row>
    <row r="21" spans="2:9" ht="12">
      <c r="B21" s="89"/>
      <c r="C21" s="89"/>
      <c r="D21" s="89"/>
      <c r="E21" s="89"/>
      <c r="F21" s="89"/>
      <c r="G21" s="89"/>
      <c r="H21" s="89" t="s">
        <v>64</v>
      </c>
      <c r="I21" s="90">
        <f>SUM(H18:H20)</f>
        <v>2151.4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1580</v>
      </c>
      <c r="C24" s="290" t="str">
        <f>VLOOKUP(B24,'INSUMOS '!C2:G949,2,FALSE)</f>
        <v>Plástico de poliuretano (calibre pesado)</v>
      </c>
      <c r="D24" s="291"/>
      <c r="E24" s="97" t="str">
        <f>VLOOKUP(B24,'INSUMOS '!C2:G949,3,FALSE)</f>
        <v>m2</v>
      </c>
      <c r="F24" s="98">
        <f>VLOOKUP(B24,'INSUMOS '!C2:G949,4,FALSE)</f>
        <v>2500</v>
      </c>
      <c r="G24" s="71">
        <v>1</v>
      </c>
      <c r="H24" s="83">
        <f>+G24*F24</f>
        <v>2500</v>
      </c>
      <c r="I24" s="287"/>
    </row>
    <row r="25" spans="2:9">
      <c r="B25" s="71" t="s">
        <v>1583</v>
      </c>
      <c r="C25" s="290" t="str">
        <f>VLOOKUP(B25,'INSUMOS '!C3:G950,2,FALSE)</f>
        <v>Cartón corrugado triple (alta resistencia)</v>
      </c>
      <c r="D25" s="291"/>
      <c r="E25" s="97" t="str">
        <f>VLOOKUP(B25,'INSUMOS '!C3:G950,3,FALSE)</f>
        <v>m2</v>
      </c>
      <c r="F25" s="98">
        <f>VLOOKUP(B25,'INSUMOS '!C3:G950,4,FALSE)</f>
        <v>6000</v>
      </c>
      <c r="G25" s="71">
        <v>1</v>
      </c>
      <c r="H25" s="83">
        <f>+G25*F25</f>
        <v>6000</v>
      </c>
      <c r="I25" s="287"/>
    </row>
    <row r="26" spans="2:9">
      <c r="B26" s="71" t="s">
        <v>1584</v>
      </c>
      <c r="C26" s="290" t="str">
        <f>VLOOKUP(B26,'INSUMOS '!C4:G951,2,FALSE)</f>
        <v xml:space="preserve">Cinta de enmascarar de alta adherencia </v>
      </c>
      <c r="D26" s="291"/>
      <c r="E26" s="97" t="str">
        <f>VLOOKUP(B26,'INSUMOS '!C4:G951,3,FALSE)</f>
        <v>m</v>
      </c>
      <c r="F26" s="98">
        <f>VLOOKUP(B26,'INSUMOS '!C4:G951,4,FALSE)</f>
        <v>500</v>
      </c>
      <c r="G26" s="71">
        <v>1.35</v>
      </c>
      <c r="H26" s="83">
        <f>+G26*F26</f>
        <v>675</v>
      </c>
      <c r="I26" s="287"/>
    </row>
    <row r="27" spans="2:9">
      <c r="B27" s="71"/>
      <c r="C27" s="292"/>
      <c r="D27" s="293"/>
      <c r="E27" s="91"/>
      <c r="F27" s="94"/>
      <c r="G27" s="92"/>
      <c r="H27" s="83"/>
      <c r="I27" s="287"/>
    </row>
    <row r="28" spans="2:9" ht="12">
      <c r="B28" s="89"/>
      <c r="C28" s="89"/>
      <c r="D28" s="89"/>
      <c r="E28" s="89"/>
      <c r="F28" s="89"/>
      <c r="G28" s="258" t="s">
        <v>64</v>
      </c>
      <c r="H28" s="258"/>
      <c r="I28" s="85">
        <f>SUM(H24:H27)</f>
        <v>9175</v>
      </c>
    </row>
    <row r="29" spans="2:9" ht="12">
      <c r="B29" s="89"/>
      <c r="C29" s="89"/>
      <c r="D29" s="89"/>
      <c r="E29" s="89"/>
      <c r="F29" s="89"/>
      <c r="G29" s="99" t="s">
        <v>72</v>
      </c>
      <c r="H29" s="100">
        <v>0.05</v>
      </c>
      <c r="I29" s="101">
        <f>I28*H29</f>
        <v>458.75</v>
      </c>
    </row>
    <row r="30" spans="2:9" ht="12">
      <c r="B30" s="89"/>
      <c r="C30" s="89"/>
      <c r="D30" s="89"/>
      <c r="E30" s="89"/>
      <c r="F30" s="89"/>
      <c r="G30" s="258" t="s">
        <v>73</v>
      </c>
      <c r="H30" s="258"/>
      <c r="I30" s="90">
        <f>SUM(I28:I29)</f>
        <v>9633.75</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f>0.05*1.3</f>
        <v>6.5000000000000002E-2</v>
      </c>
      <c r="F33" s="70">
        <v>19</v>
      </c>
      <c r="G33" s="136">
        <f>VLOOKUP(B33,'MAQUINARIA Y EQUIPOS  '!C7:F95,4,FALSE)</f>
        <v>1500</v>
      </c>
      <c r="H33" s="103">
        <f>+F33*G33*E33</f>
        <v>1852.5</v>
      </c>
      <c r="I33" s="301"/>
    </row>
    <row r="34" spans="2:9">
      <c r="B34" s="71"/>
      <c r="C34" s="71"/>
      <c r="D34" s="82"/>
      <c r="E34" s="71"/>
      <c r="F34" s="71"/>
      <c r="G34" s="86"/>
      <c r="H34" s="86"/>
      <c r="I34" s="301"/>
    </row>
    <row r="35" spans="2:9" ht="12">
      <c r="B35" s="89"/>
      <c r="C35" s="89"/>
      <c r="D35" s="89"/>
      <c r="E35" s="89"/>
      <c r="F35" s="89"/>
      <c r="G35" s="302" t="s">
        <v>64</v>
      </c>
      <c r="H35" s="302"/>
      <c r="I35" s="104">
        <f>+H33</f>
        <v>1852.5</v>
      </c>
    </row>
    <row r="36" spans="2:9" ht="12">
      <c r="B36" s="78"/>
      <c r="C36" s="289" t="s">
        <v>75</v>
      </c>
      <c r="D36" s="289"/>
      <c r="E36" s="78"/>
      <c r="F36" s="78"/>
      <c r="G36" s="78"/>
      <c r="H36" s="78"/>
      <c r="I36" s="79"/>
    </row>
    <row r="37" spans="2:9" ht="12">
      <c r="B37" s="105" t="s">
        <v>42</v>
      </c>
      <c r="C37" s="105" t="s">
        <v>76</v>
      </c>
      <c r="D37" s="105" t="s">
        <v>1221</v>
      </c>
      <c r="E37" s="105" t="s">
        <v>1</v>
      </c>
      <c r="F37" s="105" t="s">
        <v>77</v>
      </c>
      <c r="G37" s="105" t="s">
        <v>78</v>
      </c>
      <c r="H37" s="105" t="s">
        <v>79</v>
      </c>
      <c r="I37" s="294"/>
    </row>
    <row r="38" spans="2:9" ht="22.8">
      <c r="B38" s="106" t="s">
        <v>359</v>
      </c>
      <c r="C38" s="106" t="str">
        <f>+VLOOKUP(B38,'MANO DE OBRA '!B23:G46,2,FALSE)</f>
        <v xml:space="preserve"> Cuadrilla de construccion 2 (1 oficial+ 2 ayudante)</v>
      </c>
      <c r="D38" s="106">
        <v>1</v>
      </c>
      <c r="E38" s="106" t="str">
        <f>+VLOOKUP(B38,'MANO DE OBRA '!B23:G46,4,FALSE)</f>
        <v>Hora</v>
      </c>
      <c r="F38" s="86">
        <f>+VLOOKUP(B38,'MANO DE OBRA '!B23:G46,3,FALSE)</f>
        <v>66187.5</v>
      </c>
      <c r="H38" s="94">
        <f>F38*'1.7'!G38*D38</f>
        <v>18731.0625</v>
      </c>
      <c r="I38" s="294"/>
    </row>
    <row r="39" spans="2:9">
      <c r="B39" s="106"/>
      <c r="C39" s="106"/>
      <c r="D39" s="106"/>
      <c r="E39" s="106"/>
      <c r="F39" s="86"/>
      <c r="G39" s="107"/>
      <c r="H39" s="94"/>
      <c r="I39" s="294"/>
    </row>
    <row r="40" spans="2:9" ht="12">
      <c r="B40" s="108"/>
      <c r="C40" s="109"/>
      <c r="D40" s="109"/>
      <c r="E40" s="109"/>
      <c r="F40" s="110"/>
      <c r="G40" s="110"/>
      <c r="H40" s="111" t="s">
        <v>64</v>
      </c>
      <c r="I40" s="112">
        <f>SUM(H38:H39)</f>
        <v>18731.0625</v>
      </c>
    </row>
    <row r="41" spans="2:9" ht="12">
      <c r="B41" s="295" t="s">
        <v>83</v>
      </c>
      <c r="C41" s="296"/>
      <c r="D41" s="297" t="s">
        <v>77</v>
      </c>
      <c r="E41" s="298"/>
      <c r="F41" s="298"/>
      <c r="G41" s="298"/>
      <c r="H41" s="299"/>
      <c r="I41" s="113">
        <f>SUM(I21+I35+I30+I40)</f>
        <v>32368.712500000001</v>
      </c>
    </row>
  </sheetData>
  <mergeCells count="40">
    <mergeCell ref="I37:I39"/>
    <mergeCell ref="B41:C41"/>
    <mergeCell ref="D41:H41"/>
    <mergeCell ref="C27:D27"/>
    <mergeCell ref="G28:H28"/>
    <mergeCell ref="G30:H30"/>
    <mergeCell ref="C31:D31"/>
    <mergeCell ref="C36:D36"/>
    <mergeCell ref="I32:I34"/>
    <mergeCell ref="G35:H35"/>
    <mergeCell ref="C17:D17"/>
    <mergeCell ref="I17:I20"/>
    <mergeCell ref="C18:D18"/>
    <mergeCell ref="C20:D20"/>
    <mergeCell ref="C22:D22"/>
    <mergeCell ref="C19:D19"/>
    <mergeCell ref="C23:D23"/>
    <mergeCell ref="I23:I27"/>
    <mergeCell ref="C24:D24"/>
    <mergeCell ref="C25:D25"/>
    <mergeCell ref="C26:D26"/>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F311-900E-492D-A1B2-0B84D9DEC383}">
  <sheetPr codeName="Hoja70"/>
  <dimension ref="B3:M37"/>
  <sheetViews>
    <sheetView topLeftCell="A13" zoomScale="89" zoomScaleNormal="89" workbookViewId="0">
      <selection activeCell="N20" sqref="N2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0.25" customHeight="1">
      <c r="B13" s="17">
        <v>12.3</v>
      </c>
      <c r="C13" s="283" t="s">
        <v>1958</v>
      </c>
      <c r="D13" s="284"/>
      <c r="E13" s="284"/>
      <c r="F13" s="285"/>
      <c r="G13" s="286" t="s">
        <v>170</v>
      </c>
      <c r="H13" s="286"/>
      <c r="I13" s="114">
        <v>15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7.0000000000000007E-2</v>
      </c>
      <c r="H19" s="85">
        <v>726.56</v>
      </c>
      <c r="I19" s="287"/>
    </row>
    <row r="20" spans="2:9" ht="12">
      <c r="B20" s="89"/>
      <c r="C20" s="89"/>
      <c r="D20" s="89"/>
      <c r="E20" s="89"/>
      <c r="F20" s="89"/>
      <c r="G20" s="89"/>
      <c r="H20" s="89" t="s">
        <v>64</v>
      </c>
      <c r="I20" s="90">
        <f>SUM(H18:H19)</f>
        <v>940.83999999999992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1390</v>
      </c>
      <c r="C23" s="290" t="s">
        <v>1547</v>
      </c>
      <c r="D23" s="291"/>
      <c r="E23" s="97" t="str">
        <f>+VLOOKUP(B23,'INSUMOS '!C531:G605,3,FALSE)</f>
        <v xml:space="preserve">UND </v>
      </c>
      <c r="F23" s="117">
        <v>1500000</v>
      </c>
      <c r="G23" s="92">
        <v>1</v>
      </c>
      <c r="H23" s="83">
        <f>+G23*F23</f>
        <v>1500000</v>
      </c>
      <c r="I23" s="287"/>
    </row>
    <row r="24" spans="2:9" ht="12">
      <c r="B24" s="89"/>
      <c r="C24" s="89"/>
      <c r="D24" s="89"/>
      <c r="E24" s="89"/>
      <c r="F24" s="89"/>
      <c r="G24" s="258" t="s">
        <v>64</v>
      </c>
      <c r="H24" s="258"/>
      <c r="I24" s="85">
        <f>SUM(H23:H23)</f>
        <v>1500000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1500000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13" ht="12">
      <c r="B33" s="105" t="s">
        <v>42</v>
      </c>
      <c r="C33" s="105" t="s">
        <v>76</v>
      </c>
      <c r="D33" s="105" t="s">
        <v>1225</v>
      </c>
      <c r="E33" s="105" t="s">
        <v>1</v>
      </c>
      <c r="F33" s="105" t="s">
        <v>77</v>
      </c>
      <c r="G33" s="105" t="s">
        <v>78</v>
      </c>
      <c r="H33" s="105" t="s">
        <v>79</v>
      </c>
      <c r="I33" s="294"/>
    </row>
    <row r="34" spans="2:13"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0.22</v>
      </c>
      <c r="H34" s="94">
        <f>F34*G34*D34</f>
        <v>10656.25</v>
      </c>
      <c r="I34" s="294"/>
    </row>
    <row r="35" spans="2:13">
      <c r="B35" s="106"/>
      <c r="C35" s="106"/>
      <c r="D35" s="106"/>
      <c r="E35" s="106"/>
      <c r="F35" s="86"/>
      <c r="G35" s="121"/>
      <c r="H35" s="94"/>
      <c r="I35" s="294"/>
    </row>
    <row r="36" spans="2:13" ht="12">
      <c r="B36" s="108"/>
      <c r="C36" s="109"/>
      <c r="D36" s="109"/>
      <c r="E36" s="109"/>
      <c r="F36" s="110"/>
      <c r="G36" s="110"/>
      <c r="H36" s="111" t="s">
        <v>64</v>
      </c>
      <c r="I36" s="112">
        <f>SUM(H34:H35)</f>
        <v>10656.25</v>
      </c>
    </row>
    <row r="37" spans="2:13" ht="12">
      <c r="B37" s="295" t="s">
        <v>83</v>
      </c>
      <c r="C37" s="296"/>
      <c r="D37" s="297" t="s">
        <v>77</v>
      </c>
      <c r="E37" s="298"/>
      <c r="F37" s="298"/>
      <c r="G37" s="298"/>
      <c r="H37" s="299"/>
      <c r="I37" s="113">
        <f>SUM(I20+I31+I26+I36)</f>
        <v>1512597.09</v>
      </c>
      <c r="M37" s="53"/>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BBE3-3A20-4A08-A4C5-C5E51B6D90FA}">
  <sheetPr codeName="Hoja71"/>
  <dimension ref="B3:M37"/>
  <sheetViews>
    <sheetView topLeftCell="A12" zoomScale="89" zoomScaleNormal="89" workbookViewId="0">
      <selection activeCell="M27" sqref="M2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1" width="13.09765625" style="11" bestFit="1" customWidth="1"/>
    <col min="12" max="12" width="11.3984375" style="11"/>
    <col min="13" max="13" width="11.8984375" style="11" bestFit="1" customWidth="1"/>
    <col min="14"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50.25" customHeight="1">
      <c r="B13" s="17">
        <v>12.4</v>
      </c>
      <c r="C13" s="283" t="s">
        <v>1959</v>
      </c>
      <c r="D13" s="284"/>
      <c r="E13" s="284"/>
      <c r="F13" s="285"/>
      <c r="G13" s="286" t="s">
        <v>170</v>
      </c>
      <c r="H13" s="286"/>
      <c r="I13" s="114">
        <v>36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0.09</v>
      </c>
      <c r="H19" s="85">
        <v>968.75</v>
      </c>
      <c r="I19" s="287"/>
    </row>
    <row r="20" spans="2:9" ht="12">
      <c r="B20" s="89"/>
      <c r="C20" s="89"/>
      <c r="D20" s="89"/>
      <c r="E20" s="89"/>
      <c r="F20" s="89"/>
      <c r="G20" s="89"/>
      <c r="H20" s="89" t="s">
        <v>64</v>
      </c>
      <c r="I20" s="90">
        <f>SUM(H18:H19)</f>
        <v>1183.03</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1548</v>
      </c>
      <c r="D23" s="291"/>
      <c r="E23" s="97" t="s">
        <v>1299</v>
      </c>
      <c r="F23" s="246">
        <v>1291630.3400000001</v>
      </c>
      <c r="G23" s="92">
        <v>1</v>
      </c>
      <c r="H23" s="83">
        <f>+G23*F23</f>
        <v>1291630.3400000001</v>
      </c>
      <c r="I23" s="287"/>
    </row>
    <row r="24" spans="2:9" ht="12">
      <c r="B24" s="89"/>
      <c r="C24" s="89"/>
      <c r="D24" s="89"/>
      <c r="E24" s="89"/>
      <c r="F24" s="89"/>
      <c r="G24" s="258" t="s">
        <v>64</v>
      </c>
      <c r="H24" s="258"/>
      <c r="I24" s="85">
        <f>SUM(H23:H23)</f>
        <v>1291630.3400000001</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1291630.3400000001</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13" ht="12">
      <c r="B33" s="105" t="s">
        <v>42</v>
      </c>
      <c r="C33" s="105" t="s">
        <v>76</v>
      </c>
      <c r="D33" s="105" t="s">
        <v>1225</v>
      </c>
      <c r="E33" s="105" t="s">
        <v>1</v>
      </c>
      <c r="F33" s="105" t="s">
        <v>77</v>
      </c>
      <c r="G33" s="105" t="s">
        <v>78</v>
      </c>
      <c r="H33" s="105" t="s">
        <v>79</v>
      </c>
      <c r="I33" s="294"/>
    </row>
    <row r="34" spans="2:13"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0.23</v>
      </c>
      <c r="H34" s="94">
        <f>F34*G34*D34</f>
        <v>11140.625</v>
      </c>
      <c r="I34" s="294"/>
      <c r="K34"/>
      <c r="L34"/>
      <c r="M34"/>
    </row>
    <row r="35" spans="2:13" ht="13.8">
      <c r="B35" s="106"/>
      <c r="C35" s="106"/>
      <c r="D35" s="106"/>
      <c r="E35" s="106"/>
      <c r="F35" s="86"/>
      <c r="G35" s="121"/>
      <c r="H35" s="94"/>
      <c r="I35" s="294"/>
      <c r="K35"/>
      <c r="L35"/>
      <c r="M35"/>
    </row>
    <row r="36" spans="2:13" ht="15">
      <c r="B36" s="108"/>
      <c r="C36" s="109"/>
      <c r="D36" s="109"/>
      <c r="E36" s="109"/>
      <c r="F36" s="110"/>
      <c r="G36" s="110"/>
      <c r="H36" s="111" t="s">
        <v>64</v>
      </c>
      <c r="I36" s="112">
        <f>SUM(H34:H35)</f>
        <v>11140.625</v>
      </c>
      <c r="K36"/>
      <c r="L36"/>
      <c r="M36"/>
    </row>
    <row r="37" spans="2:13" ht="12">
      <c r="B37" s="295" t="s">
        <v>83</v>
      </c>
      <c r="C37" s="296"/>
      <c r="D37" s="297" t="s">
        <v>77</v>
      </c>
      <c r="E37" s="298"/>
      <c r="F37" s="298"/>
      <c r="G37" s="298"/>
      <c r="H37" s="299"/>
      <c r="I37" s="113">
        <f>SUM(I20+I31+I26+I36)</f>
        <v>1304953.9950000001</v>
      </c>
      <c r="K37" s="43"/>
      <c r="M37" s="53"/>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5614-C098-42C6-A3FA-24ED8B63D10D}">
  <sheetPr codeName="Hoja72"/>
  <dimension ref="B3:L37"/>
  <sheetViews>
    <sheetView topLeftCell="A13" zoomScale="89" zoomScaleNormal="89" workbookViewId="0">
      <selection activeCell="P31" sqref="P3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3.75" customHeight="1">
      <c r="B13" s="17">
        <v>12.5</v>
      </c>
      <c r="C13" s="283" t="s">
        <v>1960</v>
      </c>
      <c r="D13" s="284"/>
      <c r="E13" s="284"/>
      <c r="F13" s="285"/>
      <c r="G13" s="286" t="s">
        <v>170</v>
      </c>
      <c r="H13" s="286"/>
      <c r="I13" s="114" t="e">
        <f>+VLOOKUP(B13,#REF!,7,FALSE)</f>
        <v>#REF!</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0.04</v>
      </c>
      <c r="H19" s="85">
        <v>484.38</v>
      </c>
      <c r="I19" s="287"/>
    </row>
    <row r="20" spans="2:9" ht="12">
      <c r="B20" s="89"/>
      <c r="C20" s="89"/>
      <c r="D20" s="89"/>
      <c r="E20" s="89"/>
      <c r="F20" s="89"/>
      <c r="G20" s="89"/>
      <c r="H20" s="89" t="s">
        <v>64</v>
      </c>
      <c r="I20" s="90">
        <f>SUM(H18:H19)</f>
        <v>698.66</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1549</v>
      </c>
      <c r="D23" s="291"/>
      <c r="E23" s="97" t="s">
        <v>1299</v>
      </c>
      <c r="F23" s="246">
        <v>628372.34</v>
      </c>
      <c r="G23" s="92">
        <v>1</v>
      </c>
      <c r="H23" s="83">
        <f>+G23*F23</f>
        <v>628372.34</v>
      </c>
      <c r="I23" s="287"/>
    </row>
    <row r="24" spans="2:9" ht="12">
      <c r="B24" s="89"/>
      <c r="C24" s="89"/>
      <c r="D24" s="89"/>
      <c r="E24" s="89"/>
      <c r="F24" s="89"/>
      <c r="G24" s="258" t="s">
        <v>64</v>
      </c>
      <c r="H24" s="258"/>
      <c r="I24" s="85">
        <f>SUM(H23:H23)</f>
        <v>628372.34</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628372.34</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c r="C29" s="70"/>
      <c r="D29" s="75"/>
      <c r="E29" s="70"/>
      <c r="F29" s="70"/>
      <c r="G29" s="102"/>
      <c r="H29" s="103"/>
      <c r="I29" s="301"/>
    </row>
    <row r="30" spans="2:9">
      <c r="B30" s="71"/>
      <c r="C30" s="71"/>
      <c r="D30" s="82"/>
      <c r="E30" s="71"/>
      <c r="F30" s="71"/>
      <c r="G30" s="86"/>
      <c r="H30" s="86"/>
      <c r="I30" s="301"/>
    </row>
    <row r="31" spans="2:9" ht="12">
      <c r="B31" s="89"/>
      <c r="C31" s="89"/>
      <c r="D31" s="89"/>
      <c r="E31" s="89"/>
      <c r="F31" s="89"/>
      <c r="G31" s="302" t="s">
        <v>64</v>
      </c>
      <c r="H31" s="302"/>
      <c r="I31" s="104"/>
    </row>
    <row r="32" spans="2:9" ht="12">
      <c r="B32" s="78"/>
      <c r="C32" s="289" t="s">
        <v>75</v>
      </c>
      <c r="D32" s="289"/>
      <c r="E32" s="78"/>
      <c r="F32" s="78"/>
      <c r="G32" s="78"/>
      <c r="H32" s="78"/>
      <c r="I32" s="79"/>
    </row>
    <row r="33" spans="2:12" ht="12">
      <c r="B33" s="105" t="s">
        <v>42</v>
      </c>
      <c r="C33" s="105" t="s">
        <v>76</v>
      </c>
      <c r="D33" s="105" t="s">
        <v>1225</v>
      </c>
      <c r="E33" s="105" t="s">
        <v>1</v>
      </c>
      <c r="F33" s="105" t="s">
        <v>77</v>
      </c>
      <c r="G33" s="105" t="s">
        <v>78</v>
      </c>
      <c r="H33" s="105" t="s">
        <v>79</v>
      </c>
      <c r="I33" s="294"/>
    </row>
    <row r="34" spans="2:12"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0.24</v>
      </c>
      <c r="H34" s="94">
        <f>F34*G34*D34</f>
        <v>11625</v>
      </c>
      <c r="I34" s="294"/>
    </row>
    <row r="35" spans="2:12">
      <c r="B35" s="106"/>
      <c r="C35" s="106"/>
      <c r="D35" s="106"/>
      <c r="E35" s="106"/>
      <c r="F35" s="86"/>
      <c r="G35" s="121"/>
      <c r="H35" s="94"/>
      <c r="I35" s="294"/>
    </row>
    <row r="36" spans="2:12" ht="12">
      <c r="B36" s="108"/>
      <c r="C36" s="109"/>
      <c r="D36" s="109"/>
      <c r="E36" s="109"/>
      <c r="F36" s="110"/>
      <c r="G36" s="110"/>
      <c r="H36" s="111" t="s">
        <v>64</v>
      </c>
      <c r="I36" s="112">
        <f>SUM(H34:H35)</f>
        <v>11625</v>
      </c>
    </row>
    <row r="37" spans="2:12" ht="12">
      <c r="B37" s="295" t="s">
        <v>83</v>
      </c>
      <c r="C37" s="296"/>
      <c r="D37" s="297" t="s">
        <v>77</v>
      </c>
      <c r="E37" s="298"/>
      <c r="F37" s="298"/>
      <c r="G37" s="298"/>
      <c r="H37" s="299"/>
      <c r="I37" s="113">
        <f>SUM(I20+I31+I26+I36)</f>
        <v>640696</v>
      </c>
      <c r="L37" s="53"/>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E4D7-3A7E-4D29-8194-4AB17ADAAB02}">
  <sheetPr codeName="Hoja73"/>
  <dimension ref="B3:L38"/>
  <sheetViews>
    <sheetView topLeftCell="A19" zoomScale="89" zoomScaleNormal="89" workbookViewId="0">
      <selection activeCell="O28" sqref="O2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12.6</v>
      </c>
      <c r="C13" s="283" t="s">
        <v>1961</v>
      </c>
      <c r="D13" s="284"/>
      <c r="E13" s="284"/>
      <c r="F13" s="285"/>
      <c r="G13" s="286" t="s">
        <v>170</v>
      </c>
      <c r="H13" s="286"/>
      <c r="I13" s="114">
        <v>150</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0.03</v>
      </c>
      <c r="H19" s="85">
        <v>242.18</v>
      </c>
      <c r="I19" s="287"/>
    </row>
    <row r="20" spans="2:9" ht="12">
      <c r="B20" s="89"/>
      <c r="C20" s="89"/>
      <c r="D20" s="89"/>
      <c r="E20" s="89"/>
      <c r="F20" s="89"/>
      <c r="G20" s="89"/>
      <c r="H20" s="89" t="s">
        <v>64</v>
      </c>
      <c r="I20" s="90">
        <f>SUM(H18:H19)</f>
        <v>456.46000000000004</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1394</v>
      </c>
      <c r="C23" s="290" t="str">
        <f>+VLOOKUP(B23,'INSUMOS '!C531:G605,2,FALSE)</f>
        <v xml:space="preserve">SILLA COMEDOR </v>
      </c>
      <c r="D23" s="291"/>
      <c r="E23" s="97" t="str">
        <f>+VLOOKUP(B23,'INSUMOS '!C531:G605,3,FALSE)</f>
        <v xml:space="preserve">UND </v>
      </c>
      <c r="F23" s="117">
        <f>+VLOOKUP(B23,'INSUMOS '!C531:G605,4,FALSE)*1.2</f>
        <v>419988</v>
      </c>
      <c r="G23" s="92">
        <v>1</v>
      </c>
      <c r="H23" s="83">
        <f>+G23*F23</f>
        <v>419988</v>
      </c>
      <c r="I23" s="287"/>
    </row>
    <row r="24" spans="2:9" ht="12">
      <c r="B24" s="89"/>
      <c r="C24" s="89"/>
      <c r="D24" s="89"/>
      <c r="E24" s="89"/>
      <c r="F24" s="89"/>
      <c r="G24" s="258" t="s">
        <v>64</v>
      </c>
      <c r="H24" s="258"/>
      <c r="I24" s="85">
        <f>SUM(H23:H23)</f>
        <v>419988</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419988</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12" ht="12">
      <c r="B33" s="105" t="s">
        <v>42</v>
      </c>
      <c r="C33" s="105" t="s">
        <v>76</v>
      </c>
      <c r="D33" s="105" t="s">
        <v>1225</v>
      </c>
      <c r="E33" s="105" t="s">
        <v>1</v>
      </c>
      <c r="F33" s="105" t="s">
        <v>77</v>
      </c>
      <c r="G33" s="105" t="s">
        <v>78</v>
      </c>
      <c r="H33" s="105" t="s">
        <v>79</v>
      </c>
      <c r="I33" s="294"/>
    </row>
    <row r="34" spans="2:12"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0.23</v>
      </c>
      <c r="H34" s="94">
        <f>F34*G34*D34</f>
        <v>11140.625</v>
      </c>
      <c r="I34" s="294"/>
    </row>
    <row r="35" spans="2:12">
      <c r="B35" s="106"/>
      <c r="C35" s="106"/>
      <c r="D35" s="106"/>
      <c r="E35" s="106"/>
      <c r="F35" s="86"/>
      <c r="G35" s="121"/>
      <c r="H35" s="94"/>
      <c r="I35" s="294"/>
    </row>
    <row r="36" spans="2:12" ht="12">
      <c r="B36" s="108"/>
      <c r="C36" s="109"/>
      <c r="D36" s="109"/>
      <c r="E36" s="109"/>
      <c r="F36" s="110"/>
      <c r="G36" s="110"/>
      <c r="H36" s="111" t="s">
        <v>64</v>
      </c>
      <c r="I36" s="112">
        <f>SUM(H34:H35)</f>
        <v>11140.625</v>
      </c>
    </row>
    <row r="37" spans="2:12" ht="12">
      <c r="B37" s="295" t="s">
        <v>83</v>
      </c>
      <c r="C37" s="296"/>
      <c r="D37" s="297" t="s">
        <v>77</v>
      </c>
      <c r="E37" s="298"/>
      <c r="F37" s="298"/>
      <c r="G37" s="298"/>
      <c r="H37" s="299"/>
      <c r="I37" s="113">
        <f>SUM(I20+I31+I26+I36)</f>
        <v>432585.08500000002</v>
      </c>
    </row>
    <row r="38" spans="2:12" ht="12">
      <c r="L38" s="53"/>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DA14-81DB-4D0D-84D4-BA2FF5CEB83D}">
  <sheetPr codeName="Hoja74"/>
  <dimension ref="B3:I37"/>
  <sheetViews>
    <sheetView topLeftCell="A14" zoomScale="89" zoomScaleNormal="89" workbookViewId="0">
      <selection activeCell="L21" sqref="L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2.25" customHeight="1">
      <c r="B13" s="17">
        <v>12.7</v>
      </c>
      <c r="C13" s="283" t="s">
        <v>1962</v>
      </c>
      <c r="D13" s="284"/>
      <c r="E13" s="284"/>
      <c r="F13" s="285"/>
      <c r="G13" s="286" t="s">
        <v>170</v>
      </c>
      <c r="H13" s="286"/>
      <c r="I13" s="114">
        <v>6</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1396</v>
      </c>
      <c r="C23" s="290" t="str">
        <f>+VLOOKUP(B23,'INSUMOS '!C531:G605,2,FALSE)</f>
        <v xml:space="preserve">MASETAS MOVIBLES </v>
      </c>
      <c r="D23" s="291"/>
      <c r="E23" s="97" t="str">
        <f>+VLOOKUP(B23,'INSUMOS '!C531:G605,3,FALSE)</f>
        <v xml:space="preserve">UND </v>
      </c>
      <c r="F23" s="117">
        <f>+VLOOKUP(B23,'INSUMOS '!C531:G605,4,FALSE)*1.2</f>
        <v>456000</v>
      </c>
      <c r="G23" s="92">
        <v>1</v>
      </c>
      <c r="H23" s="83">
        <f>+G23*F23</f>
        <v>456000</v>
      </c>
      <c r="I23" s="287"/>
    </row>
    <row r="24" spans="2:9" ht="12">
      <c r="B24" s="89"/>
      <c r="C24" s="89"/>
      <c r="D24" s="89"/>
      <c r="E24" s="89"/>
      <c r="F24" s="89"/>
      <c r="G24" s="258" t="s">
        <v>64</v>
      </c>
      <c r="H24" s="258"/>
      <c r="I24" s="85">
        <f>SUM(H23:H23)</f>
        <v>456000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456000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0.23499999999999999</v>
      </c>
      <c r="H34" s="94">
        <f>F34*G34*D34</f>
        <v>11382.8125</v>
      </c>
      <c r="I34" s="294"/>
    </row>
    <row r="35" spans="2:9">
      <c r="B35" s="106"/>
      <c r="C35" s="106"/>
      <c r="D35" s="106"/>
      <c r="E35" s="106"/>
      <c r="F35" s="86"/>
      <c r="G35" s="121"/>
      <c r="H35" s="94"/>
      <c r="I35" s="294"/>
    </row>
    <row r="36" spans="2:9" ht="12">
      <c r="B36" s="108"/>
      <c r="C36" s="109"/>
      <c r="D36" s="109"/>
      <c r="E36" s="109"/>
      <c r="F36" s="110"/>
      <c r="G36" s="110"/>
      <c r="H36" s="111" t="s">
        <v>64</v>
      </c>
      <c r="I36" s="112">
        <f>SUM(H34:H35)</f>
        <v>11382.8125</v>
      </c>
    </row>
    <row r="37" spans="2:9" ht="12">
      <c r="B37" s="295" t="s">
        <v>83</v>
      </c>
      <c r="C37" s="296"/>
      <c r="D37" s="297" t="s">
        <v>77</v>
      </c>
      <c r="E37" s="298"/>
      <c r="F37" s="298"/>
      <c r="G37" s="298"/>
      <c r="H37" s="299"/>
      <c r="I37" s="113">
        <f>SUM(I20+I31+I26+I36)</f>
        <v>468807.09250000003</v>
      </c>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AE4BA-24B4-4F31-A894-2A93EC545A5D}">
  <sheetPr codeName="Hoja75"/>
  <dimension ref="B3:M37"/>
  <sheetViews>
    <sheetView topLeftCell="A16" zoomScale="89" zoomScaleNormal="89" workbookViewId="0">
      <selection activeCell="L15" sqref="L1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1" width="11.3984375" style="11"/>
    <col min="12" max="12" width="11.69921875" style="11" bestFit="1" customWidth="1"/>
    <col min="13" max="13" width="11.8984375" style="11" bestFit="1" customWidth="1"/>
    <col min="14"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7.25" customHeight="1">
      <c r="B13" s="17">
        <v>12.8</v>
      </c>
      <c r="C13" s="283" t="s">
        <v>1963</v>
      </c>
      <c r="D13" s="284"/>
      <c r="E13" s="284"/>
      <c r="F13" s="285"/>
      <c r="G13" s="286" t="s">
        <v>170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1396</v>
      </c>
      <c r="C23" s="290" t="s">
        <v>1550</v>
      </c>
      <c r="D23" s="291"/>
      <c r="E23" s="97" t="str">
        <f>+VLOOKUP(B23,'INSUMOS '!C531:G605,3,FALSE)</f>
        <v xml:space="preserve">UND </v>
      </c>
      <c r="F23" s="117">
        <v>338888.22</v>
      </c>
      <c r="G23" s="92">
        <v>1</v>
      </c>
      <c r="H23" s="83">
        <f>+G23*F23</f>
        <v>338888.22</v>
      </c>
      <c r="I23" s="287"/>
    </row>
    <row r="24" spans="2:9" ht="12">
      <c r="B24" s="89"/>
      <c r="C24" s="89"/>
      <c r="D24" s="89"/>
      <c r="E24" s="89"/>
      <c r="F24" s="89"/>
      <c r="G24" s="258" t="s">
        <v>64</v>
      </c>
      <c r="H24" s="258"/>
      <c r="I24" s="85">
        <f>SUM(H23:H23)</f>
        <v>338888.22</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338888.22</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13" ht="12">
      <c r="B33" s="105" t="s">
        <v>42</v>
      </c>
      <c r="C33" s="105" t="s">
        <v>76</v>
      </c>
      <c r="D33" s="105" t="s">
        <v>1225</v>
      </c>
      <c r="E33" s="105" t="s">
        <v>1</v>
      </c>
      <c r="F33" s="105" t="s">
        <v>77</v>
      </c>
      <c r="G33" s="105" t="s">
        <v>78</v>
      </c>
      <c r="H33" s="105" t="s">
        <v>79</v>
      </c>
      <c r="I33" s="294"/>
    </row>
    <row r="34" spans="2:13"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v>
      </c>
      <c r="H34" s="94">
        <f>F34*G34*D34</f>
        <v>9687.5</v>
      </c>
      <c r="I34" s="294"/>
      <c r="L34" s="43"/>
      <c r="M34" s="53"/>
    </row>
    <row r="35" spans="2:13">
      <c r="B35" s="106"/>
      <c r="C35" s="106"/>
      <c r="D35" s="106"/>
      <c r="E35" s="106"/>
      <c r="F35" s="86"/>
      <c r="G35" s="121"/>
      <c r="H35" s="94"/>
      <c r="I35" s="294"/>
    </row>
    <row r="36" spans="2:13" ht="12">
      <c r="B36" s="108"/>
      <c r="C36" s="109"/>
      <c r="D36" s="109"/>
      <c r="E36" s="109"/>
      <c r="F36" s="110"/>
      <c r="G36" s="110"/>
      <c r="H36" s="111" t="s">
        <v>64</v>
      </c>
      <c r="I36" s="112">
        <f>SUM(H34:H35)</f>
        <v>9687.5</v>
      </c>
    </row>
    <row r="37" spans="2:13" ht="12">
      <c r="B37" s="295" t="s">
        <v>83</v>
      </c>
      <c r="C37" s="296"/>
      <c r="D37" s="297" t="s">
        <v>77</v>
      </c>
      <c r="E37" s="298"/>
      <c r="F37" s="298"/>
      <c r="G37" s="298"/>
      <c r="H37" s="299"/>
      <c r="I37" s="113">
        <f>SUM(I20+I31+I26+I36)</f>
        <v>350000</v>
      </c>
      <c r="L37" s="43"/>
      <c r="M37" s="53"/>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84145-2C7D-4761-A617-60EAA1F5FECD}">
  <sheetPr codeName="Hoja76"/>
  <dimension ref="B3:M37"/>
  <sheetViews>
    <sheetView topLeftCell="A14" zoomScale="89" zoomScaleNormal="89" workbookViewId="0">
      <selection activeCell="M30" sqref="M30"/>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1" width="11.3984375" style="11"/>
    <col min="12" max="12" width="11.69921875" style="11" bestFit="1" customWidth="1"/>
    <col min="13"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3" customHeight="1">
      <c r="B13" s="17">
        <v>12.9</v>
      </c>
      <c r="C13" s="283" t="s">
        <v>1964</v>
      </c>
      <c r="D13" s="284"/>
      <c r="E13" s="284"/>
      <c r="F13" s="285"/>
      <c r="G13" s="286" t="s">
        <v>2</v>
      </c>
      <c r="H13" s="286"/>
      <c r="I13" s="114">
        <v>85</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13" ht="12">
      <c r="B17" s="70" t="s">
        <v>42</v>
      </c>
      <c r="C17" s="286" t="s">
        <v>58</v>
      </c>
      <c r="D17" s="286"/>
      <c r="E17" s="70" t="s">
        <v>1</v>
      </c>
      <c r="F17" s="80" t="s">
        <v>59</v>
      </c>
      <c r="G17" s="70" t="s">
        <v>60</v>
      </c>
      <c r="H17" s="80" t="s">
        <v>61</v>
      </c>
      <c r="I17" s="287"/>
    </row>
    <row r="18" spans="2:13">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0.01</v>
      </c>
      <c r="H18" s="85">
        <f>F18*G18</f>
        <v>107.14</v>
      </c>
      <c r="I18" s="287"/>
    </row>
    <row r="19" spans="2:13">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v>100</v>
      </c>
      <c r="I19" s="287"/>
    </row>
    <row r="20" spans="2:13" ht="12">
      <c r="B20" s="89"/>
      <c r="C20" s="89"/>
      <c r="D20" s="89"/>
      <c r="E20" s="89"/>
      <c r="F20" s="89"/>
      <c r="G20" s="89"/>
      <c r="H20" s="89" t="s">
        <v>64</v>
      </c>
      <c r="I20" s="90">
        <f>SUM(H18:H19)</f>
        <v>207.14</v>
      </c>
    </row>
    <row r="21" spans="2:13" ht="12">
      <c r="B21" s="78"/>
      <c r="C21" s="289" t="s">
        <v>65</v>
      </c>
      <c r="D21" s="289"/>
      <c r="E21" s="78"/>
      <c r="F21" s="78"/>
      <c r="G21" s="78"/>
      <c r="H21" s="78"/>
      <c r="I21" s="79"/>
    </row>
    <row r="22" spans="2:13" ht="12">
      <c r="B22" s="70" t="s">
        <v>42</v>
      </c>
      <c r="C22" s="286" t="s">
        <v>58</v>
      </c>
      <c r="D22" s="286"/>
      <c r="E22" s="70" t="s">
        <v>1</v>
      </c>
      <c r="F22" s="80" t="s">
        <v>66</v>
      </c>
      <c r="G22" s="70" t="s">
        <v>67</v>
      </c>
      <c r="H22" s="70" t="s">
        <v>61</v>
      </c>
      <c r="I22" s="287"/>
    </row>
    <row r="23" spans="2:13">
      <c r="B23" s="71" t="s">
        <v>1396</v>
      </c>
      <c r="C23" s="290" t="s">
        <v>1401</v>
      </c>
      <c r="D23" s="291"/>
      <c r="E23" s="97" t="str">
        <f>+VLOOKUP(B23,'INSUMOS '!C531:G605,3,FALSE)</f>
        <v xml:space="preserve">UND </v>
      </c>
      <c r="F23" s="117">
        <v>393000</v>
      </c>
      <c r="G23" s="92">
        <v>1</v>
      </c>
      <c r="H23" s="83">
        <f>+G23*F23</f>
        <v>393000</v>
      </c>
      <c r="I23" s="287"/>
    </row>
    <row r="24" spans="2:13" ht="12">
      <c r="B24" s="89"/>
      <c r="C24" s="89"/>
      <c r="D24" s="89"/>
      <c r="E24" s="89"/>
      <c r="F24" s="89"/>
      <c r="G24" s="258" t="s">
        <v>64</v>
      </c>
      <c r="H24" s="258"/>
      <c r="I24" s="85">
        <f>SUM(H23:H23)</f>
        <v>393000</v>
      </c>
    </row>
    <row r="25" spans="2:13" ht="12">
      <c r="B25" s="89"/>
      <c r="C25" s="89"/>
      <c r="D25" s="89"/>
      <c r="E25" s="89"/>
      <c r="F25" s="89"/>
      <c r="G25" s="99" t="s">
        <v>72</v>
      </c>
      <c r="H25" s="100"/>
      <c r="I25" s="120">
        <f>I24*H25</f>
        <v>0</v>
      </c>
    </row>
    <row r="26" spans="2:13" ht="12">
      <c r="B26" s="89"/>
      <c r="C26" s="89"/>
      <c r="D26" s="89"/>
      <c r="E26" s="89"/>
      <c r="F26" s="89"/>
      <c r="G26" s="258" t="s">
        <v>73</v>
      </c>
      <c r="H26" s="258"/>
      <c r="I26" s="90">
        <f>SUM(I24:I25)</f>
        <v>393000</v>
      </c>
    </row>
    <row r="27" spans="2:13" ht="12">
      <c r="B27" s="78"/>
      <c r="C27" s="289" t="s">
        <v>74</v>
      </c>
      <c r="D27" s="289"/>
      <c r="E27" s="78"/>
      <c r="F27" s="78"/>
      <c r="G27" s="78"/>
      <c r="H27" s="78"/>
      <c r="I27" s="79"/>
    </row>
    <row r="28" spans="2:13" ht="12">
      <c r="B28" s="70" t="s">
        <v>42</v>
      </c>
      <c r="C28" s="70" t="s">
        <v>58</v>
      </c>
      <c r="D28" s="70" t="s">
        <v>342</v>
      </c>
      <c r="E28" s="70" t="s">
        <v>343</v>
      </c>
      <c r="F28" s="70" t="s">
        <v>344</v>
      </c>
      <c r="G28" s="70" t="s">
        <v>1278</v>
      </c>
      <c r="H28" s="74" t="s">
        <v>61</v>
      </c>
      <c r="I28" s="300"/>
    </row>
    <row r="29" spans="2:13" ht="12">
      <c r="B29" s="70" t="s">
        <v>274</v>
      </c>
      <c r="C29" s="70" t="str">
        <f>VLOOKUP(B29,'MAQUINARIA Y EQUIPOS  '!C12:F100,2,FALSE)</f>
        <v>CAMIONETA D300</v>
      </c>
      <c r="D29" s="75" t="s">
        <v>342</v>
      </c>
      <c r="E29" s="70">
        <v>1</v>
      </c>
      <c r="F29" s="70">
        <v>19</v>
      </c>
      <c r="G29" s="102">
        <v>1000</v>
      </c>
      <c r="H29" s="103">
        <f>+G29*E29</f>
        <v>1000</v>
      </c>
      <c r="I29" s="301"/>
    </row>
    <row r="30" spans="2:13">
      <c r="B30" s="71"/>
      <c r="C30" s="71"/>
      <c r="D30" s="82"/>
      <c r="E30" s="71"/>
      <c r="F30" s="71"/>
      <c r="G30" s="86"/>
      <c r="H30" s="86"/>
      <c r="I30" s="301"/>
      <c r="L30" s="43"/>
    </row>
    <row r="31" spans="2:13" ht="12">
      <c r="B31" s="89"/>
      <c r="C31" s="89"/>
      <c r="D31" s="89"/>
      <c r="E31" s="89"/>
      <c r="F31" s="89"/>
      <c r="G31" s="302" t="s">
        <v>64</v>
      </c>
      <c r="H31" s="302"/>
      <c r="I31" s="104">
        <f>+H29</f>
        <v>1000</v>
      </c>
      <c r="M31" s="172"/>
    </row>
    <row r="32" spans="2:13"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0.13</v>
      </c>
      <c r="H34" s="94">
        <f>F34*G34*D34</f>
        <v>6296.875</v>
      </c>
      <c r="I34" s="294"/>
    </row>
    <row r="35" spans="2:9">
      <c r="B35" s="106"/>
      <c r="C35" s="106"/>
      <c r="D35" s="106"/>
      <c r="E35" s="106"/>
      <c r="F35" s="86"/>
      <c r="G35" s="121"/>
      <c r="H35" s="94"/>
      <c r="I35" s="294"/>
    </row>
    <row r="36" spans="2:9" ht="12">
      <c r="B36" s="108"/>
      <c r="C36" s="109"/>
      <c r="D36" s="109"/>
      <c r="E36" s="109"/>
      <c r="F36" s="110"/>
      <c r="G36" s="110"/>
      <c r="H36" s="111" t="s">
        <v>64</v>
      </c>
      <c r="I36" s="112">
        <f>SUM(H34:H35)</f>
        <v>6296.875</v>
      </c>
    </row>
    <row r="37" spans="2:9" ht="12">
      <c r="B37" s="295" t="s">
        <v>83</v>
      </c>
      <c r="C37" s="296"/>
      <c r="D37" s="297" t="s">
        <v>77</v>
      </c>
      <c r="E37" s="298"/>
      <c r="F37" s="298"/>
      <c r="G37" s="298"/>
      <c r="H37" s="299"/>
      <c r="I37" s="113">
        <v>400000</v>
      </c>
    </row>
  </sheetData>
  <mergeCells count="36">
    <mergeCell ref="I33:I35"/>
    <mergeCell ref="B37:C37"/>
    <mergeCell ref="D37:H37"/>
    <mergeCell ref="G24:H24"/>
    <mergeCell ref="G26:H26"/>
    <mergeCell ref="C27:D27"/>
    <mergeCell ref="I28:I30"/>
    <mergeCell ref="G31:H31"/>
    <mergeCell ref="C32:D3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316C9-0220-42CA-B59B-54C086E3285B}">
  <sheetPr codeName="Hoja89"/>
  <dimension ref="B3:I37"/>
  <sheetViews>
    <sheetView topLeftCell="A10" zoomScale="89" zoomScaleNormal="89" workbookViewId="0">
      <selection activeCell="L13" sqref="L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36.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2"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01.25" customHeight="1">
      <c r="B13" s="17">
        <v>12.1</v>
      </c>
      <c r="C13" s="283" t="s">
        <v>1965</v>
      </c>
      <c r="D13" s="284"/>
      <c r="E13" s="284"/>
      <c r="F13" s="285"/>
      <c r="G13" s="286" t="s">
        <v>2</v>
      </c>
      <c r="H13" s="286"/>
      <c r="I13" s="114">
        <v>61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1551</v>
      </c>
      <c r="D23" s="291"/>
      <c r="E23" s="97" t="s">
        <v>1299</v>
      </c>
      <c r="F23" s="117">
        <v>500000</v>
      </c>
      <c r="G23" s="92">
        <v>1</v>
      </c>
      <c r="H23" s="83">
        <f>+G23*F23</f>
        <v>500000</v>
      </c>
      <c r="I23" s="287"/>
    </row>
    <row r="24" spans="2:9" ht="12">
      <c r="B24" s="89"/>
      <c r="C24" s="89"/>
      <c r="D24" s="89"/>
      <c r="E24" s="89"/>
      <c r="F24" s="89"/>
      <c r="G24" s="258" t="s">
        <v>64</v>
      </c>
      <c r="H24" s="258"/>
      <c r="I24" s="85">
        <f>SUM(H23:H23)</f>
        <v>500000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500000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0.25</v>
      </c>
      <c r="H34" s="94">
        <f>F34*G34*D34</f>
        <v>12109.375</v>
      </c>
      <c r="I34" s="294"/>
    </row>
    <row r="35" spans="2:9">
      <c r="B35" s="106"/>
      <c r="C35" s="106"/>
      <c r="D35" s="106"/>
      <c r="E35" s="106"/>
      <c r="F35" s="86"/>
      <c r="G35" s="121"/>
      <c r="H35" s="94"/>
      <c r="I35" s="294"/>
    </row>
    <row r="36" spans="2:9" ht="12">
      <c r="B36" s="108"/>
      <c r="C36" s="109"/>
      <c r="D36" s="109"/>
      <c r="E36" s="109"/>
      <c r="F36" s="110"/>
      <c r="G36" s="110"/>
      <c r="H36" s="111" t="s">
        <v>64</v>
      </c>
      <c r="I36" s="112">
        <f>SUM(H34:H35)</f>
        <v>12109.375</v>
      </c>
    </row>
    <row r="37" spans="2:9" ht="12">
      <c r="B37" s="295" t="s">
        <v>83</v>
      </c>
      <c r="C37" s="296"/>
      <c r="D37" s="297" t="s">
        <v>77</v>
      </c>
      <c r="E37" s="298"/>
      <c r="F37" s="298"/>
      <c r="G37" s="298"/>
      <c r="H37" s="299"/>
      <c r="I37" s="113">
        <f>SUM(I20+I31+I26+I36)</f>
        <v>513533.65500000003</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FDE6-6DBE-42D0-99D1-6DBBA449789A}">
  <sheetPr codeName="Hoja90"/>
  <dimension ref="B3:I37"/>
  <sheetViews>
    <sheetView topLeftCell="A22" zoomScale="89" zoomScaleNormal="89" workbookViewId="0">
      <selection activeCell="K16" sqref="K16"/>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12.11</v>
      </c>
      <c r="C13" s="283" t="s">
        <v>1966</v>
      </c>
      <c r="D13" s="284"/>
      <c r="E13" s="284"/>
      <c r="F13" s="285"/>
      <c r="G13" s="286" t="s">
        <v>170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2005</v>
      </c>
      <c r="D23" s="291"/>
      <c r="E23" s="97" t="s">
        <v>2000</v>
      </c>
      <c r="F23" s="117">
        <v>34979200.719999999</v>
      </c>
      <c r="G23" s="92">
        <v>1</v>
      </c>
      <c r="H23" s="83">
        <f>+G23*F23</f>
        <v>34979200.719999999</v>
      </c>
      <c r="I23" s="287"/>
    </row>
    <row r="24" spans="2:9" ht="12">
      <c r="B24" s="89"/>
      <c r="C24" s="89"/>
      <c r="D24" s="89"/>
      <c r="E24" s="89"/>
      <c r="F24" s="89"/>
      <c r="G24" s="258" t="s">
        <v>64</v>
      </c>
      <c r="H24" s="258"/>
      <c r="I24" s="85">
        <f>SUM(H23:H23)</f>
        <v>34979200.719999999</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34979200.719999999</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0.4</v>
      </c>
      <c r="H34" s="94">
        <f>F34*G34*D34</f>
        <v>19375</v>
      </c>
      <c r="I34" s="294"/>
    </row>
    <row r="35" spans="2:9">
      <c r="B35" s="106"/>
      <c r="C35" s="106"/>
      <c r="D35" s="106"/>
      <c r="E35" s="106"/>
      <c r="F35" s="86"/>
      <c r="G35" s="121"/>
      <c r="H35" s="94"/>
      <c r="I35" s="294"/>
    </row>
    <row r="36" spans="2:9" ht="12">
      <c r="B36" s="108"/>
      <c r="C36" s="109"/>
      <c r="D36" s="109"/>
      <c r="E36" s="109"/>
      <c r="F36" s="110"/>
      <c r="G36" s="110"/>
      <c r="H36" s="111" t="s">
        <v>64</v>
      </c>
      <c r="I36" s="112">
        <f>SUM(H34:H35)</f>
        <v>19375</v>
      </c>
    </row>
    <row r="37" spans="2:9" ht="12">
      <c r="B37" s="295" t="s">
        <v>83</v>
      </c>
      <c r="C37" s="296"/>
      <c r="D37" s="297" t="s">
        <v>77</v>
      </c>
      <c r="E37" s="298"/>
      <c r="F37" s="298"/>
      <c r="G37" s="298"/>
      <c r="H37" s="299"/>
      <c r="I37" s="113">
        <f>SUM(I20+I31+I26+I36)</f>
        <v>35000000</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869C-CBD1-4312-B25A-6CFEC32B9336}">
  <sheetPr codeName="Hoja91"/>
  <dimension ref="B3:I37"/>
  <sheetViews>
    <sheetView topLeftCell="A16" zoomScale="89" zoomScaleNormal="89" workbookViewId="0">
      <selection activeCell="M17" sqref="M17"/>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14.296875" style="11" bestFit="1" customWidth="1"/>
    <col min="7" max="7" width="17.09765625" style="11" customWidth="1"/>
    <col min="8" max="8" width="20.69921875" style="11" customWidth="1"/>
    <col min="9" max="9" width="17.39843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12.12</v>
      </c>
      <c r="C13" s="283" t="s">
        <v>1967</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34</v>
      </c>
      <c r="D23" s="291"/>
      <c r="E23" s="97" t="s">
        <v>136</v>
      </c>
      <c r="F23" s="117">
        <f>12000000*1.2</f>
        <v>14400000</v>
      </c>
      <c r="G23" s="92">
        <v>1</v>
      </c>
      <c r="H23" s="83">
        <f>+G23*F23</f>
        <v>14400000</v>
      </c>
      <c r="I23" s="287"/>
    </row>
    <row r="24" spans="2:9" ht="12">
      <c r="B24" s="89"/>
      <c r="C24" s="89"/>
      <c r="D24" s="89"/>
      <c r="E24" s="89"/>
      <c r="F24" s="89"/>
      <c r="G24" s="258" t="s">
        <v>64</v>
      </c>
      <c r="H24" s="258"/>
      <c r="I24" s="85">
        <f>SUM(H23:H23)</f>
        <v>14400000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14400000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0.25</v>
      </c>
      <c r="H34" s="94">
        <f>F34*G34*D34</f>
        <v>12109.375</v>
      </c>
      <c r="I34" s="294"/>
    </row>
    <row r="35" spans="2:9">
      <c r="B35" s="106"/>
      <c r="C35" s="106"/>
      <c r="D35" s="106"/>
      <c r="E35" s="106"/>
      <c r="F35" s="86"/>
      <c r="G35" s="121"/>
      <c r="H35" s="94"/>
      <c r="I35" s="294"/>
    </row>
    <row r="36" spans="2:9" ht="12">
      <c r="B36" s="108"/>
      <c r="C36" s="109"/>
      <c r="D36" s="109"/>
      <c r="E36" s="109"/>
      <c r="F36" s="110"/>
      <c r="G36" s="110"/>
      <c r="H36" s="111" t="s">
        <v>64</v>
      </c>
      <c r="I36" s="112">
        <f>SUM(H34:H35)</f>
        <v>12109.375</v>
      </c>
    </row>
    <row r="37" spans="2:9" ht="12">
      <c r="B37" s="295" t="s">
        <v>83</v>
      </c>
      <c r="C37" s="296"/>
      <c r="D37" s="297" t="s">
        <v>77</v>
      </c>
      <c r="E37" s="298"/>
      <c r="F37" s="298"/>
      <c r="G37" s="298"/>
      <c r="H37" s="299"/>
      <c r="I37" s="113">
        <f>SUM(I20+I31+I26+I36)</f>
        <v>14413533.654999999</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DE5C-601F-49E7-845C-6172D1FBE0E8}">
  <sheetPr codeName="Hoja9"/>
  <dimension ref="B3:I41"/>
  <sheetViews>
    <sheetView workbookViewId="0">
      <selection activeCell="L23" sqref="L23"/>
    </sheetView>
  </sheetViews>
  <sheetFormatPr baseColWidth="10" defaultColWidth="11.3984375" defaultRowHeight="11.4"/>
  <cols>
    <col min="1" max="2" width="11.3984375" style="11"/>
    <col min="3" max="3" width="25.3984375" style="11" customWidth="1"/>
    <col min="4" max="4" width="11.3984375" style="11"/>
    <col min="5" max="5" width="29.3984375" style="11" customWidth="1"/>
    <col min="6" max="6" width="22.3984375" style="11" customWidth="1"/>
    <col min="7" max="7" width="17.09765625" style="11" customWidth="1"/>
    <col min="8" max="8" width="20.69921875" style="11" customWidth="1"/>
    <col min="9" max="9" width="13.09765625" style="11" customWidth="1"/>
    <col min="10" max="16384" width="11.3984375" style="11"/>
  </cols>
  <sheetData>
    <row r="3" spans="2:9" ht="15" customHeight="1">
      <c r="B3" s="258"/>
      <c r="C3" s="258"/>
      <c r="D3" s="259" t="s">
        <v>2002</v>
      </c>
      <c r="E3" s="260"/>
      <c r="F3" s="71" t="s">
        <v>46</v>
      </c>
      <c r="G3" s="263">
        <v>46143</v>
      </c>
      <c r="H3" s="264"/>
      <c r="I3" s="265"/>
    </row>
    <row r="4" spans="2:9">
      <c r="B4" s="258"/>
      <c r="C4" s="258"/>
      <c r="D4" s="261"/>
      <c r="E4" s="262"/>
      <c r="F4" s="71" t="s">
        <v>47</v>
      </c>
      <c r="G4" s="71">
        <v>1</v>
      </c>
      <c r="H4" s="258"/>
      <c r="I4" s="258"/>
    </row>
    <row r="5" spans="2:9">
      <c r="B5" s="258"/>
      <c r="C5" s="258"/>
      <c r="D5" s="261"/>
      <c r="E5" s="262"/>
      <c r="F5" s="71" t="s">
        <v>48</v>
      </c>
      <c r="G5" s="258"/>
      <c r="H5" s="258"/>
      <c r="I5" s="258"/>
    </row>
    <row r="6" spans="2:9" ht="15" customHeight="1">
      <c r="B6" s="258"/>
      <c r="C6" s="258"/>
      <c r="D6" s="266" t="s">
        <v>49</v>
      </c>
      <c r="E6" s="267"/>
      <c r="F6" s="259"/>
      <c r="G6" s="270"/>
      <c r="H6" s="270"/>
      <c r="I6" s="260"/>
    </row>
    <row r="7" spans="2:9">
      <c r="B7" s="258"/>
      <c r="C7" s="258"/>
      <c r="D7" s="268"/>
      <c r="E7" s="269"/>
      <c r="F7" s="271"/>
      <c r="G7" s="272"/>
      <c r="H7" s="272"/>
      <c r="I7" s="273"/>
    </row>
    <row r="8" spans="2:9" ht="12">
      <c r="B8" s="89"/>
      <c r="C8" s="89"/>
      <c r="D8" s="89"/>
      <c r="E8" s="89"/>
      <c r="F8" s="89"/>
      <c r="G8" s="89"/>
      <c r="H8" s="89"/>
      <c r="I8" s="79"/>
    </row>
    <row r="9" spans="2:9">
      <c r="B9" s="258" t="s">
        <v>50</v>
      </c>
      <c r="C9" s="258"/>
      <c r="D9" s="274" t="e">
        <f>+#REF!</f>
        <v>#REF!</v>
      </c>
      <c r="E9" s="276" t="s">
        <v>51</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3" t="s">
        <v>22</v>
      </c>
      <c r="C13" s="283" t="s">
        <v>1890</v>
      </c>
      <c r="D13" s="284"/>
      <c r="E13" s="284"/>
      <c r="F13" s="285"/>
      <c r="G13" s="286" t="s">
        <v>2</v>
      </c>
      <c r="H13" s="286"/>
      <c r="I13" s="17">
        <v>23.259999999999998</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'!C7:F95,2,FALSE)</f>
        <v xml:space="preserve">Pluma grua </v>
      </c>
      <c r="D19" s="265"/>
      <c r="E19" s="88" t="str">
        <f>VLOOKUP(B19,'MAQUINARIA Y EQUIPOS  '!C7:F95,3,FALSE)</f>
        <v>HH</v>
      </c>
      <c r="F19" s="86">
        <f>VLOOKUP(B19,'MAQUINARIA Y EQUIPOS  '!C7:F95,4,FALSE)</f>
        <v>10500</v>
      </c>
      <c r="G19" s="71">
        <v>0.08</v>
      </c>
      <c r="H19" s="85">
        <f>F19*G19</f>
        <v>840</v>
      </c>
      <c r="I19" s="287"/>
    </row>
    <row r="20" spans="2:9">
      <c r="B20" s="71" t="s">
        <v>1263</v>
      </c>
      <c r="C20" s="258" t="str">
        <f>VLOOKUP(B20,'MAQUINARIA Y EQUIPOS  '!C7:F95,2,FALSE)</f>
        <v xml:space="preserve">MARTILLO DEMOLEDOR </v>
      </c>
      <c r="D20" s="258"/>
      <c r="E20" s="88" t="str">
        <f>VLOOKUP(B20,'MAQUINARIA Y EQUIPOS  '!C7:F95,3,FALSE)</f>
        <v>HH</v>
      </c>
      <c r="F20" s="86">
        <f>VLOOKUP(B20,'MAQUINARIA Y EQUIPOS  '!C7:F95,4,FALSE)</f>
        <v>12000</v>
      </c>
      <c r="G20" s="71">
        <v>0.02</v>
      </c>
      <c r="H20" s="85">
        <f>F20*G20</f>
        <v>240</v>
      </c>
      <c r="I20" s="287"/>
    </row>
    <row r="21" spans="2:9" ht="12">
      <c r="B21" s="89"/>
      <c r="C21" s="89"/>
      <c r="D21" s="89"/>
      <c r="E21" s="89"/>
      <c r="F21" s="89"/>
      <c r="G21" s="89"/>
      <c r="H21" s="89" t="s">
        <v>64</v>
      </c>
      <c r="I21" s="90">
        <f>SUM(H18:H20)</f>
        <v>2151.4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c r="C24" s="292"/>
      <c r="D24" s="293"/>
      <c r="E24" s="91"/>
      <c r="F24" s="94"/>
      <c r="G24" s="92"/>
      <c r="H24" s="83"/>
      <c r="I24" s="287"/>
    </row>
    <row r="25" spans="2:9">
      <c r="B25" s="71"/>
      <c r="C25" s="292"/>
      <c r="D25" s="293"/>
      <c r="E25" s="91"/>
      <c r="F25" s="94"/>
      <c r="G25" s="92"/>
      <c r="H25" s="83"/>
      <c r="I25" s="287"/>
    </row>
    <row r="26" spans="2:9">
      <c r="B26" s="71"/>
      <c r="C26" s="292"/>
      <c r="D26" s="293"/>
      <c r="E26" s="91"/>
      <c r="F26" s="94"/>
      <c r="G26" s="92"/>
      <c r="H26" s="83"/>
      <c r="I26" s="287"/>
    </row>
    <row r="27" spans="2:9">
      <c r="B27" s="71"/>
      <c r="C27" s="292"/>
      <c r="D27" s="293"/>
      <c r="E27" s="91"/>
      <c r="F27" s="94"/>
      <c r="G27" s="92"/>
      <c r="H27" s="83"/>
      <c r="I27" s="287"/>
    </row>
    <row r="28" spans="2:9" ht="12">
      <c r="B28" s="89"/>
      <c r="C28" s="89"/>
      <c r="D28" s="89"/>
      <c r="E28" s="89"/>
      <c r="F28" s="89"/>
      <c r="G28" s="258" t="s">
        <v>64</v>
      </c>
      <c r="H28" s="258"/>
      <c r="I28" s="85">
        <f>SUM(H24:H27)</f>
        <v>0</v>
      </c>
    </row>
    <row r="29" spans="2:9" ht="12">
      <c r="B29" s="89"/>
      <c r="C29" s="89"/>
      <c r="D29" s="89"/>
      <c r="E29" s="89"/>
      <c r="F29" s="89"/>
      <c r="G29" s="99" t="s">
        <v>72</v>
      </c>
      <c r="H29" s="100">
        <v>0.05</v>
      </c>
      <c r="I29" s="101">
        <f>I28*H29</f>
        <v>0</v>
      </c>
    </row>
    <row r="30" spans="2:9" ht="12">
      <c r="B30" s="89"/>
      <c r="C30" s="89"/>
      <c r="D30" s="89"/>
      <c r="E30" s="89"/>
      <c r="F30" s="89"/>
      <c r="G30" s="258" t="s">
        <v>73</v>
      </c>
      <c r="H30" s="258"/>
      <c r="I30" s="90">
        <f>SUM(I28:I29)</f>
        <v>0</v>
      </c>
    </row>
    <row r="31" spans="2:9" ht="12">
      <c r="B31" s="78"/>
      <c r="C31" s="289" t="s">
        <v>74</v>
      </c>
      <c r="D31" s="289"/>
      <c r="E31" s="78"/>
      <c r="F31" s="78"/>
      <c r="G31" s="78"/>
      <c r="H31" s="78"/>
      <c r="I31" s="79"/>
    </row>
    <row r="32" spans="2:9" ht="12">
      <c r="B32" s="70" t="s">
        <v>42</v>
      </c>
      <c r="C32" s="70" t="s">
        <v>58</v>
      </c>
      <c r="D32" s="70" t="s">
        <v>342</v>
      </c>
      <c r="E32" s="70" t="s">
        <v>343</v>
      </c>
      <c r="F32" s="70" t="s">
        <v>344</v>
      </c>
      <c r="G32" s="70" t="s">
        <v>345</v>
      </c>
      <c r="H32" s="74" t="s">
        <v>61</v>
      </c>
      <c r="I32" s="300"/>
    </row>
    <row r="33" spans="2:9" ht="12">
      <c r="B33" s="70" t="s">
        <v>192</v>
      </c>
      <c r="C33" s="70" t="str">
        <f>VLOOKUP(B33,'MAQUINARIA Y EQUIPOS  '!C7:F95,2,FALSE)</f>
        <v>Volqueta de 8 m3</v>
      </c>
      <c r="D33" s="75" t="str">
        <f>VLOOKUP(B33,'MAQUINARIA Y EQUIPOS  '!C7:F95,3,FALSE)</f>
        <v>m3/km</v>
      </c>
      <c r="E33" s="70">
        <f>0.05*1.3</f>
        <v>6.5000000000000002E-2</v>
      </c>
      <c r="F33" s="70">
        <v>19</v>
      </c>
      <c r="G33" s="102">
        <f>VLOOKUP(B33,'MAQUINARIA Y EQUIPOS  '!C7:F95,4,FALSE)</f>
        <v>1500</v>
      </c>
      <c r="H33" s="103">
        <f>+F33*G33*E33</f>
        <v>1852.5</v>
      </c>
      <c r="I33" s="301"/>
    </row>
    <row r="34" spans="2:9">
      <c r="B34" s="71"/>
      <c r="C34" s="71"/>
      <c r="D34" s="82"/>
      <c r="E34" s="71"/>
      <c r="F34" s="71"/>
      <c r="G34" s="86"/>
      <c r="H34" s="86"/>
      <c r="I34" s="301"/>
    </row>
    <row r="35" spans="2:9" ht="12">
      <c r="B35" s="89"/>
      <c r="C35" s="89"/>
      <c r="D35" s="89"/>
      <c r="E35" s="89"/>
      <c r="F35" s="89"/>
      <c r="G35" s="302" t="s">
        <v>64</v>
      </c>
      <c r="H35" s="302"/>
      <c r="I35" s="104">
        <f>+H33</f>
        <v>1852.5</v>
      </c>
    </row>
    <row r="36" spans="2:9" ht="12">
      <c r="B36" s="78"/>
      <c r="C36" s="289" t="s">
        <v>75</v>
      </c>
      <c r="D36" s="289"/>
      <c r="E36" s="78"/>
      <c r="F36" s="78"/>
      <c r="G36" s="78"/>
      <c r="H36" s="78"/>
      <c r="I36" s="79"/>
    </row>
    <row r="37" spans="2:9" ht="12">
      <c r="B37" s="105" t="s">
        <v>42</v>
      </c>
      <c r="C37" s="305" t="s">
        <v>76</v>
      </c>
      <c r="D37" s="306"/>
      <c r="E37" s="105" t="s">
        <v>1</v>
      </c>
      <c r="F37" s="105" t="s">
        <v>77</v>
      </c>
      <c r="G37" s="105" t="s">
        <v>78</v>
      </c>
      <c r="H37" s="105" t="s">
        <v>79</v>
      </c>
      <c r="I37" s="294"/>
    </row>
    <row r="38" spans="2:9" ht="21.75" customHeight="1">
      <c r="B38" s="106" t="s">
        <v>359</v>
      </c>
      <c r="C38" s="303" t="str">
        <f>+VLOOKUP(B38,'MANO DE OBRA '!B23:G46,2,FALSE)</f>
        <v xml:space="preserve"> Cuadrilla de construccion 2 (1 oficial+ 2 ayudante)</v>
      </c>
      <c r="D38" s="304"/>
      <c r="E38" s="106" t="str">
        <f>+VLOOKUP(B38,'MANO DE OBRA '!B23:G46,4,FALSE)</f>
        <v>Hora</v>
      </c>
      <c r="F38" s="86">
        <f>+VLOOKUP(B38,'MANO DE OBRA '!B23:G46,3,FALSE)</f>
        <v>66187.5</v>
      </c>
      <c r="G38" s="121">
        <v>0.375</v>
      </c>
      <c r="H38" s="94">
        <f>F38*G38</f>
        <v>24820.3125</v>
      </c>
      <c r="I38" s="294"/>
    </row>
    <row r="39" spans="2:9">
      <c r="B39" s="106"/>
      <c r="C39" s="303"/>
      <c r="D39" s="304"/>
      <c r="E39" s="106"/>
      <c r="F39" s="86"/>
      <c r="G39" s="121"/>
      <c r="H39" s="94"/>
      <c r="I39" s="294"/>
    </row>
    <row r="40" spans="2:9" ht="12">
      <c r="B40" s="108"/>
      <c r="C40" s="109"/>
      <c r="D40" s="109"/>
      <c r="E40" s="109"/>
      <c r="F40" s="110"/>
      <c r="G40" s="110"/>
      <c r="H40" s="111" t="s">
        <v>64</v>
      </c>
      <c r="I40" s="112">
        <f>SUM(H38:H39)</f>
        <v>24820.3125</v>
      </c>
    </row>
    <row r="41" spans="2:9" ht="12">
      <c r="B41" s="295" t="s">
        <v>83</v>
      </c>
      <c r="C41" s="296"/>
      <c r="D41" s="297" t="s">
        <v>77</v>
      </c>
      <c r="E41" s="298"/>
      <c r="F41" s="298"/>
      <c r="G41" s="298"/>
      <c r="H41" s="299"/>
      <c r="I41" s="113">
        <f>SUM(I21+I35+I30+I40)</f>
        <v>28824.212500000001</v>
      </c>
    </row>
  </sheetData>
  <mergeCells count="43">
    <mergeCell ref="C36:D36"/>
    <mergeCell ref="I37:I39"/>
    <mergeCell ref="C38:D38"/>
    <mergeCell ref="C39:D39"/>
    <mergeCell ref="B41:C41"/>
    <mergeCell ref="D41:H41"/>
    <mergeCell ref="C37:D37"/>
    <mergeCell ref="G35:H35"/>
    <mergeCell ref="C17:D17"/>
    <mergeCell ref="I17:I20"/>
    <mergeCell ref="C18:D18"/>
    <mergeCell ref="C20:D20"/>
    <mergeCell ref="C22:D22"/>
    <mergeCell ref="C23:D23"/>
    <mergeCell ref="I23:I27"/>
    <mergeCell ref="C24:D24"/>
    <mergeCell ref="C25:D25"/>
    <mergeCell ref="C26:D26"/>
    <mergeCell ref="C27:D27"/>
    <mergeCell ref="G28:H28"/>
    <mergeCell ref="G30:H30"/>
    <mergeCell ref="C31:D31"/>
    <mergeCell ref="C14:E14"/>
    <mergeCell ref="F14:H14"/>
    <mergeCell ref="C15:E15"/>
    <mergeCell ref="F15:H15"/>
    <mergeCell ref="I32:I34"/>
    <mergeCell ref="C19:D19"/>
    <mergeCell ref="B3:C7"/>
    <mergeCell ref="D3:E5"/>
    <mergeCell ref="G3:I3"/>
    <mergeCell ref="H4:I4"/>
    <mergeCell ref="G5:I5"/>
    <mergeCell ref="D6:E7"/>
    <mergeCell ref="F6:I7"/>
    <mergeCell ref="C13:F13"/>
    <mergeCell ref="G13:H13"/>
    <mergeCell ref="B9:C10"/>
    <mergeCell ref="D9:D10"/>
    <mergeCell ref="E9:I10"/>
    <mergeCell ref="B11:I11"/>
    <mergeCell ref="C12:F12"/>
    <mergeCell ref="G12:H12"/>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C6CF9-B83C-4351-80E8-A69B1FBFFC3B}">
  <sheetPr codeName="Hoja92"/>
  <dimension ref="B3:I37"/>
  <sheetViews>
    <sheetView zoomScale="89" zoomScaleNormal="89" workbookViewId="0">
      <selection activeCell="L23" sqref="L2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12.13</v>
      </c>
      <c r="C13" s="283" t="s">
        <v>1968</v>
      </c>
      <c r="D13" s="284"/>
      <c r="E13" s="284"/>
      <c r="F13" s="285"/>
      <c r="G13" s="286" t="s">
        <v>170</v>
      </c>
      <c r="H13" s="286"/>
      <c r="I13" s="114">
        <v>3</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35</v>
      </c>
      <c r="D23" s="291"/>
      <c r="E23" s="97" t="s">
        <v>342</v>
      </c>
      <c r="F23" s="117">
        <v>6000000</v>
      </c>
      <c r="G23" s="92">
        <v>1</v>
      </c>
      <c r="H23" s="83">
        <f>+G23*F23</f>
        <v>6000000</v>
      </c>
      <c r="I23" s="287"/>
    </row>
    <row r="24" spans="2:9" ht="12">
      <c r="B24" s="89"/>
      <c r="C24" s="89"/>
      <c r="D24" s="89"/>
      <c r="E24" s="89"/>
      <c r="F24" s="89"/>
      <c r="G24" s="258" t="s">
        <v>64</v>
      </c>
      <c r="H24" s="258"/>
      <c r="I24" s="85">
        <f>SUM(H23:H23)</f>
        <v>6000000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6000000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0.25</v>
      </c>
      <c r="H34" s="94">
        <f>F34*G34*D34</f>
        <v>12109.375</v>
      </c>
      <c r="I34" s="294"/>
    </row>
    <row r="35" spans="2:9">
      <c r="B35" s="106"/>
      <c r="C35" s="106"/>
      <c r="D35" s="106"/>
      <c r="E35" s="106"/>
      <c r="F35" s="86"/>
      <c r="G35" s="121"/>
      <c r="H35" s="94"/>
      <c r="I35" s="294"/>
    </row>
    <row r="36" spans="2:9" ht="12">
      <c r="B36" s="108"/>
      <c r="C36" s="109"/>
      <c r="D36" s="109"/>
      <c r="E36" s="109"/>
      <c r="F36" s="110"/>
      <c r="G36" s="110"/>
      <c r="H36" s="111" t="s">
        <v>64</v>
      </c>
      <c r="I36" s="112">
        <f>SUM(H34:H35)</f>
        <v>12109.375</v>
      </c>
    </row>
    <row r="37" spans="2:9" ht="12">
      <c r="B37" s="295" t="s">
        <v>83</v>
      </c>
      <c r="C37" s="296"/>
      <c r="D37" s="297" t="s">
        <v>77</v>
      </c>
      <c r="E37" s="298"/>
      <c r="F37" s="298"/>
      <c r="G37" s="298"/>
      <c r="H37" s="299"/>
      <c r="I37" s="113">
        <f>SUM(I20+I31+I26+I36)</f>
        <v>6013533.6550000003</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FCC2-1366-4392-8B57-E59F59F6FEA6}">
  <sheetPr codeName="Hoja93"/>
  <dimension ref="B3:I37"/>
  <sheetViews>
    <sheetView topLeftCell="A19" zoomScale="89" zoomScaleNormal="89" workbookViewId="0">
      <selection activeCell="N18" sqref="N18"/>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7.39843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12</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12.14</v>
      </c>
      <c r="C13" s="283" t="s">
        <v>1969</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36</v>
      </c>
      <c r="D23" s="291"/>
      <c r="E23" s="97" t="s">
        <v>342</v>
      </c>
      <c r="F23" s="117">
        <v>18000000</v>
      </c>
      <c r="G23" s="92">
        <v>1</v>
      </c>
      <c r="H23" s="83">
        <f>+G23*F23</f>
        <v>18000000</v>
      </c>
      <c r="I23" s="287"/>
    </row>
    <row r="24" spans="2:9" ht="12">
      <c r="B24" s="89"/>
      <c r="C24" s="89"/>
      <c r="D24" s="89"/>
      <c r="E24" s="89"/>
      <c r="F24" s="89"/>
      <c r="G24" s="258" t="s">
        <v>64</v>
      </c>
      <c r="H24" s="258"/>
      <c r="I24" s="85">
        <f>SUM(H23:H23)</f>
        <v>18000000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18000000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0.25</v>
      </c>
      <c r="H34" s="94">
        <f>F34*G34*D34</f>
        <v>12109.375</v>
      </c>
      <c r="I34" s="294"/>
    </row>
    <row r="35" spans="2:9">
      <c r="B35" s="106"/>
      <c r="C35" s="106"/>
      <c r="D35" s="106"/>
      <c r="E35" s="106"/>
      <c r="F35" s="86"/>
      <c r="G35" s="121"/>
      <c r="H35" s="94"/>
      <c r="I35" s="294"/>
    </row>
    <row r="36" spans="2:9" ht="12">
      <c r="B36" s="108"/>
      <c r="C36" s="109"/>
      <c r="D36" s="109"/>
      <c r="E36" s="109"/>
      <c r="F36" s="110"/>
      <c r="G36" s="110"/>
      <c r="H36" s="111" t="s">
        <v>64</v>
      </c>
      <c r="I36" s="112">
        <f>SUM(H34:H35)</f>
        <v>12109.375</v>
      </c>
    </row>
    <row r="37" spans="2:9" ht="12">
      <c r="B37" s="295" t="s">
        <v>83</v>
      </c>
      <c r="C37" s="296"/>
      <c r="D37" s="297" t="s">
        <v>77</v>
      </c>
      <c r="E37" s="298"/>
      <c r="F37" s="298"/>
      <c r="G37" s="298"/>
      <c r="H37" s="299"/>
      <c r="I37" s="113">
        <f>SUM(I20+I31+I26+I36)</f>
        <v>18013533.655000001</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1367-0CD8-47E6-B545-0855706412D1}">
  <sheetPr codeName="Hoja94"/>
  <dimension ref="B3:I37"/>
  <sheetViews>
    <sheetView zoomScale="89" zoomScaleNormal="89" workbookViewId="0">
      <selection activeCell="J13" sqref="J13"/>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12.15</v>
      </c>
      <c r="E9" s="276" t="s">
        <v>32</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8.75" customHeight="1">
      <c r="B13" s="17">
        <v>12.15</v>
      </c>
      <c r="C13" s="283" t="s">
        <v>1970</v>
      </c>
      <c r="D13" s="284"/>
      <c r="E13" s="284"/>
      <c r="F13" s="285"/>
      <c r="G13" s="286" t="s">
        <v>170</v>
      </c>
      <c r="H13" s="286"/>
      <c r="I13" s="114">
        <v>12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0.02</v>
      </c>
      <c r="H18" s="85">
        <f>F18*G18</f>
        <v>214.28</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424.28</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c r="C23" s="290" t="s">
        <v>37</v>
      </c>
      <c r="D23" s="291"/>
      <c r="E23" s="97" t="s">
        <v>342</v>
      </c>
      <c r="F23" s="117">
        <v>576000</v>
      </c>
      <c r="G23" s="92">
        <v>1</v>
      </c>
      <c r="H23" s="83">
        <f>+G23*F23</f>
        <v>576000</v>
      </c>
      <c r="I23" s="287"/>
    </row>
    <row r="24" spans="2:9" ht="12">
      <c r="B24" s="89"/>
      <c r="C24" s="89"/>
      <c r="D24" s="89"/>
      <c r="E24" s="89"/>
      <c r="F24" s="89"/>
      <c r="G24" s="258" t="s">
        <v>64</v>
      </c>
      <c r="H24" s="258"/>
      <c r="I24" s="85">
        <f>SUM(H23:H23)</f>
        <v>576000</v>
      </c>
    </row>
    <row r="25" spans="2:9" ht="12">
      <c r="B25" s="89"/>
      <c r="C25" s="89"/>
      <c r="D25" s="89"/>
      <c r="E25" s="89"/>
      <c r="F25" s="89"/>
      <c r="G25" s="99" t="s">
        <v>72</v>
      </c>
      <c r="H25" s="100"/>
      <c r="I25" s="120">
        <f>I24*H25</f>
        <v>0</v>
      </c>
    </row>
    <row r="26" spans="2:9" ht="12">
      <c r="B26" s="89"/>
      <c r="C26" s="89"/>
      <c r="D26" s="89"/>
      <c r="E26" s="89"/>
      <c r="F26" s="89"/>
      <c r="G26" s="258" t="s">
        <v>73</v>
      </c>
      <c r="H26" s="258"/>
      <c r="I26" s="90">
        <f>SUM(I24:I25)</f>
        <v>576000</v>
      </c>
    </row>
    <row r="27" spans="2:9" ht="12">
      <c r="B27" s="78"/>
      <c r="C27" s="289" t="s">
        <v>74</v>
      </c>
      <c r="D27" s="289"/>
      <c r="E27" s="78"/>
      <c r="F27" s="78"/>
      <c r="G27" s="78"/>
      <c r="H27" s="78"/>
      <c r="I27" s="79"/>
    </row>
    <row r="28" spans="2:9" ht="12">
      <c r="B28" s="70" t="s">
        <v>42</v>
      </c>
      <c r="C28" s="70" t="s">
        <v>58</v>
      </c>
      <c r="D28" s="70" t="s">
        <v>342</v>
      </c>
      <c r="E28" s="70" t="s">
        <v>343</v>
      </c>
      <c r="F28" s="70" t="s">
        <v>344</v>
      </c>
      <c r="G28" s="70" t="s">
        <v>1278</v>
      </c>
      <c r="H28" s="74" t="s">
        <v>61</v>
      </c>
      <c r="I28" s="300"/>
    </row>
    <row r="29" spans="2:9" ht="12">
      <c r="B29" s="70" t="s">
        <v>274</v>
      </c>
      <c r="C29" s="70" t="str">
        <f>VLOOKUP(B29,'MAQUINARIA Y EQUIPOS  '!C12:F100,2,FALSE)</f>
        <v>CAMIONETA D300</v>
      </c>
      <c r="D29" s="75" t="s">
        <v>342</v>
      </c>
      <c r="E29" s="70">
        <v>1</v>
      </c>
      <c r="F29" s="70">
        <v>19</v>
      </c>
      <c r="G29" s="102">
        <v>1000</v>
      </c>
      <c r="H29" s="103">
        <f>+G29*E29</f>
        <v>1000</v>
      </c>
      <c r="I29" s="301"/>
    </row>
    <row r="30" spans="2:9">
      <c r="B30" s="71"/>
      <c r="C30" s="71"/>
      <c r="D30" s="82"/>
      <c r="E30" s="71"/>
      <c r="F30" s="71"/>
      <c r="G30" s="86"/>
      <c r="H30" s="86"/>
      <c r="I30" s="301"/>
    </row>
    <row r="31" spans="2:9" ht="12">
      <c r="B31" s="89"/>
      <c r="C31" s="89"/>
      <c r="D31" s="89"/>
      <c r="E31" s="89"/>
      <c r="F31" s="89"/>
      <c r="G31" s="302" t="s">
        <v>64</v>
      </c>
      <c r="H31" s="302"/>
      <c r="I31" s="104">
        <f>+H29</f>
        <v>1000</v>
      </c>
    </row>
    <row r="32" spans="2:9" ht="12">
      <c r="B32" s="78"/>
      <c r="C32" s="289" t="s">
        <v>75</v>
      </c>
      <c r="D32" s="289"/>
      <c r="E32" s="78"/>
      <c r="F32" s="78"/>
      <c r="G32" s="78"/>
      <c r="H32" s="78"/>
      <c r="I32" s="79"/>
    </row>
    <row r="33" spans="2:9" ht="12">
      <c r="B33" s="105" t="s">
        <v>42</v>
      </c>
      <c r="C33" s="105" t="s">
        <v>76</v>
      </c>
      <c r="D33" s="105" t="s">
        <v>1225</v>
      </c>
      <c r="E33" s="105" t="s">
        <v>1</v>
      </c>
      <c r="F33" s="105" t="s">
        <v>77</v>
      </c>
      <c r="G33" s="105" t="s">
        <v>78</v>
      </c>
      <c r="H33" s="105" t="s">
        <v>79</v>
      </c>
      <c r="I33" s="294"/>
    </row>
    <row r="34" spans="2:9" ht="30" customHeight="1">
      <c r="B34" s="106" t="s">
        <v>356</v>
      </c>
      <c r="C34" s="106" t="str">
        <f>+VLOOKUP(B34,'MANO DE OBRA '!B23:G46,2,FALSE)</f>
        <v>Cuadrilla de construccion 1(1 oficial+ 1 ayudante)</v>
      </c>
      <c r="D34" s="106">
        <v>1</v>
      </c>
      <c r="E34" s="106" t="str">
        <f>+VLOOKUP(B34,'MANO DE OBRA '!B23:G46,4,FALSE)</f>
        <v>Hora</v>
      </c>
      <c r="F34" s="86">
        <f>+VLOOKUP(B34,'MANO DE OBRA '!B23:G46,3,FALSE)</f>
        <v>48437.5</v>
      </c>
      <c r="G34" s="121">
        <v>0.25</v>
      </c>
      <c r="H34" s="94">
        <f>F34*G34*D34</f>
        <v>12109.375</v>
      </c>
      <c r="I34" s="294"/>
    </row>
    <row r="35" spans="2:9">
      <c r="B35" s="106"/>
      <c r="C35" s="106"/>
      <c r="D35" s="106"/>
      <c r="E35" s="106"/>
      <c r="F35" s="86"/>
      <c r="G35" s="121"/>
      <c r="H35" s="94"/>
      <c r="I35" s="294"/>
    </row>
    <row r="36" spans="2:9" ht="12">
      <c r="B36" s="108"/>
      <c r="C36" s="109"/>
      <c r="D36" s="109"/>
      <c r="E36" s="109"/>
      <c r="F36" s="110"/>
      <c r="G36" s="110"/>
      <c r="H36" s="111" t="s">
        <v>64</v>
      </c>
      <c r="I36" s="112">
        <f>SUM(H34:H35)</f>
        <v>12109.375</v>
      </c>
    </row>
    <row r="37" spans="2:9" ht="12">
      <c r="B37" s="295" t="s">
        <v>83</v>
      </c>
      <c r="C37" s="296"/>
      <c r="D37" s="297" t="s">
        <v>77</v>
      </c>
      <c r="E37" s="298"/>
      <c r="F37" s="298"/>
      <c r="G37" s="298"/>
      <c r="H37" s="299"/>
      <c r="I37" s="113">
        <f>SUM(I20+I31+I26+I36)</f>
        <v>589533.65500000003</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3"/>
    <mergeCell ref="C23:D23"/>
    <mergeCell ref="C13:F13"/>
    <mergeCell ref="G13:H13"/>
    <mergeCell ref="C14:E14"/>
    <mergeCell ref="F14:H14"/>
    <mergeCell ref="C15:E15"/>
    <mergeCell ref="F15:H15"/>
    <mergeCell ref="C17:D17"/>
    <mergeCell ref="I17:I19"/>
    <mergeCell ref="C18:D18"/>
    <mergeCell ref="C19:D19"/>
    <mergeCell ref="C21:D21"/>
    <mergeCell ref="I33:I35"/>
    <mergeCell ref="B37:C37"/>
    <mergeCell ref="D37:H37"/>
    <mergeCell ref="G24:H24"/>
    <mergeCell ref="G26:H26"/>
    <mergeCell ref="C27:D27"/>
    <mergeCell ref="I28:I30"/>
    <mergeCell ref="G31:H31"/>
    <mergeCell ref="C32:D32"/>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196C-1201-4C15-B58A-AE93D533A3B7}">
  <sheetPr codeName="Hoja95"/>
  <dimension ref="B3:I42"/>
  <sheetViews>
    <sheetView topLeftCell="A16" zoomScale="89" zoomScaleNormal="89" workbookViewId="0">
      <selection activeCell="L20" sqref="L20"/>
    </sheetView>
  </sheetViews>
  <sheetFormatPr baseColWidth="10" defaultColWidth="11.3984375" defaultRowHeight="11.4"/>
  <cols>
    <col min="1" max="2" width="11.3984375" style="11"/>
    <col min="3" max="3" width="39.09765625" style="11" customWidth="1"/>
    <col min="4" max="4" width="30.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5.75" customHeight="1">
      <c r="B13" s="17">
        <v>13.1</v>
      </c>
      <c r="C13" s="283" t="s">
        <v>1971</v>
      </c>
      <c r="D13" s="284"/>
      <c r="E13" s="284"/>
      <c r="F13" s="285"/>
      <c r="G13" s="286" t="s">
        <v>170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1281.4000000000001</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1611</v>
      </c>
      <c r="C23" s="290" t="str">
        <f>VLOOKUP(B23,'INSUMOS '!C1:G1048573,2,FALSE)</f>
        <v>Accesorios de conexión hidráulica (Niple, teflón, soldadura PVC/CPVC)</v>
      </c>
      <c r="D23" s="291"/>
      <c r="E23" s="97" t="str">
        <f>VLOOKUP(B23,'INSUMOS '!C1:G1048573,3,FALSE)</f>
        <v xml:space="preserve">GLOBAL </v>
      </c>
      <c r="F23" s="98">
        <f>VLOOKUP(B23,'INSUMOS '!C1:G1048573,4,FALSE)</f>
        <v>40000</v>
      </c>
      <c r="G23" s="71">
        <v>1</v>
      </c>
      <c r="H23" s="83">
        <f t="shared" ref="H23:H28" si="0">+G23*F23</f>
        <v>40000</v>
      </c>
      <c r="I23" s="287"/>
    </row>
    <row r="24" spans="2:9">
      <c r="B24" s="71" t="s">
        <v>1614</v>
      </c>
      <c r="C24" s="290" t="str">
        <f>VLOOKUP(B24,'INSUMOS '!C2:G1048574,2,FALSE)</f>
        <v xml:space="preserve">Silicona antihongos </v>
      </c>
      <c r="D24" s="291"/>
      <c r="E24" s="97" t="str">
        <f>VLOOKUP(B24,'INSUMOS '!C2:G1048574,3,FALSE)</f>
        <v xml:space="preserve">UND </v>
      </c>
      <c r="F24" s="98">
        <f>VLOOKUP(B24,'INSUMOS '!C2:G1048574,4,FALSE)</f>
        <v>30000</v>
      </c>
      <c r="G24" s="71">
        <v>0.5</v>
      </c>
      <c r="H24" s="83">
        <f t="shared" si="0"/>
        <v>15000</v>
      </c>
      <c r="I24" s="287"/>
    </row>
    <row r="25" spans="2:9">
      <c r="B25" s="71" t="s">
        <v>1609</v>
      </c>
      <c r="C25" s="290" t="str">
        <f>VLOOKUP(B25,'INSUMOS '!C3:G1048575,2,FALSE)</f>
        <v>Brida sanitaria de conexión, empaques de cera y tornillos de fijación</v>
      </c>
      <c r="D25" s="291"/>
      <c r="E25" s="97" t="str">
        <f>VLOOKUP(B25,'INSUMOS '!C3:G1048575,3,FALSE)</f>
        <v xml:space="preserve">UND </v>
      </c>
      <c r="F25" s="98">
        <f>VLOOKUP(B25,'INSUMOS '!C3:G1048575,4,FALSE)</f>
        <v>50000</v>
      </c>
      <c r="G25" s="71">
        <v>1</v>
      </c>
      <c r="H25" s="83">
        <f t="shared" si="0"/>
        <v>50000</v>
      </c>
      <c r="I25" s="287"/>
    </row>
    <row r="26" spans="2:9">
      <c r="B26" s="71" t="s">
        <v>1607</v>
      </c>
      <c r="C26" s="290" t="str">
        <f>VLOOKUP(B26,'INSUMOS '!C4:G1048576,2,FALSE)</f>
        <v>Fluxómetro de sensor empotrado (Incrustado, incluye panel e infrarrojo)</v>
      </c>
      <c r="D26" s="291"/>
      <c r="E26" s="97" t="str">
        <f>VLOOKUP(B26,'INSUMOS '!C4:G1048576,3,FALSE)</f>
        <v xml:space="preserve">UND </v>
      </c>
      <c r="F26" s="98">
        <f>VLOOKUP(B26,'INSUMOS '!C4:G1048576,4,FALSE)</f>
        <v>3692900</v>
      </c>
      <c r="G26" s="71">
        <v>1</v>
      </c>
      <c r="H26" s="83">
        <f t="shared" si="0"/>
        <v>3692900</v>
      </c>
      <c r="I26" s="287"/>
    </row>
    <row r="27" spans="2:9">
      <c r="B27" s="71" t="s">
        <v>134</v>
      </c>
      <c r="C27" s="290" t="str">
        <f>VLOOKUP(B27,'INSUMOS '!C4:G1048576,2,FALSE)</f>
        <v>MORTERO  1:4</v>
      </c>
      <c r="D27" s="291"/>
      <c r="E27" s="97" t="str">
        <f>VLOOKUP(B27,'INSUMOS '!C4:G1048576,3,FALSE)</f>
        <v>M3</v>
      </c>
      <c r="F27" s="98">
        <f>VLOOKUP(B27,'INSUMOS '!C4:G1048576,4,FALSE)</f>
        <v>459006.31</v>
      </c>
      <c r="G27" s="71">
        <v>8.9999999999999993E-3</v>
      </c>
      <c r="H27" s="83">
        <f t="shared" si="0"/>
        <v>4131.0567899999996</v>
      </c>
      <c r="I27" s="287"/>
    </row>
    <row r="28" spans="2:9">
      <c r="B28" s="71" t="s">
        <v>1605</v>
      </c>
      <c r="C28" s="290" t="str">
        <f>VLOOKUP(B28,'INSUMOS '!C1:G948,2,FALSE)</f>
        <v>Sanitario línea institucional (Entrada superior/posterior de alta eficiencia)</v>
      </c>
      <c r="D28" s="291"/>
      <c r="E28" s="97" t="str">
        <f>VLOOKUP(B28,'INSUMOS '!C1:G948,3,FALSE)</f>
        <v xml:space="preserve">und </v>
      </c>
      <c r="F28" s="98">
        <f>VLOOKUP(B28,'INSUMOS '!C1:G948,4,FALSE)</f>
        <v>3000000</v>
      </c>
      <c r="G28" s="71">
        <v>1</v>
      </c>
      <c r="H28" s="83">
        <f t="shared" si="0"/>
        <v>3000000</v>
      </c>
      <c r="I28" s="287"/>
    </row>
    <row r="29" spans="2:9" ht="12">
      <c r="B29" s="89"/>
      <c r="C29" s="89"/>
      <c r="D29" s="89"/>
      <c r="E29" s="89"/>
      <c r="F29" s="89"/>
      <c r="G29" s="258" t="s">
        <v>64</v>
      </c>
      <c r="H29" s="258"/>
      <c r="I29" s="85">
        <f>SUM(H23:H28)</f>
        <v>6802031.0567899998</v>
      </c>
    </row>
    <row r="30" spans="2:9" ht="12">
      <c r="B30" s="89"/>
      <c r="C30" s="89"/>
      <c r="D30" s="89"/>
      <c r="E30" s="89"/>
      <c r="F30" s="89"/>
      <c r="G30" s="99" t="s">
        <v>72</v>
      </c>
      <c r="H30" s="100"/>
      <c r="I30" s="120">
        <f>I29*H30</f>
        <v>0</v>
      </c>
    </row>
    <row r="31" spans="2:9" ht="12">
      <c r="B31" s="89"/>
      <c r="C31" s="89"/>
      <c r="D31" s="89"/>
      <c r="E31" s="89"/>
      <c r="F31" s="89"/>
      <c r="G31" s="258" t="s">
        <v>73</v>
      </c>
      <c r="H31" s="258"/>
      <c r="I31" s="90">
        <f>SUM(I29:I30)</f>
        <v>6802031.0567899998</v>
      </c>
    </row>
    <row r="32" spans="2:9" ht="12">
      <c r="B32" s="78"/>
      <c r="C32" s="289" t="s">
        <v>74</v>
      </c>
      <c r="D32" s="289"/>
      <c r="E32" s="78"/>
      <c r="F32" s="78"/>
      <c r="G32" s="78"/>
      <c r="H32" s="78"/>
      <c r="I32" s="79"/>
    </row>
    <row r="33" spans="2:9" ht="12">
      <c r="B33" s="70" t="s">
        <v>42</v>
      </c>
      <c r="C33" s="70" t="s">
        <v>58</v>
      </c>
      <c r="D33" s="70" t="s">
        <v>342</v>
      </c>
      <c r="E33" s="70" t="s">
        <v>343</v>
      </c>
      <c r="F33" s="70" t="s">
        <v>344</v>
      </c>
      <c r="G33" s="70" t="s">
        <v>1278</v>
      </c>
      <c r="H33" s="74" t="s">
        <v>61</v>
      </c>
      <c r="I33" s="300"/>
    </row>
    <row r="34" spans="2:9" ht="12">
      <c r="B34" s="70" t="s">
        <v>274</v>
      </c>
      <c r="C34" s="70" t="str">
        <f>VLOOKUP(B34,'MAQUINARIA Y EQUIPOS  '!C12:F100,2,FALSE)</f>
        <v>CAMIONETA D300</v>
      </c>
      <c r="D34" s="75" t="s">
        <v>342</v>
      </c>
      <c r="E34" s="70">
        <v>1</v>
      </c>
      <c r="F34" s="70">
        <v>19</v>
      </c>
      <c r="G34" s="102">
        <v>1000</v>
      </c>
      <c r="H34" s="103">
        <f>+G34*E34</f>
        <v>1000</v>
      </c>
      <c r="I34" s="301"/>
    </row>
    <row r="35" spans="2:9">
      <c r="B35" s="71"/>
      <c r="C35" s="71"/>
      <c r="D35" s="82"/>
      <c r="E35" s="71"/>
      <c r="F35" s="71"/>
      <c r="G35" s="86"/>
      <c r="H35" s="86"/>
      <c r="I35" s="301"/>
    </row>
    <row r="36" spans="2:9" ht="12">
      <c r="B36" s="89"/>
      <c r="C36" s="89"/>
      <c r="D36" s="89"/>
      <c r="E36" s="89"/>
      <c r="F36" s="89"/>
      <c r="G36" s="302" t="s">
        <v>64</v>
      </c>
      <c r="H36" s="302"/>
      <c r="I36" s="104">
        <f>+H34</f>
        <v>1000</v>
      </c>
    </row>
    <row r="37" spans="2:9" ht="12">
      <c r="B37" s="78"/>
      <c r="C37" s="289" t="s">
        <v>75</v>
      </c>
      <c r="D37" s="289"/>
      <c r="E37" s="78"/>
      <c r="F37" s="78"/>
      <c r="G37" s="78"/>
      <c r="H37" s="78"/>
      <c r="I37" s="79"/>
    </row>
    <row r="38" spans="2:9" ht="12">
      <c r="B38" s="105" t="s">
        <v>42</v>
      </c>
      <c r="C38" s="105" t="s">
        <v>76</v>
      </c>
      <c r="D38" s="105" t="s">
        <v>1225</v>
      </c>
      <c r="E38" s="105" t="s">
        <v>1</v>
      </c>
      <c r="F38" s="105" t="s">
        <v>77</v>
      </c>
      <c r="G38" s="105" t="s">
        <v>78</v>
      </c>
      <c r="H38" s="105" t="s">
        <v>79</v>
      </c>
      <c r="I38" s="294"/>
    </row>
    <row r="39" spans="2:9" ht="30" customHeight="1">
      <c r="B39" s="106" t="s">
        <v>369</v>
      </c>
      <c r="C39" s="106" t="str">
        <f>+VLOOKUP(B39,'MANO DE OBRA '!B23:G46,2,FALSE)</f>
        <v xml:space="preserve"> Cuadrilla BB Instalaciones (1 oficial+ 1 ayudante)</v>
      </c>
      <c r="D39" s="106">
        <v>1</v>
      </c>
      <c r="E39" s="106" t="str">
        <f>+VLOOKUP(B39,'MANO DE OBRA '!B23:G46,4,FALSE)</f>
        <v>Hora</v>
      </c>
      <c r="F39" s="86">
        <f>+VLOOKUP(B39,'MANO DE OBRA '!B23:G46,3,FALSE)</f>
        <v>53281.25</v>
      </c>
      <c r="G39" s="121">
        <v>2.5</v>
      </c>
      <c r="H39" s="94">
        <f>F39*G39*D39</f>
        <v>133203.125</v>
      </c>
      <c r="I39" s="294"/>
    </row>
    <row r="40" spans="2:9">
      <c r="B40" s="106"/>
      <c r="C40" s="106"/>
      <c r="D40" s="106"/>
      <c r="E40" s="106"/>
      <c r="F40" s="86"/>
      <c r="G40" s="121"/>
      <c r="H40" s="94"/>
      <c r="I40" s="294"/>
    </row>
    <row r="41" spans="2:9" ht="12">
      <c r="B41" s="108"/>
      <c r="C41" s="109"/>
      <c r="D41" s="109"/>
      <c r="E41" s="109"/>
      <c r="F41" s="110"/>
      <c r="G41" s="110"/>
      <c r="H41" s="111" t="s">
        <v>64</v>
      </c>
      <c r="I41" s="112">
        <f>SUM(H39:H40)</f>
        <v>133203.125</v>
      </c>
    </row>
    <row r="42" spans="2:9" ht="12">
      <c r="B42" s="295" t="s">
        <v>83</v>
      </c>
      <c r="C42" s="296"/>
      <c r="D42" s="297" t="s">
        <v>77</v>
      </c>
      <c r="E42" s="298"/>
      <c r="F42" s="298"/>
      <c r="G42" s="298"/>
      <c r="H42" s="299"/>
      <c r="I42" s="113">
        <f>SUM(I20+I36+I31+I41)</f>
        <v>6937515.5817900002</v>
      </c>
    </row>
  </sheetData>
  <mergeCells count="41">
    <mergeCell ref="I38:I40"/>
    <mergeCell ref="B42:C42"/>
    <mergeCell ref="D42:H42"/>
    <mergeCell ref="G29:H29"/>
    <mergeCell ref="G31:H31"/>
    <mergeCell ref="C32:D32"/>
    <mergeCell ref="I33:I35"/>
    <mergeCell ref="G36:H36"/>
    <mergeCell ref="C37:D37"/>
    <mergeCell ref="C21:D21"/>
    <mergeCell ref="C22:D22"/>
    <mergeCell ref="I22:I28"/>
    <mergeCell ref="C28:D28"/>
    <mergeCell ref="C26:D26"/>
    <mergeCell ref="C24:D24"/>
    <mergeCell ref="C25:D25"/>
    <mergeCell ref="C23:D23"/>
    <mergeCell ref="C27:D27"/>
    <mergeCell ref="I17:I19"/>
    <mergeCell ref="B9:C10"/>
    <mergeCell ref="D9:D10"/>
    <mergeCell ref="E9:I10"/>
    <mergeCell ref="B11:I11"/>
    <mergeCell ref="C12:F12"/>
    <mergeCell ref="G12:H12"/>
    <mergeCell ref="C13:F13"/>
    <mergeCell ref="G13:H13"/>
    <mergeCell ref="C14:E14"/>
    <mergeCell ref="F14:H14"/>
    <mergeCell ref="C15:E15"/>
    <mergeCell ref="F15:H15"/>
    <mergeCell ref="C17:D17"/>
    <mergeCell ref="C18:D18"/>
    <mergeCell ref="C19:D19"/>
    <mergeCell ref="B3:C7"/>
    <mergeCell ref="D3:E5"/>
    <mergeCell ref="G3:I3"/>
    <mergeCell ref="H4:I4"/>
    <mergeCell ref="G5:I5"/>
    <mergeCell ref="D6:E7"/>
    <mergeCell ref="F6:I7"/>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7A491-9B46-41B7-ACC9-5F25452DA121}">
  <sheetPr codeName="Hoja96"/>
  <dimension ref="B3:I41"/>
  <sheetViews>
    <sheetView zoomScale="89" zoomScaleNormal="89" workbookViewId="0">
      <selection activeCell="J13" sqref="J13"/>
    </sheetView>
  </sheetViews>
  <sheetFormatPr baseColWidth="10" defaultColWidth="11.3984375" defaultRowHeight="11.4"/>
  <cols>
    <col min="1" max="2" width="11.3984375" style="11"/>
    <col min="3" max="3" width="38.69921875" style="11" customWidth="1"/>
    <col min="4" max="4" width="27.0976562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12">
      <c r="B13" s="17">
        <v>13.2</v>
      </c>
      <c r="C13" s="283" t="s">
        <v>1972</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0.1</v>
      </c>
      <c r="H18" s="85">
        <f>F18*G18</f>
        <v>1071.4000000000001</v>
      </c>
      <c r="I18" s="287"/>
    </row>
    <row r="19" spans="2:9">
      <c r="B19" s="71" t="s">
        <v>1267</v>
      </c>
      <c r="C19" s="288" t="str">
        <f>VLOOKUP(B19,'MAQUINARIA Y EQUIPOS  '!C8:F96,2,FALSE)</f>
        <v xml:space="preserve">Pluma grua </v>
      </c>
      <c r="D19" s="265"/>
      <c r="E19" s="71" t="str">
        <f>VLOOKUP(B19,'MAQUINARIA Y EQUIPOS  '!C8:F96,3,FALSE)</f>
        <v>HH</v>
      </c>
      <c r="F19" s="83">
        <f>VLOOKUP(B19,'MAQUINARIA Y EQUIPOS  '!C8:F96,4,FALSE)</f>
        <v>10500</v>
      </c>
      <c r="G19" s="122">
        <v>0.02</v>
      </c>
      <c r="H19" s="85">
        <f>F19*G19</f>
        <v>210</v>
      </c>
      <c r="I19" s="287"/>
    </row>
    <row r="20" spans="2:9" ht="12">
      <c r="B20" s="89"/>
      <c r="C20" s="89"/>
      <c r="D20" s="89"/>
      <c r="E20" s="89"/>
      <c r="F20" s="89"/>
      <c r="G20" s="89"/>
      <c r="H20" s="89" t="s">
        <v>64</v>
      </c>
      <c r="I20" s="90">
        <f>SUM(H18:H19)</f>
        <v>1281.4000000000001</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1611</v>
      </c>
      <c r="C23" s="290" t="str">
        <f>VLOOKUP(B23,'INSUMOS '!C1:G1048573,2,FALSE)</f>
        <v>Accesorios de conexión hidráulica (Niple, teflón, soldadura PVC/CPVC)</v>
      </c>
      <c r="D23" s="291"/>
      <c r="E23" s="97" t="str">
        <f>VLOOKUP(B23,'INSUMOS '!C1:G1048573,3,FALSE)</f>
        <v xml:space="preserve">GLOBAL </v>
      </c>
      <c r="F23" s="98">
        <f>VLOOKUP(B23,'INSUMOS '!C1:G1048573,4,FALSE)</f>
        <v>40000</v>
      </c>
      <c r="G23" s="71">
        <v>1</v>
      </c>
      <c r="H23" s="83">
        <f>+G23*F23</f>
        <v>40000</v>
      </c>
      <c r="I23" s="287"/>
    </row>
    <row r="24" spans="2:9">
      <c r="B24" s="71" t="s">
        <v>1614</v>
      </c>
      <c r="C24" s="290" t="str">
        <f>VLOOKUP(B24,'INSUMOS '!C2:G1048574,2,FALSE)</f>
        <v xml:space="preserve">Silicona antihongos </v>
      </c>
      <c r="D24" s="291"/>
      <c r="E24" s="97" t="str">
        <f>VLOOKUP(B24,'INSUMOS '!C2:G1048574,3,FALSE)</f>
        <v xml:space="preserve">UND </v>
      </c>
      <c r="F24" s="98">
        <f>VLOOKUP(B24,'INSUMOS '!C2:G1048574,4,FALSE)</f>
        <v>30000</v>
      </c>
      <c r="G24" s="71">
        <v>0.3</v>
      </c>
      <c r="H24" s="83">
        <f>+G24*F24</f>
        <v>9000</v>
      </c>
      <c r="I24" s="287"/>
    </row>
    <row r="25" spans="2:9">
      <c r="B25" s="71" t="s">
        <v>1607</v>
      </c>
      <c r="C25" s="290" t="str">
        <f>VLOOKUP(B25,'INSUMOS '!C4:G1048576,2,FALSE)</f>
        <v>Fluxómetro de sensor empotrado (Incrustado, incluye panel e infrarrojo)</v>
      </c>
      <c r="D25" s="291"/>
      <c r="E25" s="97" t="str">
        <f>VLOOKUP(B25,'INSUMOS '!C4:G1048576,3,FALSE)</f>
        <v xml:space="preserve">UND </v>
      </c>
      <c r="F25" s="98">
        <f>VLOOKUP(B25,'INSUMOS '!C4:G1048576,4,FALSE)</f>
        <v>3692900</v>
      </c>
      <c r="G25" s="71">
        <v>1</v>
      </c>
      <c r="H25" s="83">
        <f>+G25*F25</f>
        <v>3692900</v>
      </c>
      <c r="I25" s="287"/>
    </row>
    <row r="26" spans="2:9">
      <c r="B26" s="71" t="s">
        <v>134</v>
      </c>
      <c r="C26" s="290" t="str">
        <f>VLOOKUP(B26,'INSUMOS '!C4:G1048576,2,FALSE)</f>
        <v>MORTERO  1:4</v>
      </c>
      <c r="D26" s="291"/>
      <c r="E26" s="97" t="str">
        <f>VLOOKUP(B26,'INSUMOS '!C4:G1048576,3,FALSE)</f>
        <v>M3</v>
      </c>
      <c r="F26" s="98">
        <f>VLOOKUP(B26,'INSUMOS '!C4:G1048576,4,FALSE)</f>
        <v>459006.31</v>
      </c>
      <c r="G26" s="71">
        <v>8.9999999999999993E-3</v>
      </c>
      <c r="H26" s="83">
        <f>+G26*F26</f>
        <v>4131.0567899999996</v>
      </c>
      <c r="I26" s="287"/>
    </row>
    <row r="27" spans="2:9">
      <c r="B27" s="71" t="s">
        <v>1615</v>
      </c>
      <c r="C27" s="290" t="str">
        <f>VLOOKUP(B27,'INSUMOS '!C1:G948,2,FALSE)</f>
        <v>Orinal Gotta entrada posterior</v>
      </c>
      <c r="D27" s="291"/>
      <c r="E27" s="97" t="str">
        <f>VLOOKUP(B27,'INSUMOS '!C1:G948,3,FALSE)</f>
        <v xml:space="preserve">UND </v>
      </c>
      <c r="F27" s="98">
        <f>VLOOKUP(B27,'INSUMOS '!C1:G948,4,FALSE)</f>
        <v>982900</v>
      </c>
      <c r="G27" s="71">
        <v>1</v>
      </c>
      <c r="H27" s="83">
        <f>+G27*F27</f>
        <v>982900</v>
      </c>
      <c r="I27" s="287"/>
    </row>
    <row r="28" spans="2:9" ht="12">
      <c r="B28" s="89"/>
      <c r="C28" s="89"/>
      <c r="D28" s="89"/>
      <c r="E28" s="89"/>
      <c r="F28" s="89"/>
      <c r="G28" s="258" t="s">
        <v>64</v>
      </c>
      <c r="H28" s="258"/>
      <c r="I28" s="85">
        <f>SUM(H23:H27)</f>
        <v>4728931.0567899998</v>
      </c>
    </row>
    <row r="29" spans="2:9" ht="12">
      <c r="B29" s="89"/>
      <c r="C29" s="89"/>
      <c r="D29" s="89"/>
      <c r="E29" s="89"/>
      <c r="F29" s="89"/>
      <c r="G29" s="99" t="s">
        <v>72</v>
      </c>
      <c r="H29" s="100"/>
      <c r="I29" s="120">
        <f>I28*H29</f>
        <v>0</v>
      </c>
    </row>
    <row r="30" spans="2:9" ht="12">
      <c r="B30" s="89"/>
      <c r="C30" s="89"/>
      <c r="D30" s="89"/>
      <c r="E30" s="89"/>
      <c r="F30" s="89"/>
      <c r="G30" s="258" t="s">
        <v>73</v>
      </c>
      <c r="H30" s="258"/>
      <c r="I30" s="90">
        <f>SUM(I28:I29)</f>
        <v>4728931.0567899998</v>
      </c>
    </row>
    <row r="31" spans="2:9" ht="12">
      <c r="B31" s="78"/>
      <c r="C31" s="289" t="s">
        <v>74</v>
      </c>
      <c r="D31" s="289"/>
      <c r="E31" s="78"/>
      <c r="F31" s="78"/>
      <c r="G31" s="78"/>
      <c r="H31" s="78"/>
      <c r="I31" s="79"/>
    </row>
    <row r="32" spans="2:9" ht="12">
      <c r="B32" s="70" t="s">
        <v>42</v>
      </c>
      <c r="C32" s="70" t="s">
        <v>58</v>
      </c>
      <c r="D32" s="70" t="s">
        <v>342</v>
      </c>
      <c r="E32" s="70" t="s">
        <v>343</v>
      </c>
      <c r="F32" s="70" t="s">
        <v>344</v>
      </c>
      <c r="G32" s="70" t="s">
        <v>1278</v>
      </c>
      <c r="H32" s="74" t="s">
        <v>61</v>
      </c>
      <c r="I32" s="300"/>
    </row>
    <row r="33" spans="2:9" ht="12">
      <c r="B33" s="70" t="s">
        <v>274</v>
      </c>
      <c r="C33" s="70" t="str">
        <f>VLOOKUP(B33,'MAQUINARIA Y EQUIPOS  '!C12:F100,2,FALSE)</f>
        <v>CAMIONETA D300</v>
      </c>
      <c r="D33" s="75" t="s">
        <v>346</v>
      </c>
      <c r="E33" s="70">
        <v>1.4999999999999999E-2</v>
      </c>
      <c r="F33" s="70">
        <v>19</v>
      </c>
      <c r="G33" s="102">
        <v>1000</v>
      </c>
      <c r="H33" s="103">
        <f>+G33*E33</f>
        <v>15</v>
      </c>
      <c r="I33" s="301"/>
    </row>
    <row r="34" spans="2:9">
      <c r="B34" s="71"/>
      <c r="C34" s="71"/>
      <c r="D34" s="82"/>
      <c r="E34" s="71"/>
      <c r="F34" s="71"/>
      <c r="G34" s="86"/>
      <c r="H34" s="86"/>
      <c r="I34" s="301"/>
    </row>
    <row r="35" spans="2:9" ht="12">
      <c r="B35" s="89"/>
      <c r="C35" s="89"/>
      <c r="D35" s="89"/>
      <c r="E35" s="89"/>
      <c r="F35" s="89"/>
      <c r="G35" s="302" t="s">
        <v>64</v>
      </c>
      <c r="H35" s="302"/>
      <c r="I35" s="104">
        <f>+H33</f>
        <v>15</v>
      </c>
    </row>
    <row r="36" spans="2:9" ht="12">
      <c r="B36" s="78"/>
      <c r="C36" s="289" t="s">
        <v>75</v>
      </c>
      <c r="D36" s="289"/>
      <c r="E36" s="78"/>
      <c r="F36" s="78"/>
      <c r="G36" s="78"/>
      <c r="H36" s="78"/>
      <c r="I36" s="79"/>
    </row>
    <row r="37" spans="2:9" ht="12">
      <c r="B37" s="105" t="s">
        <v>42</v>
      </c>
      <c r="C37" s="105" t="s">
        <v>76</v>
      </c>
      <c r="D37" s="105" t="s">
        <v>1225</v>
      </c>
      <c r="E37" s="105" t="s">
        <v>1</v>
      </c>
      <c r="F37" s="105" t="s">
        <v>77</v>
      </c>
      <c r="G37" s="105" t="s">
        <v>78</v>
      </c>
      <c r="H37" s="105" t="s">
        <v>79</v>
      </c>
      <c r="I37" s="294"/>
    </row>
    <row r="38" spans="2:9" ht="30" customHeight="1">
      <c r="B38" s="106" t="s">
        <v>369</v>
      </c>
      <c r="C38" s="106" t="str">
        <f>+VLOOKUP(B38,'MANO DE OBRA '!B23:G46,2,FALSE)</f>
        <v xml:space="preserve"> Cuadrilla BB Instalaciones (1 oficial+ 1 ayudante)</v>
      </c>
      <c r="D38" s="106">
        <v>1</v>
      </c>
      <c r="E38" s="106" t="str">
        <f>+VLOOKUP(B38,'MANO DE OBRA '!B23:G46,4,FALSE)</f>
        <v>Hora</v>
      </c>
      <c r="F38" s="86">
        <f>+VLOOKUP(B38,'MANO DE OBRA '!B23:G46,3,FALSE)</f>
        <v>53281.25</v>
      </c>
      <c r="G38" s="121">
        <v>3</v>
      </c>
      <c r="H38" s="94">
        <f>F38*G38*D38</f>
        <v>159843.75</v>
      </c>
      <c r="I38" s="294"/>
    </row>
    <row r="39" spans="2:9">
      <c r="B39" s="106"/>
      <c r="C39" s="106"/>
      <c r="D39" s="106"/>
      <c r="E39" s="106"/>
      <c r="F39" s="86"/>
      <c r="G39" s="121"/>
      <c r="H39" s="94"/>
      <c r="I39" s="294"/>
    </row>
    <row r="40" spans="2:9" ht="12">
      <c r="B40" s="108"/>
      <c r="C40" s="109"/>
      <c r="D40" s="109"/>
      <c r="E40" s="109"/>
      <c r="F40" s="110"/>
      <c r="G40" s="110"/>
      <c r="H40" s="111" t="s">
        <v>64</v>
      </c>
      <c r="I40" s="112">
        <f>SUM(H38:H39)</f>
        <v>159843.75</v>
      </c>
    </row>
    <row r="41" spans="2:9" ht="12">
      <c r="B41" s="295" t="s">
        <v>83</v>
      </c>
      <c r="C41" s="296"/>
      <c r="D41" s="297" t="s">
        <v>77</v>
      </c>
      <c r="E41" s="298"/>
      <c r="F41" s="298"/>
      <c r="G41" s="298"/>
      <c r="H41" s="299"/>
      <c r="I41" s="113">
        <f>SUM(I20+I35+I30+I40)</f>
        <v>4890071.2067900002</v>
      </c>
    </row>
  </sheetData>
  <mergeCells count="40">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31:D31"/>
    <mergeCell ref="C17:D17"/>
    <mergeCell ref="I17:I19"/>
    <mergeCell ref="C18:D18"/>
    <mergeCell ref="C19:D19"/>
    <mergeCell ref="C21:D21"/>
    <mergeCell ref="C22:D22"/>
    <mergeCell ref="I22:I27"/>
    <mergeCell ref="C23:D23"/>
    <mergeCell ref="C24:D24"/>
    <mergeCell ref="C25:D25"/>
    <mergeCell ref="C26:D26"/>
    <mergeCell ref="C27:D27"/>
    <mergeCell ref="G28:H28"/>
    <mergeCell ref="G30:H30"/>
    <mergeCell ref="I32:I34"/>
    <mergeCell ref="G35:H35"/>
    <mergeCell ref="C36:D36"/>
    <mergeCell ref="I37:I39"/>
    <mergeCell ref="B41:C41"/>
    <mergeCell ref="D41:H41"/>
  </mergeCell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1921-05BC-4F8B-A024-811EE64378B7}">
  <sheetPr codeName="Hoja97"/>
  <dimension ref="B3:L42"/>
  <sheetViews>
    <sheetView topLeftCell="A25" zoomScale="89" zoomScaleNormal="89" workbookViewId="0">
      <selection activeCell="M26" sqref="M26"/>
    </sheetView>
  </sheetViews>
  <sheetFormatPr baseColWidth="10" defaultColWidth="11.3984375" defaultRowHeight="11.4"/>
  <cols>
    <col min="1" max="2" width="11.3984375" style="11"/>
    <col min="3" max="3" width="25.3984375" style="11" customWidth="1"/>
    <col min="4" max="4" width="43.3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1" width="13.09765625" style="11" bestFit="1" customWidth="1"/>
    <col min="12" max="12" width="11.69921875" style="11" bestFit="1" customWidth="1"/>
    <col min="13" max="16384" width="11.3984375" style="11"/>
  </cols>
  <sheetData>
    <row r="3" spans="2:9">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6.75" customHeight="1">
      <c r="B13" s="17">
        <v>13.3</v>
      </c>
      <c r="C13" s="283" t="s">
        <v>1973</v>
      </c>
      <c r="D13" s="284"/>
      <c r="E13" s="284"/>
      <c r="F13" s="285"/>
      <c r="G13" s="286" t="s">
        <v>1299</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0.05</v>
      </c>
      <c r="H19" s="85">
        <v>520.64</v>
      </c>
      <c r="I19" s="287"/>
    </row>
    <row r="20" spans="2:9" ht="12">
      <c r="B20" s="89"/>
      <c r="C20" s="89"/>
      <c r="D20" s="89"/>
      <c r="E20" s="89"/>
      <c r="F20" s="89"/>
      <c r="G20" s="89"/>
      <c r="H20" s="89" t="s">
        <v>64</v>
      </c>
      <c r="I20" s="90">
        <f>SUM(H18:H19)</f>
        <v>2663.44</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1617</v>
      </c>
      <c r="C23" s="290" t="str">
        <f>VLOOKUP(B23,'INSUMOS '!C1:G1048573,2,FALSE)</f>
        <v>Lavamanos de empotrar en mesón (Porcelana sanitaria institucional)</v>
      </c>
      <c r="D23" s="291"/>
      <c r="E23" s="97" t="str">
        <f>VLOOKUP(B23,'INSUMOS '!C1:G1048573,3,FALSE)</f>
        <v xml:space="preserve">UND </v>
      </c>
      <c r="F23" s="98">
        <v>700000.03</v>
      </c>
      <c r="G23" s="71">
        <v>1</v>
      </c>
      <c r="H23" s="83">
        <f t="shared" ref="H23:H28" si="0">+G23*F23</f>
        <v>700000.03</v>
      </c>
      <c r="I23" s="287"/>
    </row>
    <row r="24" spans="2:9">
      <c r="B24" s="71" t="s">
        <v>1619</v>
      </c>
      <c r="C24" s="290" t="str">
        <f>VLOOKUP(B24,'INSUMOS '!C2:G1048574,2,FALSE)</f>
        <v>Grifería institucional (Tipo push de ahorro de agua o sensor integrada)</v>
      </c>
      <c r="D24" s="291"/>
      <c r="E24" s="97" t="str">
        <f>VLOOKUP(B24,'INSUMOS '!C2:G1048574,3,FALSE)</f>
        <v xml:space="preserve">UND </v>
      </c>
      <c r="F24" s="98">
        <v>498043.96</v>
      </c>
      <c r="G24" s="71">
        <v>1</v>
      </c>
      <c r="H24" s="83">
        <f t="shared" si="0"/>
        <v>498043.96</v>
      </c>
      <c r="I24" s="287"/>
    </row>
    <row r="25" spans="2:9">
      <c r="B25" s="71" t="s">
        <v>1621</v>
      </c>
      <c r="C25" s="290" t="str">
        <f>VLOOKUP(B25,'INSUMOS '!C4:G1048576,2,FALSE)</f>
        <v>Sifón cromado de alta densidad (1 1/4") y desagüe</v>
      </c>
      <c r="D25" s="291"/>
      <c r="E25" s="97" t="str">
        <f>VLOOKUP(B25,'INSUMOS '!C4:G1048576,3,FALSE)</f>
        <v xml:space="preserve">UND </v>
      </c>
      <c r="F25" s="98">
        <v>98000</v>
      </c>
      <c r="G25" s="71">
        <v>1</v>
      </c>
      <c r="H25" s="83">
        <f t="shared" si="0"/>
        <v>98000</v>
      </c>
      <c r="I25" s="287"/>
    </row>
    <row r="26" spans="2:9">
      <c r="B26" s="71" t="s">
        <v>1623</v>
      </c>
      <c r="C26" s="290" t="str">
        <f>VLOOKUP(B26,'INSUMOS '!C4:G1048576,2,FALSE)</f>
        <v xml:space="preserve">ACOPLE FLEXIBLE </v>
      </c>
      <c r="D26" s="291"/>
      <c r="E26" s="97" t="str">
        <f>VLOOKUP(B26,'INSUMOS '!C4:G1048576,3,FALSE)</f>
        <v xml:space="preserve">UND </v>
      </c>
      <c r="F26" s="98">
        <v>35000</v>
      </c>
      <c r="G26" s="71">
        <v>1</v>
      </c>
      <c r="H26" s="83">
        <f t="shared" si="0"/>
        <v>35000</v>
      </c>
      <c r="I26" s="287"/>
    </row>
    <row r="27" spans="2:9">
      <c r="B27" s="71" t="s">
        <v>1614</v>
      </c>
      <c r="C27" s="290" t="str">
        <f>VLOOKUP(B27,'INSUMOS '!C1:G948,2,FALSE)</f>
        <v xml:space="preserve">Silicona antihongos </v>
      </c>
      <c r="D27" s="291"/>
      <c r="E27" s="97" t="str">
        <f>VLOOKUP(B27,'INSUMOS '!C1:G948,3,FALSE)</f>
        <v xml:space="preserve">UND </v>
      </c>
      <c r="F27" s="98">
        <v>32000</v>
      </c>
      <c r="G27" s="71">
        <v>0.5</v>
      </c>
      <c r="H27" s="83">
        <f t="shared" si="0"/>
        <v>16000</v>
      </c>
      <c r="I27" s="287"/>
    </row>
    <row r="28" spans="2:9">
      <c r="B28" s="71" t="s">
        <v>1625</v>
      </c>
      <c r="C28" s="290" t="str">
        <f>VLOOKUP(B28,'INSUMOS '!C1:G948,2,FALSE)</f>
        <v>Cinta teflón de alta densidad y accesorios menores de empalme</v>
      </c>
      <c r="D28" s="291"/>
      <c r="E28" s="97" t="str">
        <f>VLOOKUP(B28,'INSUMOS '!C1:G948,3,FALSE)</f>
        <v>GLB</v>
      </c>
      <c r="F28" s="98">
        <f>VLOOKUP(B28,'INSUMOS '!C1:G948,4,FALSE)</f>
        <v>5000</v>
      </c>
      <c r="G28" s="71">
        <v>1</v>
      </c>
      <c r="H28" s="83">
        <f t="shared" si="0"/>
        <v>5000</v>
      </c>
      <c r="I28" s="287"/>
    </row>
    <row r="29" spans="2:9" ht="12">
      <c r="B29" s="89"/>
      <c r="C29" s="89"/>
      <c r="D29" s="89"/>
      <c r="E29" s="89"/>
      <c r="F29" s="89"/>
      <c r="G29" s="258" t="s">
        <v>64</v>
      </c>
      <c r="H29" s="258"/>
      <c r="I29" s="85">
        <f>SUM(H23:H28)</f>
        <v>1352043.99</v>
      </c>
    </row>
    <row r="30" spans="2:9" ht="12">
      <c r="B30" s="89"/>
      <c r="C30" s="89"/>
      <c r="D30" s="89"/>
      <c r="E30" s="89"/>
      <c r="F30" s="89"/>
      <c r="G30" s="99" t="s">
        <v>72</v>
      </c>
      <c r="H30" s="100">
        <v>0.05</v>
      </c>
      <c r="I30" s="120">
        <f>I29*H30</f>
        <v>67602.199500000002</v>
      </c>
    </row>
    <row r="31" spans="2:9" ht="12">
      <c r="B31" s="89"/>
      <c r="C31" s="89"/>
      <c r="D31" s="89"/>
      <c r="E31" s="89"/>
      <c r="F31" s="89"/>
      <c r="G31" s="258" t="s">
        <v>73</v>
      </c>
      <c r="H31" s="258"/>
      <c r="I31" s="90">
        <f>SUM(I29:I30)</f>
        <v>1419646.1895000001</v>
      </c>
    </row>
    <row r="32" spans="2:9" ht="12">
      <c r="B32" s="78"/>
      <c r="C32" s="289" t="s">
        <v>74</v>
      </c>
      <c r="D32" s="289"/>
      <c r="E32" s="78"/>
      <c r="F32" s="78"/>
      <c r="G32" s="78"/>
      <c r="H32" s="78"/>
      <c r="I32" s="79"/>
    </row>
    <row r="33" spans="2:12" ht="12">
      <c r="B33" s="70" t="s">
        <v>42</v>
      </c>
      <c r="C33" s="70" t="s">
        <v>58</v>
      </c>
      <c r="D33" s="70" t="s">
        <v>342</v>
      </c>
      <c r="E33" s="70" t="s">
        <v>343</v>
      </c>
      <c r="F33" s="70" t="s">
        <v>344</v>
      </c>
      <c r="G33" s="70" t="s">
        <v>1278</v>
      </c>
      <c r="H33" s="74" t="s">
        <v>61</v>
      </c>
      <c r="I33" s="300"/>
    </row>
    <row r="34" spans="2:12" ht="12">
      <c r="B34" s="70" t="s">
        <v>274</v>
      </c>
      <c r="C34" s="70" t="str">
        <f>VLOOKUP(B34,'MAQUINARIA Y EQUIPOS  '!C12:F100,2,FALSE)</f>
        <v>CAMIONETA D300</v>
      </c>
      <c r="D34" s="75" t="s">
        <v>346</v>
      </c>
      <c r="E34" s="70">
        <v>1.4999999999999999E-2</v>
      </c>
      <c r="F34" s="70">
        <v>19</v>
      </c>
      <c r="G34" s="102">
        <v>1000</v>
      </c>
      <c r="H34" s="103">
        <f>+G34*E34</f>
        <v>15</v>
      </c>
      <c r="I34" s="301"/>
    </row>
    <row r="35" spans="2:12">
      <c r="B35" s="71"/>
      <c r="C35" s="71"/>
      <c r="D35" s="82"/>
      <c r="E35" s="71"/>
      <c r="F35" s="71"/>
      <c r="G35" s="86"/>
      <c r="H35" s="86"/>
      <c r="I35" s="301"/>
    </row>
    <row r="36" spans="2:12" ht="12">
      <c r="B36" s="89"/>
      <c r="C36" s="89"/>
      <c r="D36" s="89"/>
      <c r="E36" s="89"/>
      <c r="F36" s="89"/>
      <c r="G36" s="302" t="s">
        <v>64</v>
      </c>
      <c r="H36" s="302"/>
      <c r="I36" s="104">
        <f>+H34</f>
        <v>15</v>
      </c>
    </row>
    <row r="37" spans="2:12" ht="12">
      <c r="B37" s="78"/>
      <c r="C37" s="289" t="s">
        <v>75</v>
      </c>
      <c r="D37" s="289"/>
      <c r="E37" s="78"/>
      <c r="F37" s="78"/>
      <c r="G37" s="78"/>
      <c r="H37" s="78"/>
      <c r="I37" s="79"/>
    </row>
    <row r="38" spans="2:12" ht="12">
      <c r="B38" s="105" t="s">
        <v>42</v>
      </c>
      <c r="C38" s="105" t="s">
        <v>76</v>
      </c>
      <c r="D38" s="105" t="s">
        <v>1225</v>
      </c>
      <c r="E38" s="105" t="s">
        <v>1</v>
      </c>
      <c r="F38" s="105" t="s">
        <v>77</v>
      </c>
      <c r="G38" s="105" t="s">
        <v>78</v>
      </c>
      <c r="H38" s="105" t="s">
        <v>79</v>
      </c>
      <c r="I38" s="294"/>
      <c r="L38" s="53"/>
    </row>
    <row r="39" spans="2:12" ht="30" customHeight="1">
      <c r="B39" s="106" t="s">
        <v>369</v>
      </c>
      <c r="C39" s="106" t="str">
        <f>+VLOOKUP(B39,'MANO DE OBRA '!B23:G46,2,FALSE)</f>
        <v xml:space="preserve"> Cuadrilla BB Instalaciones (1 oficial+ 1 ayudante)</v>
      </c>
      <c r="D39" s="106">
        <v>1</v>
      </c>
      <c r="E39" s="106" t="str">
        <f>+VLOOKUP(B39,'MANO DE OBRA '!B23:G46,4,FALSE)</f>
        <v>Hora</v>
      </c>
      <c r="F39" s="86">
        <f>+VLOOKUP(B39,'MANO DE OBRA '!B23:G46,3,FALSE)</f>
        <v>53281.25</v>
      </c>
      <c r="G39" s="121">
        <v>3.5</v>
      </c>
      <c r="H39" s="94">
        <f>F39*G39*D39</f>
        <v>186484.375</v>
      </c>
      <c r="I39" s="294"/>
      <c r="K39"/>
      <c r="L39"/>
    </row>
    <row r="40" spans="2:12" ht="13.8">
      <c r="B40" s="106"/>
      <c r="C40" s="106"/>
      <c r="D40" s="106"/>
      <c r="E40" s="106"/>
      <c r="F40" s="86"/>
      <c r="G40" s="121"/>
      <c r="H40" s="94"/>
      <c r="I40" s="294"/>
      <c r="K40"/>
      <c r="L40"/>
    </row>
    <row r="41" spans="2:12" ht="15">
      <c r="B41" s="108"/>
      <c r="C41" s="109"/>
      <c r="D41" s="109"/>
      <c r="E41" s="109"/>
      <c r="F41" s="110"/>
      <c r="G41" s="110"/>
      <c r="H41" s="111" t="s">
        <v>64</v>
      </c>
      <c r="I41" s="112">
        <f>SUM(H39:H40)</f>
        <v>186484.375</v>
      </c>
      <c r="K41"/>
      <c r="L41"/>
    </row>
    <row r="42" spans="2:12" ht="15">
      <c r="B42" s="295" t="s">
        <v>83</v>
      </c>
      <c r="C42" s="296"/>
      <c r="D42" s="297" t="s">
        <v>77</v>
      </c>
      <c r="E42" s="298"/>
      <c r="F42" s="298"/>
      <c r="G42" s="298"/>
      <c r="H42" s="299"/>
      <c r="I42" s="113">
        <f>+SUM(I20+I36+I31+I41)</f>
        <v>1608809.0045</v>
      </c>
      <c r="K42"/>
      <c r="L42"/>
    </row>
  </sheetData>
  <mergeCells count="41">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C17:D17"/>
    <mergeCell ref="I17:I19"/>
    <mergeCell ref="C18:D18"/>
    <mergeCell ref="C21:D21"/>
    <mergeCell ref="C22:D22"/>
    <mergeCell ref="I22:I28"/>
    <mergeCell ref="C23:D23"/>
    <mergeCell ref="C24:D24"/>
    <mergeCell ref="C25:D25"/>
    <mergeCell ref="C19:D19"/>
    <mergeCell ref="C26:D26"/>
    <mergeCell ref="C28:D28"/>
    <mergeCell ref="G36:H36"/>
    <mergeCell ref="C37:D37"/>
    <mergeCell ref="I38:I40"/>
    <mergeCell ref="B42:C42"/>
    <mergeCell ref="D42:H42"/>
    <mergeCell ref="G29:H29"/>
    <mergeCell ref="G31:H31"/>
    <mergeCell ref="C32:D32"/>
    <mergeCell ref="I33:I35"/>
    <mergeCell ref="C27:D27"/>
  </mergeCell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95A86-D269-438B-8132-E8DE25BA53CE}">
  <sheetPr codeName="Hoja98"/>
  <dimension ref="B3:L42"/>
  <sheetViews>
    <sheetView topLeftCell="D13" zoomScale="89" zoomScaleNormal="89" workbookViewId="0">
      <selection activeCell="I22" sqref="I22:I28"/>
    </sheetView>
  </sheetViews>
  <sheetFormatPr baseColWidth="10" defaultColWidth="11.3984375" defaultRowHeight="11.4"/>
  <cols>
    <col min="1" max="2" width="11.3984375" style="11"/>
    <col min="3" max="3" width="25.3984375" style="11" customWidth="1"/>
    <col min="4" max="4" width="43.3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0" width="11.3984375" style="11"/>
    <col min="11" max="12" width="13.09765625" style="11" bestFit="1" customWidth="1"/>
    <col min="13" max="16384" width="11.3984375" style="11"/>
  </cols>
  <sheetData>
    <row r="3" spans="2:9">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7.5" customHeight="1">
      <c r="B13" s="17">
        <v>13.4</v>
      </c>
      <c r="C13" s="283" t="s">
        <v>1974</v>
      </c>
      <c r="D13" s="284"/>
      <c r="E13" s="284"/>
      <c r="F13" s="285"/>
      <c r="G13" s="286" t="s">
        <v>170</v>
      </c>
      <c r="H13" s="286"/>
      <c r="I13" s="114">
        <v>1</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0.4</v>
      </c>
      <c r="H19" s="85">
        <v>4887.87</v>
      </c>
      <c r="I19" s="287"/>
    </row>
    <row r="20" spans="2:9" ht="12">
      <c r="B20" s="89"/>
      <c r="C20" s="89"/>
      <c r="D20" s="89"/>
      <c r="E20" s="89"/>
      <c r="F20" s="89"/>
      <c r="G20" s="89"/>
      <c r="H20" s="89" t="s">
        <v>64</v>
      </c>
      <c r="I20" s="90">
        <f>SUM(H18:H19)</f>
        <v>7030.67</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1617</v>
      </c>
      <c r="C23" s="290" t="s">
        <v>1684</v>
      </c>
      <c r="D23" s="291"/>
      <c r="E23" s="97" t="str">
        <f>VLOOKUP(B23,'INSUMOS '!C1:G1048573,3,FALSE)</f>
        <v xml:space="preserve">UND </v>
      </c>
      <c r="F23" s="98">
        <v>680000.37</v>
      </c>
      <c r="G23" s="71">
        <v>1</v>
      </c>
      <c r="H23" s="83">
        <f t="shared" ref="H23:H28" si="0">+G23*F23</f>
        <v>680000.37</v>
      </c>
      <c r="I23" s="287"/>
    </row>
    <row r="24" spans="2:9">
      <c r="B24" s="71" t="s">
        <v>1619</v>
      </c>
      <c r="C24" s="290" t="str">
        <f>VLOOKUP(B24,'INSUMOS '!C2:G1048574,2,FALSE)</f>
        <v>Grifería institucional (Tipo push de ahorro de agua o sensor integrada)</v>
      </c>
      <c r="D24" s="291"/>
      <c r="E24" s="97" t="str">
        <f>VLOOKUP(B24,'INSUMOS '!C2:G1048574,3,FALSE)</f>
        <v xml:space="preserve">UND </v>
      </c>
      <c r="F24" s="98">
        <v>450000</v>
      </c>
      <c r="G24" s="71">
        <v>1</v>
      </c>
      <c r="H24" s="83">
        <f t="shared" si="0"/>
        <v>450000</v>
      </c>
      <c r="I24" s="287"/>
    </row>
    <row r="25" spans="2:9">
      <c r="B25" s="71" t="s">
        <v>1621</v>
      </c>
      <c r="C25" s="290" t="str">
        <f>VLOOKUP(B25,'INSUMOS '!C4:G1048576,2,FALSE)</f>
        <v>Sifón cromado de alta densidad (1 1/4") y desagüe</v>
      </c>
      <c r="D25" s="291"/>
      <c r="E25" s="97" t="str">
        <f>VLOOKUP(B25,'INSUMOS '!C4:G1048576,3,FALSE)</f>
        <v xml:space="preserve">UND </v>
      </c>
      <c r="F25" s="98">
        <f>VLOOKUP(B25,'INSUMOS '!C4:G1048576,4,FALSE)</f>
        <v>94000</v>
      </c>
      <c r="G25" s="71">
        <v>1</v>
      </c>
      <c r="H25" s="83">
        <f t="shared" si="0"/>
        <v>94000</v>
      </c>
      <c r="I25" s="287"/>
    </row>
    <row r="26" spans="2:9">
      <c r="B26" s="71" t="s">
        <v>1623</v>
      </c>
      <c r="C26" s="290" t="str">
        <f>VLOOKUP(B26,'INSUMOS '!C4:G1048576,2,FALSE)</f>
        <v xml:space="preserve">ACOPLE FLEXIBLE </v>
      </c>
      <c r="D26" s="291"/>
      <c r="E26" s="97" t="str">
        <f>VLOOKUP(B26,'INSUMOS '!C4:G1048576,3,FALSE)</f>
        <v xml:space="preserve">UND </v>
      </c>
      <c r="F26" s="98">
        <v>35000</v>
      </c>
      <c r="G26" s="71">
        <v>1</v>
      </c>
      <c r="H26" s="83">
        <f t="shared" si="0"/>
        <v>35000</v>
      </c>
      <c r="I26" s="287"/>
    </row>
    <row r="27" spans="2:9">
      <c r="B27" s="71" t="s">
        <v>1614</v>
      </c>
      <c r="C27" s="290" t="str">
        <f>VLOOKUP(B27,'INSUMOS '!C1:G948,2,FALSE)</f>
        <v xml:space="preserve">Silicona antihongos </v>
      </c>
      <c r="D27" s="291"/>
      <c r="E27" s="97" t="str">
        <f>VLOOKUP(B27,'INSUMOS '!C1:G948,3,FALSE)</f>
        <v xml:space="preserve">UND </v>
      </c>
      <c r="F27" s="98">
        <v>32000</v>
      </c>
      <c r="G27" s="71">
        <v>0.5</v>
      </c>
      <c r="H27" s="83">
        <f t="shared" si="0"/>
        <v>16000</v>
      </c>
      <c r="I27" s="287"/>
    </row>
    <row r="28" spans="2:9">
      <c r="B28" s="71" t="s">
        <v>1625</v>
      </c>
      <c r="C28" s="290" t="str">
        <f>VLOOKUP(B28,'INSUMOS '!C1:G948,2,FALSE)</f>
        <v>Cinta teflón de alta densidad y accesorios menores de empalme</v>
      </c>
      <c r="D28" s="291"/>
      <c r="E28" s="97" t="str">
        <f>VLOOKUP(B28,'INSUMOS '!C1:G948,3,FALSE)</f>
        <v>GLB</v>
      </c>
      <c r="F28" s="98">
        <f>VLOOKUP(B28,'INSUMOS '!C1:G948,4,FALSE)</f>
        <v>5000</v>
      </c>
      <c r="G28" s="71">
        <v>1</v>
      </c>
      <c r="H28" s="83">
        <f t="shared" si="0"/>
        <v>5000</v>
      </c>
      <c r="I28" s="287"/>
    </row>
    <row r="29" spans="2:9" ht="12">
      <c r="B29" s="89"/>
      <c r="C29" s="89"/>
      <c r="D29" s="89"/>
      <c r="E29" s="89"/>
      <c r="F29" s="89"/>
      <c r="G29" s="258" t="s">
        <v>64</v>
      </c>
      <c r="H29" s="258"/>
      <c r="I29" s="85">
        <f>SUM(H23:H28)</f>
        <v>1280000.3700000001</v>
      </c>
    </row>
    <row r="30" spans="2:9" ht="12">
      <c r="B30" s="89"/>
      <c r="C30" s="89"/>
      <c r="D30" s="89"/>
      <c r="E30" s="89"/>
      <c r="F30" s="89"/>
      <c r="G30" s="99" t="s">
        <v>72</v>
      </c>
      <c r="H30" s="100">
        <v>0.05</v>
      </c>
      <c r="I30" s="120">
        <f>I29*H30</f>
        <v>64000.018500000006</v>
      </c>
    </row>
    <row r="31" spans="2:9" ht="12">
      <c r="B31" s="89"/>
      <c r="C31" s="89"/>
      <c r="D31" s="89"/>
      <c r="E31" s="89"/>
      <c r="F31" s="89"/>
      <c r="G31" s="258" t="s">
        <v>73</v>
      </c>
      <c r="H31" s="258"/>
      <c r="I31" s="90">
        <f>SUM(I29:I30)</f>
        <v>1344000.3885000001</v>
      </c>
    </row>
    <row r="32" spans="2:9" ht="12">
      <c r="B32" s="78"/>
      <c r="C32" s="289" t="s">
        <v>74</v>
      </c>
      <c r="D32" s="289"/>
      <c r="E32" s="78"/>
      <c r="F32" s="78"/>
      <c r="G32" s="78"/>
      <c r="H32" s="78"/>
      <c r="I32" s="79"/>
    </row>
    <row r="33" spans="2:12" ht="12">
      <c r="B33" s="70" t="s">
        <v>42</v>
      </c>
      <c r="C33" s="70" t="s">
        <v>58</v>
      </c>
      <c r="D33" s="70" t="s">
        <v>342</v>
      </c>
      <c r="E33" s="70" t="s">
        <v>343</v>
      </c>
      <c r="F33" s="70" t="s">
        <v>344</v>
      </c>
      <c r="G33" s="70" t="s">
        <v>1278</v>
      </c>
      <c r="H33" s="74" t="s">
        <v>61</v>
      </c>
      <c r="I33" s="300"/>
    </row>
    <row r="34" spans="2:12" ht="12">
      <c r="B34" s="70" t="s">
        <v>274</v>
      </c>
      <c r="C34" s="70" t="str">
        <f>VLOOKUP(B34,'MAQUINARIA Y EQUIPOS  '!C12:F100,2,FALSE)</f>
        <v>CAMIONETA D300</v>
      </c>
      <c r="D34" s="75" t="s">
        <v>346</v>
      </c>
      <c r="E34" s="70">
        <v>1.4999999999999999E-2</v>
      </c>
      <c r="F34" s="70">
        <v>19</v>
      </c>
      <c r="G34" s="102">
        <v>1000</v>
      </c>
      <c r="H34" s="103">
        <f>+G34*E34</f>
        <v>15</v>
      </c>
      <c r="I34" s="301"/>
    </row>
    <row r="35" spans="2:12">
      <c r="B35" s="71"/>
      <c r="C35" s="71"/>
      <c r="D35" s="82"/>
      <c r="E35" s="71"/>
      <c r="F35" s="71"/>
      <c r="G35" s="86"/>
      <c r="H35" s="86"/>
      <c r="I35" s="301"/>
    </row>
    <row r="36" spans="2:12" ht="12">
      <c r="B36" s="89"/>
      <c r="C36" s="89"/>
      <c r="D36" s="89"/>
      <c r="E36" s="89"/>
      <c r="F36" s="89"/>
      <c r="G36" s="302" t="s">
        <v>64</v>
      </c>
      <c r="H36" s="302"/>
      <c r="I36" s="104">
        <f>+H34</f>
        <v>15</v>
      </c>
    </row>
    <row r="37" spans="2:12" ht="12">
      <c r="B37" s="78"/>
      <c r="C37" s="289" t="s">
        <v>75</v>
      </c>
      <c r="D37" s="289"/>
      <c r="E37" s="78"/>
      <c r="F37" s="78"/>
      <c r="G37" s="78"/>
      <c r="H37" s="78"/>
      <c r="I37" s="79"/>
    </row>
    <row r="38" spans="2:12" ht="12">
      <c r="B38" s="105" t="s">
        <v>42</v>
      </c>
      <c r="C38" s="105" t="s">
        <v>76</v>
      </c>
      <c r="D38" s="105" t="s">
        <v>1225</v>
      </c>
      <c r="E38" s="105" t="s">
        <v>1</v>
      </c>
      <c r="F38" s="105" t="s">
        <v>77</v>
      </c>
      <c r="G38" s="105" t="s">
        <v>78</v>
      </c>
      <c r="H38" s="105" t="s">
        <v>79</v>
      </c>
      <c r="I38" s="294"/>
    </row>
    <row r="39" spans="2:12" ht="30" customHeight="1">
      <c r="B39" s="106" t="s">
        <v>369</v>
      </c>
      <c r="C39" s="106" t="str">
        <f>+VLOOKUP(B39,'MANO DE OBRA '!B23:G46,2,FALSE)</f>
        <v xml:space="preserve"> Cuadrilla BB Instalaciones (1 oficial+ 1 ayudante)</v>
      </c>
      <c r="D39" s="106">
        <v>1</v>
      </c>
      <c r="E39" s="106" t="str">
        <f>+VLOOKUP(B39,'MANO DE OBRA '!B23:G46,4,FALSE)</f>
        <v>Hora</v>
      </c>
      <c r="F39" s="86">
        <f>+VLOOKUP(B39,'MANO DE OBRA '!B23:G46,3,FALSE)</f>
        <v>53281.25</v>
      </c>
      <c r="G39" s="121">
        <v>3.63</v>
      </c>
      <c r="H39" s="94">
        <f>F39*G39*D39</f>
        <v>193410.9375</v>
      </c>
      <c r="I39" s="294"/>
      <c r="L39" s="53"/>
    </row>
    <row r="40" spans="2:12">
      <c r="B40" s="106"/>
      <c r="C40" s="106"/>
      <c r="D40" s="106"/>
      <c r="E40" s="106"/>
      <c r="F40" s="86"/>
      <c r="G40" s="121"/>
      <c r="H40" s="94"/>
      <c r="I40" s="294"/>
    </row>
    <row r="41" spans="2:12" ht="12">
      <c r="B41" s="108"/>
      <c r="C41" s="109"/>
      <c r="D41" s="109"/>
      <c r="E41" s="109"/>
      <c r="F41" s="110"/>
      <c r="G41" s="110"/>
      <c r="H41" s="111" t="s">
        <v>64</v>
      </c>
      <c r="I41" s="112">
        <f>SUM(H39:H40)</f>
        <v>193410.9375</v>
      </c>
      <c r="K41" s="43"/>
    </row>
    <row r="42" spans="2:12" ht="12">
      <c r="B42" s="295" t="s">
        <v>83</v>
      </c>
      <c r="C42" s="296"/>
      <c r="D42" s="297" t="s">
        <v>77</v>
      </c>
      <c r="E42" s="298"/>
      <c r="F42" s="298"/>
      <c r="G42" s="298"/>
      <c r="H42" s="299"/>
      <c r="I42" s="113">
        <f>SUM(I20+I36+I31+I41)</f>
        <v>1544456.996</v>
      </c>
      <c r="L42" s="43"/>
    </row>
  </sheetData>
  <mergeCells count="41">
    <mergeCell ref="I33:I35"/>
    <mergeCell ref="G36:H36"/>
    <mergeCell ref="C37:D37"/>
    <mergeCell ref="I38:I40"/>
    <mergeCell ref="B42:C42"/>
    <mergeCell ref="D42:H42"/>
    <mergeCell ref="C32:D32"/>
    <mergeCell ref="C17:D17"/>
    <mergeCell ref="I17:I19"/>
    <mergeCell ref="C18:D18"/>
    <mergeCell ref="C19:D19"/>
    <mergeCell ref="C21:D21"/>
    <mergeCell ref="C22:D22"/>
    <mergeCell ref="I22:I28"/>
    <mergeCell ref="C23:D23"/>
    <mergeCell ref="C24:D24"/>
    <mergeCell ref="C25:D25"/>
    <mergeCell ref="C26:D26"/>
    <mergeCell ref="C27:D27"/>
    <mergeCell ref="C28:D28"/>
    <mergeCell ref="G29:H29"/>
    <mergeCell ref="G31:H31"/>
    <mergeCell ref="C13:F13"/>
    <mergeCell ref="G13:H13"/>
    <mergeCell ref="C14:E14"/>
    <mergeCell ref="F14:H14"/>
    <mergeCell ref="C15:E15"/>
    <mergeCell ref="F15:H15"/>
    <mergeCell ref="B9:C10"/>
    <mergeCell ref="D9:D10"/>
    <mergeCell ref="E9:I10"/>
    <mergeCell ref="B11:I11"/>
    <mergeCell ref="C12:F12"/>
    <mergeCell ref="G12:H12"/>
    <mergeCell ref="B3:C7"/>
    <mergeCell ref="D3:E5"/>
    <mergeCell ref="G3:I3"/>
    <mergeCell ref="H4:I4"/>
    <mergeCell ref="G5:I5"/>
    <mergeCell ref="D6:E7"/>
    <mergeCell ref="F6:I7"/>
  </mergeCell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888C1-F8C8-4DAF-B5C9-150CFBB96D5B}">
  <sheetPr codeName="Hoja99"/>
  <dimension ref="B3:I38"/>
  <sheetViews>
    <sheetView zoomScale="89" zoomScaleNormal="89" workbookViewId="0">
      <selection activeCell="M15" sqref="M1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9" customHeight="1">
      <c r="B13" s="17">
        <v>13.5</v>
      </c>
      <c r="C13" s="283" t="s">
        <v>1975</v>
      </c>
      <c r="D13" s="284"/>
      <c r="E13" s="284"/>
      <c r="F13" s="285"/>
      <c r="G13" s="286" t="s">
        <v>1299</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1627</v>
      </c>
      <c r="C23" s="290" t="str">
        <f>VLOOKUP(B23,'INSUMOS '!C1:G1048573,2,FALSE)</f>
        <v>Secador de manos institucional acero 304 satinado</v>
      </c>
      <c r="D23" s="291"/>
      <c r="E23" s="97" t="str">
        <f>VLOOKUP(B23,'INSUMOS '!C1:G1048573,3,FALSE)</f>
        <v xml:space="preserve">UND </v>
      </c>
      <c r="F23" s="98">
        <f>VLOOKUP(B23,'INSUMOS '!C1:G1048573,4,FALSE)</f>
        <v>968660</v>
      </c>
      <c r="G23" s="71">
        <v>1</v>
      </c>
      <c r="H23" s="83">
        <f>+G23*F23</f>
        <v>968660</v>
      </c>
      <c r="I23" s="287"/>
    </row>
    <row r="24" spans="2:9">
      <c r="B24" s="71" t="s">
        <v>798</v>
      </c>
      <c r="C24" s="290" t="str">
        <f>VLOOKUP(B24,'INSUMOS '!C2:G1048574,2,FALSE)</f>
        <v>CINTA AISLANTE X20MT</v>
      </c>
      <c r="D24" s="291"/>
      <c r="E24" s="97" t="str">
        <f>VLOOKUP(B24,'INSUMOS '!C2:G1048574,3,FALSE)</f>
        <v>rl</v>
      </c>
      <c r="F24" s="98">
        <f>VLOOKUP(B24,'INSUMOS '!C2:G1048574,4,FALSE)</f>
        <v>24900</v>
      </c>
      <c r="G24" s="71">
        <v>1</v>
      </c>
      <c r="H24" s="83">
        <f>+G24*F24</f>
        <v>24900</v>
      </c>
      <c r="I24" s="287"/>
    </row>
    <row r="25" spans="2:9" ht="12">
      <c r="B25" s="89"/>
      <c r="C25" s="89"/>
      <c r="D25" s="89"/>
      <c r="E25" s="89"/>
      <c r="F25" s="89"/>
      <c r="G25" s="258" t="s">
        <v>64</v>
      </c>
      <c r="H25" s="258"/>
      <c r="I25" s="85">
        <f>SUM(H23:H24)</f>
        <v>993560</v>
      </c>
    </row>
    <row r="26" spans="2:9" ht="12">
      <c r="B26" s="89"/>
      <c r="C26" s="89"/>
      <c r="D26" s="89"/>
      <c r="E26" s="89"/>
      <c r="F26" s="89"/>
      <c r="G26" s="99" t="s">
        <v>72</v>
      </c>
      <c r="H26" s="100">
        <v>0.05</v>
      </c>
      <c r="I26" s="120">
        <f>I25*H26</f>
        <v>49678</v>
      </c>
    </row>
    <row r="27" spans="2:9" ht="12">
      <c r="B27" s="89"/>
      <c r="C27" s="89"/>
      <c r="D27" s="89"/>
      <c r="E27" s="89"/>
      <c r="F27" s="89"/>
      <c r="G27" s="258" t="s">
        <v>73</v>
      </c>
      <c r="H27" s="258"/>
      <c r="I27" s="90">
        <f>SUM(I25:I26)</f>
        <v>1043238</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t="s">
        <v>274</v>
      </c>
      <c r="C30" s="70" t="str">
        <f>VLOOKUP(B30,'MAQUINARIA Y EQUIPOS  '!C12:F100,2,FALSE)</f>
        <v>CAMIONETA D300</v>
      </c>
      <c r="D30" s="75" t="s">
        <v>346</v>
      </c>
      <c r="E30" s="70">
        <v>1.4999999999999999E-2</v>
      </c>
      <c r="F30" s="70">
        <v>19</v>
      </c>
      <c r="G30" s="102">
        <v>1000</v>
      </c>
      <c r="H30" s="103">
        <f>+G30*E30</f>
        <v>15</v>
      </c>
      <c r="I30" s="301"/>
    </row>
    <row r="31" spans="2:9">
      <c r="B31" s="71"/>
      <c r="C31" s="71"/>
      <c r="D31" s="82"/>
      <c r="E31" s="71"/>
      <c r="F31" s="71"/>
      <c r="G31" s="86"/>
      <c r="H31" s="86"/>
      <c r="I31" s="301"/>
    </row>
    <row r="32" spans="2:9" ht="12">
      <c r="B32" s="89"/>
      <c r="C32" s="89"/>
      <c r="D32" s="89"/>
      <c r="E32" s="89"/>
      <c r="F32" s="89"/>
      <c r="G32" s="302" t="s">
        <v>64</v>
      </c>
      <c r="H32" s="302"/>
      <c r="I32" s="104">
        <f>+H30</f>
        <v>15</v>
      </c>
    </row>
    <row r="33" spans="2:9" ht="12">
      <c r="B33" s="78"/>
      <c r="C33" s="289" t="s">
        <v>75</v>
      </c>
      <c r="D33" s="289"/>
      <c r="E33" s="78"/>
      <c r="F33" s="78"/>
      <c r="G33" s="78"/>
      <c r="H33" s="78"/>
      <c r="I33" s="79"/>
    </row>
    <row r="34" spans="2:9" ht="12">
      <c r="B34" s="105" t="s">
        <v>42</v>
      </c>
      <c r="C34" s="105" t="s">
        <v>76</v>
      </c>
      <c r="D34" s="105" t="s">
        <v>1225</v>
      </c>
      <c r="E34" s="105" t="s">
        <v>1</v>
      </c>
      <c r="F34" s="105" t="s">
        <v>77</v>
      </c>
      <c r="G34" s="105" t="s">
        <v>78</v>
      </c>
      <c r="H34" s="105" t="s">
        <v>79</v>
      </c>
      <c r="I34" s="294"/>
    </row>
    <row r="35" spans="2:9" ht="30" customHeight="1">
      <c r="B35" s="106" t="s">
        <v>376</v>
      </c>
      <c r="C35" s="106" t="str">
        <f>+VLOOKUP(B35,'MANO DE OBRA '!B23:G46,2,FALSE)</f>
        <v xml:space="preserve"> Cuadrilla EE Electrico (1 oficial+ 1 ayudante)</v>
      </c>
      <c r="D35" s="106">
        <v>1</v>
      </c>
      <c r="E35" s="106" t="str">
        <f>+VLOOKUP(B35,'MANO DE OBRA '!B23:G46,4,FALSE)</f>
        <v>Hora</v>
      </c>
      <c r="F35" s="86">
        <f>+VLOOKUP(B35,'MANO DE OBRA '!B23:G46,3,FALSE)</f>
        <v>48437.5</v>
      </c>
      <c r="G35" s="121">
        <v>2</v>
      </c>
      <c r="H35" s="94">
        <f>F35*G35*D35</f>
        <v>96875</v>
      </c>
      <c r="I35" s="294"/>
    </row>
    <row r="36" spans="2:9">
      <c r="B36" s="106"/>
      <c r="C36" s="106"/>
      <c r="D36" s="106"/>
      <c r="E36" s="106"/>
      <c r="F36" s="86"/>
      <c r="G36" s="121"/>
      <c r="H36" s="94"/>
      <c r="I36" s="294"/>
    </row>
    <row r="37" spans="2:9" ht="12">
      <c r="B37" s="108"/>
      <c r="C37" s="109"/>
      <c r="D37" s="109"/>
      <c r="E37" s="109"/>
      <c r="F37" s="110"/>
      <c r="G37" s="110"/>
      <c r="H37" s="111" t="s">
        <v>64</v>
      </c>
      <c r="I37" s="112">
        <f>SUM(H35:H36)</f>
        <v>96875</v>
      </c>
    </row>
    <row r="38" spans="2:9" ht="12">
      <c r="B38" s="295" t="s">
        <v>83</v>
      </c>
      <c r="C38" s="296"/>
      <c r="D38" s="297" t="s">
        <v>77</v>
      </c>
      <c r="E38" s="298"/>
      <c r="F38" s="298"/>
      <c r="G38" s="298"/>
      <c r="H38" s="299"/>
      <c r="I38" s="113">
        <f>SUM(I20+I32+I27+I37)</f>
        <v>1142480.8</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13:F13"/>
    <mergeCell ref="G13:H13"/>
    <mergeCell ref="C14:E14"/>
    <mergeCell ref="F14:H14"/>
    <mergeCell ref="C15:E15"/>
    <mergeCell ref="F15:H15"/>
    <mergeCell ref="G25:H25"/>
    <mergeCell ref="G27:H27"/>
    <mergeCell ref="C28:D28"/>
    <mergeCell ref="C17:D17"/>
    <mergeCell ref="I17:I19"/>
    <mergeCell ref="C18:D18"/>
    <mergeCell ref="C19:D19"/>
    <mergeCell ref="C21:D21"/>
    <mergeCell ref="C22:D22"/>
    <mergeCell ref="I22:I24"/>
    <mergeCell ref="C23:D23"/>
    <mergeCell ref="C24:D24"/>
    <mergeCell ref="I29:I31"/>
    <mergeCell ref="G32:H32"/>
    <mergeCell ref="C33:D33"/>
    <mergeCell ref="I34:I36"/>
    <mergeCell ref="B38:C38"/>
    <mergeCell ref="D38:H38"/>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4C15-76A6-44CC-B923-56E16A899BE8}">
  <sheetPr codeName="Hoja100"/>
  <dimension ref="B3:I38"/>
  <sheetViews>
    <sheetView topLeftCell="A16" zoomScale="89" zoomScaleNormal="89" workbookViewId="0">
      <selection activeCell="L21" sqref="L21"/>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5.69921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43.5" customHeight="1">
      <c r="B13" s="17">
        <v>13.6</v>
      </c>
      <c r="C13" s="283" t="s">
        <v>1976</v>
      </c>
      <c r="D13" s="284"/>
      <c r="E13" s="284"/>
      <c r="F13" s="285"/>
      <c r="G13" s="286" t="s">
        <v>170</v>
      </c>
      <c r="H13" s="286"/>
      <c r="I13" s="114">
        <v>4</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0.2</v>
      </c>
      <c r="H18" s="85">
        <f>F18*G18</f>
        <v>2142.8000000000002</v>
      </c>
      <c r="I18" s="287"/>
    </row>
    <row r="19" spans="2:9">
      <c r="B19" s="71" t="s">
        <v>1267</v>
      </c>
      <c r="C19" s="288" t="str">
        <f>VLOOKUP(B19,'MAQUINARIA Y EQUIPOS  '!C7:F95,2,FALSE)</f>
        <v xml:space="preserve">Pluma grua </v>
      </c>
      <c r="D19" s="265"/>
      <c r="E19" s="71" t="str">
        <f>VLOOKUP(B19,'MAQUINARIA Y EQUIPOS  '!C7:F95,3,FALSE)</f>
        <v>HH</v>
      </c>
      <c r="F19" s="83">
        <f>VLOOKUP(B19,'MAQUINARIA Y EQUIPOS  '!C7:F95,4,FALSE)</f>
        <v>10500</v>
      </c>
      <c r="G19" s="122">
        <v>0.02</v>
      </c>
      <c r="H19" s="85">
        <f>F19*G19</f>
        <v>210</v>
      </c>
      <c r="I19" s="287"/>
    </row>
    <row r="20" spans="2:9" ht="12">
      <c r="B20" s="89"/>
      <c r="C20" s="89"/>
      <c r="D20" s="89"/>
      <c r="E20" s="89"/>
      <c r="F20" s="89"/>
      <c r="G20" s="89"/>
      <c r="H20" s="89" t="s">
        <v>64</v>
      </c>
      <c r="I20" s="90">
        <f>SUM(H18:H19)</f>
        <v>2352.8000000000002</v>
      </c>
    </row>
    <row r="21" spans="2:9" ht="12">
      <c r="B21" s="78"/>
      <c r="C21" s="289" t="s">
        <v>65</v>
      </c>
      <c r="D21" s="289"/>
      <c r="E21" s="78"/>
      <c r="F21" s="78"/>
      <c r="G21" s="78"/>
      <c r="H21" s="78"/>
      <c r="I21" s="79"/>
    </row>
    <row r="22" spans="2:9" ht="12">
      <c r="B22" s="70" t="s">
        <v>42</v>
      </c>
      <c r="C22" s="286" t="s">
        <v>58</v>
      </c>
      <c r="D22" s="286"/>
      <c r="E22" s="70" t="s">
        <v>1</v>
      </c>
      <c r="F22" s="80" t="s">
        <v>66</v>
      </c>
      <c r="G22" s="70" t="s">
        <v>67</v>
      </c>
      <c r="H22" s="70" t="s">
        <v>61</v>
      </c>
      <c r="I22" s="287"/>
    </row>
    <row r="23" spans="2:9">
      <c r="B23" s="71" t="s">
        <v>1629</v>
      </c>
      <c r="C23" s="290" t="str">
        <f>VLOOKUP(B23,'INSUMOS '!C1:G1048573,2,FALSE)</f>
        <v>SUMINISTRO E INSTALACION DISPENSADOR DE JABON CUERPO CILINDRICO INOX, 0.25L</v>
      </c>
      <c r="D23" s="291"/>
      <c r="E23" s="97" t="str">
        <f>VLOOKUP(B23,'INSUMOS '!C1:G1048573,3,FALSE)</f>
        <v xml:space="preserve">UND </v>
      </c>
      <c r="F23" s="98">
        <f>VLOOKUP(B23,'INSUMOS '!C1:G1048573,4,FALSE)</f>
        <v>421260</v>
      </c>
      <c r="G23" s="71">
        <v>1</v>
      </c>
      <c r="H23" s="83">
        <f>+G23*F23</f>
        <v>421260</v>
      </c>
      <c r="I23" s="287"/>
    </row>
    <row r="24" spans="2:9">
      <c r="B24" s="71" t="s">
        <v>1614</v>
      </c>
      <c r="C24" s="290" t="str">
        <f>VLOOKUP(B24,'INSUMOS '!C2:G1048574,2,FALSE)</f>
        <v xml:space="preserve">Silicona antihongos </v>
      </c>
      <c r="D24" s="291"/>
      <c r="E24" s="97" t="str">
        <f>VLOOKUP(B24,'INSUMOS '!C2:G1048574,3,FALSE)</f>
        <v xml:space="preserve">UND </v>
      </c>
      <c r="F24" s="98">
        <f>VLOOKUP(B24,'INSUMOS '!C2:G1048574,4,FALSE)</f>
        <v>30000</v>
      </c>
      <c r="G24" s="71">
        <v>0.1</v>
      </c>
      <c r="H24" s="83">
        <f>+G24*F24</f>
        <v>3000</v>
      </c>
      <c r="I24" s="287"/>
    </row>
    <row r="25" spans="2:9" ht="12">
      <c r="B25" s="89"/>
      <c r="C25" s="89"/>
      <c r="D25" s="89"/>
      <c r="E25" s="89"/>
      <c r="F25" s="89"/>
      <c r="G25" s="258" t="s">
        <v>64</v>
      </c>
      <c r="H25" s="258"/>
      <c r="I25" s="85">
        <f>SUM(H23:H24)</f>
        <v>424260</v>
      </c>
    </row>
    <row r="26" spans="2:9" ht="12">
      <c r="B26" s="89"/>
      <c r="C26" s="89"/>
      <c r="D26" s="89"/>
      <c r="E26" s="89"/>
      <c r="F26" s="89"/>
      <c r="G26" s="99" t="s">
        <v>72</v>
      </c>
      <c r="H26" s="100">
        <v>0.05</v>
      </c>
      <c r="I26" s="120">
        <f>I25*H26</f>
        <v>21213</v>
      </c>
    </row>
    <row r="27" spans="2:9" ht="12">
      <c r="B27" s="89"/>
      <c r="C27" s="89"/>
      <c r="D27" s="89"/>
      <c r="E27" s="89"/>
      <c r="F27" s="89"/>
      <c r="G27" s="258" t="s">
        <v>73</v>
      </c>
      <c r="H27" s="258"/>
      <c r="I27" s="90">
        <f>SUM(I25:I26)</f>
        <v>445473</v>
      </c>
    </row>
    <row r="28" spans="2:9" ht="12">
      <c r="B28" s="78"/>
      <c r="C28" s="289" t="s">
        <v>74</v>
      </c>
      <c r="D28" s="289"/>
      <c r="E28" s="78"/>
      <c r="F28" s="78"/>
      <c r="G28" s="78"/>
      <c r="H28" s="78"/>
      <c r="I28" s="79"/>
    </row>
    <row r="29" spans="2:9" ht="12">
      <c r="B29" s="70" t="s">
        <v>42</v>
      </c>
      <c r="C29" s="70" t="s">
        <v>58</v>
      </c>
      <c r="D29" s="70" t="s">
        <v>342</v>
      </c>
      <c r="E29" s="70" t="s">
        <v>343</v>
      </c>
      <c r="F29" s="70" t="s">
        <v>344</v>
      </c>
      <c r="G29" s="70" t="s">
        <v>1278</v>
      </c>
      <c r="H29" s="74" t="s">
        <v>61</v>
      </c>
      <c r="I29" s="300"/>
    </row>
    <row r="30" spans="2:9" ht="12">
      <c r="B30" s="70" t="s">
        <v>274</v>
      </c>
      <c r="C30" s="70" t="str">
        <f>VLOOKUP(B30,'MAQUINARIA Y EQUIPOS  '!C12:F100,2,FALSE)</f>
        <v>CAMIONETA D300</v>
      </c>
      <c r="D30" s="75" t="s">
        <v>346</v>
      </c>
      <c r="E30" s="70">
        <v>1.4999999999999999E-2</v>
      </c>
      <c r="F30" s="70">
        <v>19</v>
      </c>
      <c r="G30" s="102">
        <v>1000</v>
      </c>
      <c r="H30" s="103">
        <f>+G30*E30</f>
        <v>15</v>
      </c>
      <c r="I30" s="301"/>
    </row>
    <row r="31" spans="2:9">
      <c r="B31" s="71"/>
      <c r="C31" s="71"/>
      <c r="D31" s="82"/>
      <c r="E31" s="71"/>
      <c r="F31" s="71"/>
      <c r="G31" s="86"/>
      <c r="H31" s="86"/>
      <c r="I31" s="301"/>
    </row>
    <row r="32" spans="2:9" ht="12">
      <c r="B32" s="89"/>
      <c r="C32" s="89"/>
      <c r="D32" s="89"/>
      <c r="E32" s="89"/>
      <c r="F32" s="89"/>
      <c r="G32" s="302" t="s">
        <v>64</v>
      </c>
      <c r="H32" s="302"/>
      <c r="I32" s="104">
        <f>+H30</f>
        <v>15</v>
      </c>
    </row>
    <row r="33" spans="2:9" ht="12">
      <c r="B33" s="78"/>
      <c r="C33" s="289" t="s">
        <v>75</v>
      </c>
      <c r="D33" s="289"/>
      <c r="E33" s="78"/>
      <c r="F33" s="78"/>
      <c r="G33" s="78"/>
      <c r="H33" s="78"/>
      <c r="I33" s="79"/>
    </row>
    <row r="34" spans="2:9" ht="12">
      <c r="B34" s="105" t="s">
        <v>42</v>
      </c>
      <c r="C34" s="105" t="s">
        <v>76</v>
      </c>
      <c r="D34" s="105" t="s">
        <v>1225</v>
      </c>
      <c r="E34" s="105" t="s">
        <v>1</v>
      </c>
      <c r="F34" s="105" t="s">
        <v>77</v>
      </c>
      <c r="G34" s="105" t="s">
        <v>78</v>
      </c>
      <c r="H34" s="105" t="s">
        <v>79</v>
      </c>
      <c r="I34" s="294"/>
    </row>
    <row r="35" spans="2:9" ht="30" customHeight="1">
      <c r="B35" s="106" t="s">
        <v>369</v>
      </c>
      <c r="C35" s="106" t="str">
        <f>+VLOOKUP(B35,'MANO DE OBRA '!B23:G46,2,FALSE)</f>
        <v xml:space="preserve"> Cuadrilla BB Instalaciones (1 oficial+ 1 ayudante)</v>
      </c>
      <c r="D35" s="106">
        <v>1</v>
      </c>
      <c r="E35" s="106" t="str">
        <f>+VLOOKUP(B35,'MANO DE OBRA '!B23:G46,4,FALSE)</f>
        <v>Hora</v>
      </c>
      <c r="F35" s="86">
        <f>+VLOOKUP(B35,'MANO DE OBRA '!B23:G46,3,FALSE)</f>
        <v>53281.25</v>
      </c>
      <c r="G35" s="121">
        <v>2</v>
      </c>
      <c r="H35" s="94">
        <f>F35*G35*D35</f>
        <v>106562.5</v>
      </c>
      <c r="I35" s="294"/>
    </row>
    <row r="36" spans="2:9">
      <c r="B36" s="106"/>
      <c r="C36" s="106"/>
      <c r="D36" s="106"/>
      <c r="E36" s="106"/>
      <c r="F36" s="86"/>
      <c r="G36" s="121"/>
      <c r="H36" s="94"/>
      <c r="I36" s="294"/>
    </row>
    <row r="37" spans="2:9" ht="12">
      <c r="B37" s="108"/>
      <c r="C37" s="109"/>
      <c r="D37" s="109"/>
      <c r="E37" s="109"/>
      <c r="F37" s="110"/>
      <c r="G37" s="110"/>
      <c r="H37" s="111" t="s">
        <v>64</v>
      </c>
      <c r="I37" s="112">
        <f>SUM(H35:H36)</f>
        <v>106562.5</v>
      </c>
    </row>
    <row r="38" spans="2:9" ht="12">
      <c r="B38" s="295" t="s">
        <v>83</v>
      </c>
      <c r="C38" s="296"/>
      <c r="D38" s="297" t="s">
        <v>77</v>
      </c>
      <c r="E38" s="298"/>
      <c r="F38" s="298"/>
      <c r="G38" s="298"/>
      <c r="H38" s="299"/>
      <c r="I38" s="113">
        <f>SUM(I20+I32+I27+I37)</f>
        <v>554403.30000000005</v>
      </c>
    </row>
  </sheetData>
  <mergeCells count="37">
    <mergeCell ref="B3:C7"/>
    <mergeCell ref="D3:E5"/>
    <mergeCell ref="G3:I3"/>
    <mergeCell ref="H4:I4"/>
    <mergeCell ref="G5:I5"/>
    <mergeCell ref="D6:E7"/>
    <mergeCell ref="F6:I7"/>
    <mergeCell ref="B9:C10"/>
    <mergeCell ref="D9:D10"/>
    <mergeCell ref="E9:I10"/>
    <mergeCell ref="B11:I11"/>
    <mergeCell ref="C12:F12"/>
    <mergeCell ref="G12:H12"/>
    <mergeCell ref="C22:D22"/>
    <mergeCell ref="I22:I24"/>
    <mergeCell ref="C23:D23"/>
    <mergeCell ref="C24:D24"/>
    <mergeCell ref="C13:F13"/>
    <mergeCell ref="G13:H13"/>
    <mergeCell ref="C14:E14"/>
    <mergeCell ref="F14:H14"/>
    <mergeCell ref="C15:E15"/>
    <mergeCell ref="F15:H15"/>
    <mergeCell ref="C17:D17"/>
    <mergeCell ref="I17:I19"/>
    <mergeCell ref="C18:D18"/>
    <mergeCell ref="C19:D19"/>
    <mergeCell ref="C21:D21"/>
    <mergeCell ref="I34:I36"/>
    <mergeCell ref="B38:C38"/>
    <mergeCell ref="D38:H38"/>
    <mergeCell ref="G25:H25"/>
    <mergeCell ref="G27:H27"/>
    <mergeCell ref="C28:D28"/>
    <mergeCell ref="I29:I31"/>
    <mergeCell ref="G32:H32"/>
    <mergeCell ref="C33:D33"/>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15DB-2617-4F06-848C-C1A95E83BABA}">
  <sheetPr codeName="Hoja101"/>
  <dimension ref="B3:I39"/>
  <sheetViews>
    <sheetView zoomScale="89" zoomScaleNormal="89" workbookViewId="0">
      <selection activeCell="K15" sqref="K15"/>
    </sheetView>
  </sheetViews>
  <sheetFormatPr baseColWidth="10" defaultColWidth="11.3984375" defaultRowHeight="11.4"/>
  <cols>
    <col min="1" max="2" width="11.3984375" style="11"/>
    <col min="3" max="3" width="25.3984375" style="11" customWidth="1"/>
    <col min="4" max="4" width="16.8984375" style="11" customWidth="1"/>
    <col min="5" max="5" width="29.3984375" style="11" customWidth="1"/>
    <col min="6" max="6" width="22.3984375" style="11" customWidth="1"/>
    <col min="7" max="7" width="17.09765625" style="11" customWidth="1"/>
    <col min="8" max="8" width="20.69921875" style="11" customWidth="1"/>
    <col min="9" max="9" width="16.296875" style="11" bestFit="1" customWidth="1"/>
    <col min="10" max="16384" width="11.3984375" style="11"/>
  </cols>
  <sheetData>
    <row r="3" spans="2:9" ht="12" customHeight="1">
      <c r="B3" s="330"/>
      <c r="C3" s="330"/>
      <c r="D3" s="331" t="s">
        <v>2002</v>
      </c>
      <c r="E3" s="332"/>
      <c r="F3" s="71" t="s">
        <v>46</v>
      </c>
      <c r="G3" s="263">
        <v>46143</v>
      </c>
      <c r="H3" s="264"/>
      <c r="I3" s="265"/>
    </row>
    <row r="4" spans="2:9">
      <c r="B4" s="330"/>
      <c r="C4" s="330"/>
      <c r="D4" s="333"/>
      <c r="E4" s="334"/>
      <c r="F4" s="71" t="s">
        <v>47</v>
      </c>
      <c r="G4" s="71">
        <v>1</v>
      </c>
      <c r="H4" s="258"/>
      <c r="I4" s="258"/>
    </row>
    <row r="5" spans="2:9">
      <c r="B5" s="330"/>
      <c r="C5" s="330"/>
      <c r="D5" s="333"/>
      <c r="E5" s="334"/>
      <c r="F5" s="71" t="s">
        <v>48</v>
      </c>
      <c r="G5" s="258"/>
      <c r="H5" s="258"/>
      <c r="I5" s="258"/>
    </row>
    <row r="6" spans="2:9" ht="12" customHeight="1">
      <c r="B6" s="330"/>
      <c r="C6" s="330"/>
      <c r="D6" s="335" t="s">
        <v>49</v>
      </c>
      <c r="E6" s="336"/>
      <c r="F6" s="259"/>
      <c r="G6" s="270"/>
      <c r="H6" s="270"/>
      <c r="I6" s="260"/>
    </row>
    <row r="7" spans="2:9">
      <c r="B7" s="330"/>
      <c r="C7" s="330"/>
      <c r="D7" s="337"/>
      <c r="E7" s="338"/>
      <c r="F7" s="271"/>
      <c r="G7" s="272"/>
      <c r="H7" s="272"/>
      <c r="I7" s="273"/>
    </row>
    <row r="8" spans="2:9" ht="12">
      <c r="B8" s="89"/>
      <c r="C8" s="89"/>
      <c r="D8" s="89"/>
      <c r="E8" s="89"/>
      <c r="F8" s="89"/>
      <c r="G8" s="89"/>
      <c r="H8" s="89"/>
      <c r="I8" s="79"/>
    </row>
    <row r="9" spans="2:9">
      <c r="B9" s="258" t="s">
        <v>50</v>
      </c>
      <c r="C9" s="258"/>
      <c r="D9" s="274">
        <v>13</v>
      </c>
      <c r="E9" s="276" t="s">
        <v>1575</v>
      </c>
      <c r="F9" s="277"/>
      <c r="G9" s="277"/>
      <c r="H9" s="277"/>
      <c r="I9" s="278"/>
    </row>
    <row r="10" spans="2:9">
      <c r="B10" s="258"/>
      <c r="C10" s="258"/>
      <c r="D10" s="275"/>
      <c r="E10" s="268"/>
      <c r="F10" s="279"/>
      <c r="G10" s="279"/>
      <c r="H10" s="279"/>
      <c r="I10" s="269"/>
    </row>
    <row r="11" spans="2:9" ht="12">
      <c r="B11" s="258" t="s">
        <v>52</v>
      </c>
      <c r="C11" s="258"/>
      <c r="D11" s="258"/>
      <c r="E11" s="258"/>
      <c r="F11" s="258"/>
      <c r="G11" s="258"/>
      <c r="H11" s="258"/>
      <c r="I11" s="258"/>
    </row>
    <row r="12" spans="2:9" ht="12">
      <c r="B12" s="72" t="s">
        <v>53</v>
      </c>
      <c r="C12" s="280" t="s">
        <v>54</v>
      </c>
      <c r="D12" s="281"/>
      <c r="E12" s="281"/>
      <c r="F12" s="282"/>
      <c r="G12" s="280" t="s">
        <v>1</v>
      </c>
      <c r="H12" s="282"/>
      <c r="I12" s="73" t="s">
        <v>0</v>
      </c>
    </row>
    <row r="13" spans="2:9" ht="37.5" customHeight="1">
      <c r="B13" s="17">
        <v>13.7</v>
      </c>
      <c r="C13" s="283" t="s">
        <v>1977</v>
      </c>
      <c r="D13" s="284"/>
      <c r="E13" s="284"/>
      <c r="F13" s="285"/>
      <c r="G13" s="286" t="s">
        <v>170</v>
      </c>
      <c r="H13" s="286"/>
      <c r="I13" s="114">
        <v>2</v>
      </c>
    </row>
    <row r="14" spans="2:9" ht="12">
      <c r="B14" s="70"/>
      <c r="C14" s="286"/>
      <c r="D14" s="286"/>
      <c r="E14" s="286"/>
      <c r="F14" s="286" t="s">
        <v>55</v>
      </c>
      <c r="G14" s="286"/>
      <c r="H14" s="286"/>
      <c r="I14" s="76"/>
    </row>
    <row r="15" spans="2:9" ht="12">
      <c r="B15" s="71"/>
      <c r="C15" s="258"/>
      <c r="D15" s="258"/>
      <c r="E15" s="258"/>
      <c r="F15" s="258" t="s">
        <v>56</v>
      </c>
      <c r="G15" s="258"/>
      <c r="H15" s="258"/>
      <c r="I15" s="77"/>
    </row>
    <row r="16" spans="2:9" ht="12">
      <c r="B16" s="78"/>
      <c r="C16" s="78" t="s">
        <v>57</v>
      </c>
      <c r="D16" s="78"/>
      <c r="E16" s="78"/>
      <c r="F16" s="78"/>
      <c r="G16" s="78"/>
      <c r="H16" s="78"/>
      <c r="I16" s="79"/>
    </row>
    <row r="17" spans="2:9" ht="12">
      <c r="B17" s="70" t="s">
        <v>42</v>
      </c>
      <c r="C17" s="286" t="s">
        <v>58</v>
      </c>
      <c r="D17" s="286"/>
      <c r="E17" s="70" t="s">
        <v>1</v>
      </c>
      <c r="F17" s="80" t="s">
        <v>59</v>
      </c>
      <c r="G17" s="70" t="s">
        <v>60</v>
      </c>
      <c r="H17" s="80" t="s">
        <v>61</v>
      </c>
      <c r="I17" s="287"/>
    </row>
    <row r="18" spans="2:9">
      <c r="B18" s="71" t="s">
        <v>62</v>
      </c>
      <c r="C18" s="288" t="str">
        <f>VLOOKUP(B18,'MAQUINARIA Y EQUIPOS  '!C7:F95,2,FALSE)</f>
        <v xml:space="preserve">HERRAMIENTAS MENORES </v>
      </c>
      <c r="D18" s="265"/>
      <c r="E18" s="71" t="str">
        <f>VLOOKUP(B18,'MAQUINARIA Y EQUIPOS  '!C7:F95,3,FALSE)</f>
        <v>GLB</v>
      </c>
      <c r="F18" s="83">
        <f>VLOOKUP(B18,'MAQUINARIA Y EQUIPOS  '!C7:F95,4,FALSE)</f>
        <v>10714</v>
      </c>
      <c r="G18" s="84">
        <v>0.4</v>
      </c>
      <c r="H18" s="85">
        <f>F18*G18</f>
        <v>4285.6000000000004</v>
      </c>
      <c r="I18" s="287"/>
    </row>
    <row r="19" spans="2:9">
      <c r="B19" s="71"/>
      <c r="C19" s="81"/>
      <c r="D19" s="82"/>
      <c r="E19" s="71"/>
      <c r="F19" s="83"/>
      <c r="G19" s="84"/>
      <c r="H19" s="85"/>
      <c r="I19" s="287"/>
    </row>
    <row r="20" spans="2:9">
      <c r="B20" s="71" t="s">
        <v>1267</v>
      </c>
      <c r="C20" s="288" t="str">
        <f>VLOOKUP(B20,'MAQUINARIA Y EQUIPOS  '!C7:F95,2,FALSE)</f>
        <v xml:space="preserve">Pluma grua </v>
      </c>
      <c r="D20" s="265"/>
      <c r="E20" s="71" t="str">
        <f>VLOOKUP(B20,'MAQUINARIA Y EQUIPOS  '!C7:F95,3,FALSE)</f>
        <v>HH</v>
      </c>
      <c r="F20" s="83">
        <f>VLOOKUP(B20,'MAQUINARIA Y EQUIPOS  '!C7:F95,4,FALSE)</f>
        <v>10500</v>
      </c>
      <c r="G20" s="122">
        <v>0.02</v>
      </c>
      <c r="H20" s="85">
        <f>F20*G20</f>
        <v>210</v>
      </c>
      <c r="I20" s="287"/>
    </row>
    <row r="21" spans="2:9" ht="12">
      <c r="B21" s="89"/>
      <c r="C21" s="89"/>
      <c r="D21" s="89"/>
      <c r="E21" s="89"/>
      <c r="F21" s="89"/>
      <c r="G21" s="89"/>
      <c r="H21" s="89" t="s">
        <v>64</v>
      </c>
      <c r="I21" s="90">
        <f>SUM(H18:H20)</f>
        <v>4495.6000000000004</v>
      </c>
    </row>
    <row r="22" spans="2:9" ht="12">
      <c r="B22" s="78"/>
      <c r="C22" s="289" t="s">
        <v>65</v>
      </c>
      <c r="D22" s="289"/>
      <c r="E22" s="78"/>
      <c r="F22" s="78"/>
      <c r="G22" s="78"/>
      <c r="H22" s="78"/>
      <c r="I22" s="79"/>
    </row>
    <row r="23" spans="2:9" ht="12">
      <c r="B23" s="70" t="s">
        <v>42</v>
      </c>
      <c r="C23" s="286" t="s">
        <v>58</v>
      </c>
      <c r="D23" s="286"/>
      <c r="E23" s="70" t="s">
        <v>1</v>
      </c>
      <c r="F23" s="80" t="s">
        <v>66</v>
      </c>
      <c r="G23" s="70" t="s">
        <v>67</v>
      </c>
      <c r="H23" s="70" t="s">
        <v>61</v>
      </c>
      <c r="I23" s="287"/>
    </row>
    <row r="24" spans="2:9">
      <c r="B24" s="71" t="s">
        <v>1630</v>
      </c>
      <c r="C24" s="290" t="str">
        <f>VLOOKUP(B24,'INSUMOS '!C1:G1048573,2,FALSE)</f>
        <v xml:space="preserve">Suministro e instalacion de Gabinetes de toallas De empotrar en la pared. En acero inoxidable 304. Papel en rollo. El recipiente desmontable tiene una capacidad de 45.4 lts. Sobresale 11 cm de la pared. Importado Bobrick. </v>
      </c>
      <c r="D24" s="291"/>
      <c r="E24" s="97" t="str">
        <f>VLOOKUP(B24,'INSUMOS '!C1:G1048573,3,FALSE)</f>
        <v xml:space="preserve">UND </v>
      </c>
      <c r="F24" s="98">
        <f>VLOOKUP(B24,'INSUMOS '!C1:G1048573,4,FALSE)</f>
        <v>4226880</v>
      </c>
      <c r="G24" s="71">
        <v>1</v>
      </c>
      <c r="H24" s="83">
        <f>+G24*F24</f>
        <v>4226880</v>
      </c>
      <c r="I24" s="287"/>
    </row>
    <row r="25" spans="2:9">
      <c r="B25" s="71" t="s">
        <v>1614</v>
      </c>
      <c r="C25" s="95" t="str">
        <f>VLOOKUP(B25,'INSUMOS '!C1:G1048573,2,FALSE)</f>
        <v xml:space="preserve">Silicona antihongos </v>
      </c>
      <c r="D25" s="96"/>
      <c r="E25" s="97" t="str">
        <f>VLOOKUP(B25,'INSUMOS '!C1:G1048573,3,FALSE)</f>
        <v xml:space="preserve">UND </v>
      </c>
      <c r="F25" s="98">
        <f>VLOOKUP(B25,'INSUMOS '!C1:G1048573,4,FALSE)</f>
        <v>30000</v>
      </c>
      <c r="G25" s="71">
        <v>0.1</v>
      </c>
      <c r="H25" s="83">
        <f>+G25*F25</f>
        <v>3000</v>
      </c>
      <c r="I25" s="287"/>
    </row>
    <row r="26" spans="2:9" ht="12">
      <c r="B26" s="89"/>
      <c r="C26" s="89"/>
      <c r="D26" s="89"/>
      <c r="E26" s="89"/>
      <c r="F26" s="89"/>
      <c r="G26" s="258" t="s">
        <v>64</v>
      </c>
      <c r="H26" s="258"/>
      <c r="I26" s="85">
        <f>SUM(H24:H25)</f>
        <v>4229880</v>
      </c>
    </row>
    <row r="27" spans="2:9" ht="12">
      <c r="B27" s="89"/>
      <c r="C27" s="89"/>
      <c r="D27" s="89"/>
      <c r="E27" s="89"/>
      <c r="F27" s="89"/>
      <c r="G27" s="99" t="s">
        <v>72</v>
      </c>
      <c r="H27" s="100">
        <v>0.05</v>
      </c>
      <c r="I27" s="120">
        <f>I26*H27</f>
        <v>211494</v>
      </c>
    </row>
    <row r="28" spans="2:9" ht="12">
      <c r="B28" s="89"/>
      <c r="C28" s="89"/>
      <c r="D28" s="89"/>
      <c r="E28" s="89"/>
      <c r="F28" s="89"/>
      <c r="G28" s="258" t="s">
        <v>73</v>
      </c>
      <c r="H28" s="258"/>
      <c r="I28" s="90">
        <f>SUM(I26:I27)</f>
        <v>4441374</v>
      </c>
    </row>
    <row r="29" spans="2:9" ht="12">
      <c r="B29" s="78"/>
      <c r="C29" s="289" t="s">
        <v>74</v>
      </c>
      <c r="D29" s="289"/>
      <c r="E29" s="78"/>
      <c r="F29" s="78"/>
      <c r="G29" s="78"/>
      <c r="H29" s="78"/>
      <c r="I29" s="79"/>
    </row>
    <row r="30" spans="2:9" ht="12">
      <c r="B30" s="70" t="s">
        <v>42</v>
      </c>
      <c r="C30" s="70" t="s">
        <v>58</v>
      </c>
      <c r="D30" s="70" t="s">
        <v>342</v>
      </c>
      <c r="E30" s="70" t="s">
        <v>343</v>
      </c>
      <c r="F30" s="70" t="s">
        <v>344</v>
      </c>
      <c r="G30" s="70" t="s">
        <v>1278</v>
      </c>
      <c r="H30" s="74" t="s">
        <v>61</v>
      </c>
      <c r="I30" s="300"/>
    </row>
    <row r="31" spans="2:9" ht="12">
      <c r="B31" s="70" t="s">
        <v>274</v>
      </c>
      <c r="C31" s="70" t="str">
        <f>VLOOKUP(B31,'MAQUINARIA Y EQUIPOS  '!C12:F100,2,FALSE)</f>
        <v>CAMIONETA D300</v>
      </c>
      <c r="D31" s="75" t="s">
        <v>346</v>
      </c>
      <c r="E31" s="70">
        <v>0.02</v>
      </c>
      <c r="F31" s="70">
        <v>19</v>
      </c>
      <c r="G31" s="102">
        <v>1000</v>
      </c>
      <c r="H31" s="103">
        <f>+G31*E31</f>
        <v>20</v>
      </c>
      <c r="I31" s="301"/>
    </row>
    <row r="32" spans="2:9">
      <c r="B32" s="71"/>
      <c r="C32" s="71"/>
      <c r="D32" s="82"/>
      <c r="E32" s="71"/>
      <c r="F32" s="71"/>
      <c r="G32" s="86"/>
      <c r="H32" s="86"/>
      <c r="I32" s="301"/>
    </row>
    <row r="33" spans="2:9" ht="12">
      <c r="B33" s="89"/>
      <c r="C33" s="89"/>
      <c r="D33" s="89"/>
      <c r="E33" s="89"/>
      <c r="F33" s="89"/>
      <c r="G33" s="302" t="s">
        <v>64</v>
      </c>
      <c r="H33" s="302"/>
      <c r="I33" s="104">
        <f>+H31</f>
        <v>20</v>
      </c>
    </row>
    <row r="34" spans="2:9" ht="12">
      <c r="B34" s="78"/>
      <c r="C34" s="289" t="s">
        <v>75</v>
      </c>
      <c r="D34" s="289"/>
      <c r="E34" s="78"/>
      <c r="F34" s="78"/>
      <c r="G34" s="78"/>
      <c r="H34" s="78"/>
      <c r="I34" s="79"/>
    </row>
    <row r="35" spans="2:9" ht="12">
      <c r="B35" s="105" t="s">
        <v>42</v>
      </c>
      <c r="C35" s="105" t="s">
        <v>76</v>
      </c>
      <c r="D35" s="105" t="s">
        <v>1225</v>
      </c>
      <c r="E35" s="105" t="s">
        <v>1</v>
      </c>
      <c r="F35" s="105" t="s">
        <v>77</v>
      </c>
      <c r="G35" s="105" t="s">
        <v>78</v>
      </c>
      <c r="H35" s="105" t="s">
        <v>79</v>
      </c>
      <c r="I35" s="294"/>
    </row>
    <row r="36" spans="2:9" ht="30" customHeight="1">
      <c r="B36" s="106" t="s">
        <v>369</v>
      </c>
      <c r="C36" s="106" t="str">
        <f>+VLOOKUP(B36,'MANO DE OBRA '!B23:G46,2,FALSE)</f>
        <v xml:space="preserve"> Cuadrilla BB Instalaciones (1 oficial+ 1 ayudante)</v>
      </c>
      <c r="D36" s="106">
        <v>1</v>
      </c>
      <c r="E36" s="106" t="str">
        <f>+VLOOKUP(B36,'MANO DE OBRA '!B23:G46,4,FALSE)</f>
        <v>Hora</v>
      </c>
      <c r="F36" s="86">
        <f>+VLOOKUP(B36,'MANO DE OBRA '!B23:G46,3,FALSE)</f>
        <v>53281.25</v>
      </c>
      <c r="G36" s="121">
        <v>2</v>
      </c>
      <c r="H36" s="94">
        <f>F36*G36*D36</f>
        <v>106562.5</v>
      </c>
      <c r="I36" s="294"/>
    </row>
    <row r="37" spans="2:9">
      <c r="B37" s="106"/>
      <c r="C37" s="106"/>
      <c r="D37" s="106"/>
      <c r="E37" s="106"/>
      <c r="F37" s="86"/>
      <c r="G37" s="121"/>
      <c r="H37" s="94"/>
      <c r="I37" s="294"/>
    </row>
    <row r="38" spans="2:9" ht="12">
      <c r="B38" s="108"/>
      <c r="C38" s="109"/>
      <c r="D38" s="109"/>
      <c r="E38" s="109"/>
      <c r="F38" s="110"/>
      <c r="G38" s="110"/>
      <c r="H38" s="111" t="s">
        <v>64</v>
      </c>
      <c r="I38" s="112">
        <f>SUM(H36:H37)</f>
        <v>106562.5</v>
      </c>
    </row>
    <row r="39" spans="2:9" ht="12">
      <c r="B39" s="295" t="s">
        <v>83</v>
      </c>
      <c r="C39" s="296"/>
      <c r="D39" s="297" t="s">
        <v>77</v>
      </c>
      <c r="E39" s="298"/>
      <c r="F39" s="298"/>
      <c r="G39" s="298"/>
      <c r="H39" s="299"/>
      <c r="I39" s="113">
        <f>SUM(I21+I33+I28+I38)</f>
        <v>4552452.0999999996</v>
      </c>
    </row>
  </sheetData>
  <mergeCells count="36">
    <mergeCell ref="B3:C7"/>
    <mergeCell ref="D3:E5"/>
    <mergeCell ref="G3:I3"/>
    <mergeCell ref="H4:I4"/>
    <mergeCell ref="G5:I5"/>
    <mergeCell ref="D6:E7"/>
    <mergeCell ref="F6:I7"/>
    <mergeCell ref="B9:C10"/>
    <mergeCell ref="D9:D10"/>
    <mergeCell ref="E9:I10"/>
    <mergeCell ref="B11:I11"/>
    <mergeCell ref="C12:F12"/>
    <mergeCell ref="G12:H12"/>
    <mergeCell ref="C23:D23"/>
    <mergeCell ref="I23:I25"/>
    <mergeCell ref="C24:D24"/>
    <mergeCell ref="C13:F13"/>
    <mergeCell ref="G13:H13"/>
    <mergeCell ref="C14:E14"/>
    <mergeCell ref="F14:H14"/>
    <mergeCell ref="C15:E15"/>
    <mergeCell ref="F15:H15"/>
    <mergeCell ref="C17:D17"/>
    <mergeCell ref="I17:I20"/>
    <mergeCell ref="C18:D18"/>
    <mergeCell ref="C20:D20"/>
    <mergeCell ref="C22:D22"/>
    <mergeCell ref="I35:I37"/>
    <mergeCell ref="B39:C39"/>
    <mergeCell ref="D39:H39"/>
    <mergeCell ref="G26:H26"/>
    <mergeCell ref="G28:H28"/>
    <mergeCell ref="C29:D29"/>
    <mergeCell ref="I30:I32"/>
    <mergeCell ref="G33:H33"/>
    <mergeCell ref="C34:D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215</vt:i4>
      </vt:variant>
      <vt:variant>
        <vt:lpstr>Rangos con nombre</vt:lpstr>
      </vt:variant>
      <vt:variant>
        <vt:i4>7</vt:i4>
      </vt:variant>
    </vt:vector>
  </HeadingPairs>
  <TitlesOfParts>
    <vt:vector size="222" baseType="lpstr">
      <vt:lpstr>MANO DE OBRA </vt:lpstr>
      <vt:lpstr>MAQUINARIA Y EQUIPOS  </vt:lpstr>
      <vt:lpstr>INSUMOS </vt:lpstr>
      <vt:lpstr>1.1</vt:lpstr>
      <vt:lpstr>1.2</vt:lpstr>
      <vt:lpstr>1.3</vt:lpstr>
      <vt:lpstr>1.4</vt:lpstr>
      <vt:lpstr>1.5</vt:lpstr>
      <vt:lpstr>1.6</vt:lpstr>
      <vt:lpstr>1.7</vt:lpstr>
      <vt:lpstr>1.8</vt:lpstr>
      <vt:lpstr>1.9</vt:lpstr>
      <vt:lpstr>1.10</vt:lpstr>
      <vt:lpstr>1.11</vt:lpstr>
      <vt:lpstr>1.12</vt:lpstr>
      <vt:lpstr>1.13</vt:lpstr>
      <vt:lpstr>1.14</vt:lpstr>
      <vt:lpstr>2.1</vt:lpstr>
      <vt:lpstr>2.2</vt:lpstr>
      <vt:lpstr>2.3</vt:lpstr>
      <vt:lpstr>2.4</vt:lpstr>
      <vt:lpstr>2.5</vt:lpstr>
      <vt:lpstr>2.6</vt:lpstr>
      <vt:lpstr>2.7</vt:lpstr>
      <vt:lpstr>2.8</vt:lpstr>
      <vt:lpstr>3.1</vt:lpstr>
      <vt:lpstr>3.2</vt:lpstr>
      <vt:lpstr>4.1</vt:lpstr>
      <vt:lpstr>5.1</vt:lpstr>
      <vt:lpstr>5.2</vt:lpstr>
      <vt:lpstr>5.3</vt:lpstr>
      <vt:lpstr>5.4</vt:lpstr>
      <vt:lpstr>5.5</vt:lpstr>
      <vt:lpstr>5.6</vt:lpstr>
      <vt:lpstr>6.1</vt:lpstr>
      <vt:lpstr>6.2</vt:lpstr>
      <vt:lpstr>6.3</vt:lpstr>
      <vt:lpstr>6.4</vt:lpstr>
      <vt:lpstr>6.5</vt:lpstr>
      <vt:lpstr>6.6</vt:lpstr>
      <vt:lpstr>7.1</vt:lpstr>
      <vt:lpstr>7.2</vt:lpstr>
      <vt:lpstr>7.3</vt:lpstr>
      <vt:lpstr>7.4 </vt:lpstr>
      <vt:lpstr>7.5</vt:lpstr>
      <vt:lpstr>7.6</vt:lpstr>
      <vt:lpstr>7.7</vt:lpstr>
      <vt:lpstr>7.8</vt:lpstr>
      <vt:lpstr>7.9</vt:lpstr>
      <vt:lpstr>7.10</vt:lpstr>
      <vt:lpstr>7.11</vt:lpstr>
      <vt:lpstr>7.12</vt:lpstr>
      <vt:lpstr>7.13</vt:lpstr>
      <vt:lpstr>7.14</vt:lpstr>
      <vt:lpstr>7.15</vt:lpstr>
      <vt:lpstr>7.16</vt:lpstr>
      <vt:lpstr>8.1</vt:lpstr>
      <vt:lpstr>8.2</vt:lpstr>
      <vt:lpstr>9.1</vt:lpstr>
      <vt:lpstr>10.1</vt:lpstr>
      <vt:lpstr>10.2</vt:lpstr>
      <vt:lpstr>10.3</vt:lpstr>
      <vt:lpstr>10.4</vt:lpstr>
      <vt:lpstr>10.5</vt:lpstr>
      <vt:lpstr>10.6</vt:lpstr>
      <vt:lpstr>10.7</vt:lpstr>
      <vt:lpstr>10.8</vt:lpstr>
      <vt:lpstr>10.09</vt:lpstr>
      <vt:lpstr>10.10</vt:lpstr>
      <vt:lpstr>10.11</vt:lpstr>
      <vt:lpstr>10.12</vt:lpstr>
      <vt:lpstr>10.13</vt:lpstr>
      <vt:lpstr>10.14</vt:lpstr>
      <vt:lpstr>11.1</vt:lpstr>
      <vt:lpstr>11.2</vt:lpstr>
      <vt:lpstr>11.3</vt:lpstr>
      <vt:lpstr>11.4</vt:lpstr>
      <vt:lpstr>12.1</vt:lpstr>
      <vt:lpstr>12.2</vt:lpstr>
      <vt:lpstr>12.3</vt:lpstr>
      <vt:lpstr>12.4</vt:lpstr>
      <vt:lpstr>12.5</vt:lpstr>
      <vt:lpstr>12.6</vt:lpstr>
      <vt:lpstr>12.7</vt:lpstr>
      <vt:lpstr>12.8</vt:lpstr>
      <vt:lpstr>12.9</vt:lpstr>
      <vt:lpstr>12.10</vt:lpstr>
      <vt:lpstr>12.11</vt:lpstr>
      <vt:lpstr>12.12</vt:lpstr>
      <vt:lpstr>12.13</vt:lpstr>
      <vt:lpstr>12.14</vt:lpstr>
      <vt:lpstr>12.15</vt:lpstr>
      <vt:lpstr>13.1</vt:lpstr>
      <vt:lpstr>13.2</vt:lpstr>
      <vt:lpstr>13.3</vt:lpstr>
      <vt:lpstr>13.4</vt:lpstr>
      <vt:lpstr>13.5.</vt:lpstr>
      <vt:lpstr>13.6.</vt:lpstr>
      <vt:lpstr>13.7.</vt:lpstr>
      <vt:lpstr>13.8..</vt:lpstr>
      <vt:lpstr>13.9.</vt:lpstr>
      <vt:lpstr>13.10.</vt:lpstr>
      <vt:lpstr>13.11.</vt:lpstr>
      <vt:lpstr>13.12.</vt:lpstr>
      <vt:lpstr>13.13.</vt:lpstr>
      <vt:lpstr>13.14.</vt:lpstr>
      <vt:lpstr>13.15.</vt:lpstr>
      <vt:lpstr>14.1</vt:lpstr>
      <vt:lpstr>14.2</vt:lpstr>
      <vt:lpstr>14.3</vt:lpstr>
      <vt:lpstr>15.1.1.</vt:lpstr>
      <vt:lpstr>15.2.1</vt:lpstr>
      <vt:lpstr>15.2.2</vt:lpstr>
      <vt:lpstr>15.3.1</vt:lpstr>
      <vt:lpstr>15.3.2</vt:lpstr>
      <vt:lpstr>15.3.3</vt:lpstr>
      <vt:lpstr>15.3.4</vt:lpstr>
      <vt:lpstr>15.3.5</vt:lpstr>
      <vt:lpstr>15.3.6.</vt:lpstr>
      <vt:lpstr>15.3.7</vt:lpstr>
      <vt:lpstr>15.4.1</vt:lpstr>
      <vt:lpstr>15.4.2</vt:lpstr>
      <vt:lpstr>15.4.3</vt:lpstr>
      <vt:lpstr>15.4.4</vt:lpstr>
      <vt:lpstr>15.4.5</vt:lpstr>
      <vt:lpstr>15.4.6</vt:lpstr>
      <vt:lpstr>15.4.7</vt:lpstr>
      <vt:lpstr>15.4.8</vt:lpstr>
      <vt:lpstr>15.4.9</vt:lpstr>
      <vt:lpstr>15.4.10</vt:lpstr>
      <vt:lpstr>15.4.11</vt:lpstr>
      <vt:lpstr>15.4.12</vt:lpstr>
      <vt:lpstr>15.4.13</vt:lpstr>
      <vt:lpstr>15.4.14</vt:lpstr>
      <vt:lpstr>15.5.1</vt:lpstr>
      <vt:lpstr>15.5.2</vt:lpstr>
      <vt:lpstr>15.5.3</vt:lpstr>
      <vt:lpstr>15.5.4</vt:lpstr>
      <vt:lpstr>15.5.5</vt:lpstr>
      <vt:lpstr>15.5.6</vt:lpstr>
      <vt:lpstr>15.6.1</vt:lpstr>
      <vt:lpstr>15.6.2</vt:lpstr>
      <vt:lpstr>15.6.3</vt:lpstr>
      <vt:lpstr>15.6.4</vt:lpstr>
      <vt:lpstr>15.6.5</vt:lpstr>
      <vt:lpstr>15.6.6</vt:lpstr>
      <vt:lpstr>15.7.1</vt:lpstr>
      <vt:lpstr>15.7.2</vt:lpstr>
      <vt:lpstr>15.7.3</vt:lpstr>
      <vt:lpstr>15.7.4</vt:lpstr>
      <vt:lpstr>15.8.1</vt:lpstr>
      <vt:lpstr>15.8.2</vt:lpstr>
      <vt:lpstr>15.8.3</vt:lpstr>
      <vt:lpstr>15.8.4</vt:lpstr>
      <vt:lpstr>15.8.5</vt:lpstr>
      <vt:lpstr>15.8.6</vt:lpstr>
      <vt:lpstr>15.8.7</vt:lpstr>
      <vt:lpstr>15.8.8</vt:lpstr>
      <vt:lpstr>15.9.1</vt:lpstr>
      <vt:lpstr>15.9.2</vt:lpstr>
      <vt:lpstr>15.9.3</vt:lpstr>
      <vt:lpstr>15.9.4</vt:lpstr>
      <vt:lpstr>15.9.5</vt:lpstr>
      <vt:lpstr>15.9.6</vt:lpstr>
      <vt:lpstr>15.9.7</vt:lpstr>
      <vt:lpstr>15.9.8</vt:lpstr>
      <vt:lpstr>15.10.1</vt:lpstr>
      <vt:lpstr>15.10.2</vt:lpstr>
      <vt:lpstr>15.10.3</vt:lpstr>
      <vt:lpstr>15.11.1</vt:lpstr>
      <vt:lpstr>15.12.1</vt:lpstr>
      <vt:lpstr>15.12.2</vt:lpstr>
      <vt:lpstr>15.12.3</vt:lpstr>
      <vt:lpstr>15.13.1</vt:lpstr>
      <vt:lpstr>15.13.2</vt:lpstr>
      <vt:lpstr>15.13.3</vt:lpstr>
      <vt:lpstr>15.13.4</vt:lpstr>
      <vt:lpstr>15.13.5</vt:lpstr>
      <vt:lpstr>15.13.6</vt:lpstr>
      <vt:lpstr>15.14.1</vt:lpstr>
      <vt:lpstr>15.15.1</vt:lpstr>
      <vt:lpstr>15.15.2</vt:lpstr>
      <vt:lpstr>15.15.3</vt:lpstr>
      <vt:lpstr>15.15.4</vt:lpstr>
      <vt:lpstr>15.15.5</vt:lpstr>
      <vt:lpstr>15.15.6</vt:lpstr>
      <vt:lpstr>15.15.7</vt:lpstr>
      <vt:lpstr>15.15.8</vt:lpstr>
      <vt:lpstr>15.15.9</vt:lpstr>
      <vt:lpstr>15.16.1</vt:lpstr>
      <vt:lpstr>15.16.2</vt:lpstr>
      <vt:lpstr>15.16.3</vt:lpstr>
      <vt:lpstr>15.17.1</vt:lpstr>
      <vt:lpstr>15.17.2</vt:lpstr>
      <vt:lpstr>15.18.1</vt:lpstr>
      <vt:lpstr>15.18.2</vt:lpstr>
      <vt:lpstr>15.19.1</vt:lpstr>
      <vt:lpstr>15.20.1</vt:lpstr>
      <vt:lpstr>15.21.1</vt:lpstr>
      <vt:lpstr>15.21.2</vt:lpstr>
      <vt:lpstr>15.22.1</vt:lpstr>
      <vt:lpstr>15.22.2</vt:lpstr>
      <vt:lpstr>15.22.3</vt:lpstr>
      <vt:lpstr>15.22.4</vt:lpstr>
      <vt:lpstr>15.22.5</vt:lpstr>
      <vt:lpstr>15.22.6</vt:lpstr>
      <vt:lpstr>15.22.7</vt:lpstr>
      <vt:lpstr>15.22.8</vt:lpstr>
      <vt:lpstr>15.22.9</vt:lpstr>
      <vt:lpstr>15.22.10</vt:lpstr>
      <vt:lpstr>16.1 AL 16.5.6</vt:lpstr>
      <vt:lpstr>17.1</vt:lpstr>
      <vt:lpstr>17.2</vt:lpstr>
      <vt:lpstr>17.3</vt:lpstr>
      <vt:lpstr>18.1</vt:lpstr>
      <vt:lpstr>'16.1 AL 16.5.6'!Área_de_impresión</vt:lpstr>
      <vt:lpstr>'2.8'!Área_de_impresión</vt:lpstr>
      <vt:lpstr>'5.4'!Área_de_impresión</vt:lpstr>
      <vt:lpstr>'6.3'!Área_de_impresión</vt:lpstr>
      <vt:lpstr>'6.5'!Área_de_impresión</vt:lpstr>
      <vt:lpstr>'6.6'!Área_de_impresión</vt:lpstr>
      <vt:lpstr>'MANO DE OBRA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 Mercado Sazon</dc:creator>
  <cp:lastModifiedBy>Win 11 Pro</cp:lastModifiedBy>
  <cp:lastPrinted>2026-07-10T01:44:30Z</cp:lastPrinted>
  <dcterms:created xsi:type="dcterms:W3CDTF">2026-05-06T15:33:52Z</dcterms:created>
  <dcterms:modified xsi:type="dcterms:W3CDTF">2026-07-10T01:46:47Z</dcterms:modified>
</cp:coreProperties>
</file>